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420" yWindow="105" windowWidth="14115" windowHeight="2175" tabRatio="753" firstSheet="6" activeTab="8"/>
  </bookViews>
  <sheets>
    <sheet name="FY-08, FEB-08 - Jan-09, DATA" sheetId="68" r:id="rId1"/>
    <sheet name="FY-08, FEB-08 - Jan-09, wo TANs" sheetId="70" r:id="rId2"/>
    <sheet name="FY-08, FEB-08 - Jan-09, w-TANs" sheetId="72" r:id="rId3"/>
    <sheet name="FY-09, FEB-09 - JAN-10 wo TANs" sheetId="86" r:id="rId4"/>
    <sheet name="FY-09, FEB-09 - JAN-10, w TANs" sheetId="84" r:id="rId5"/>
    <sheet name="Analysis &amp; Draws, 2010-11" sheetId="88" r:id="rId6"/>
    <sheet name="FY-10, FEB-10 - JAN-11" sheetId="87" r:id="rId7"/>
    <sheet name="Analysis &amp; Draws, 2011-12" sheetId="91" r:id="rId8"/>
    <sheet name="FY-11, FEB-11 - JAN-12, w SFSF" sheetId="90" r:id="rId9"/>
  </sheets>
  <externalReferences>
    <externalReference r:id="rId10"/>
  </externalReferences>
  <definedNames>
    <definedName name="_xlnm.Print_Area" localSheetId="5">'Analysis &amp; Draws, 2010-11'!$A$1:$N$72</definedName>
    <definedName name="_xlnm.Print_Area" localSheetId="7">'Analysis &amp; Draws, 2011-12'!$A$1:$P$79</definedName>
    <definedName name="_xlnm.Print_Area" localSheetId="0">'FY-08, FEB-08 - Jan-09, DATA'!$IK$6:$IV$64</definedName>
    <definedName name="_xlnm.Print_Area" localSheetId="1">'FY-08, FEB-08 - Jan-09, wo TANs'!$IK$6:$IV$64</definedName>
    <definedName name="_xlnm.Print_Area" localSheetId="2">'FY-08, FEB-08 - Jan-09, w-TANs'!$IK$6:$IV$64</definedName>
    <definedName name="_xlnm.Print_Area" localSheetId="3">'FY-09, FEB-09 - JAN-10 wo TANs'!$IF:$IV,'FY-09, FEB-09 - JAN-10 wo TANs'!$A:$B</definedName>
    <definedName name="_xlnm.Print_Area" localSheetId="4">'FY-09, FEB-09 - JAN-10, w TANs'!$IF:$IV,'FY-09, FEB-09 - JAN-10, w TANs'!$A:$B</definedName>
    <definedName name="_xlnm.Print_Area" localSheetId="6">'FY-10, FEB-10 - JAN-11'!$A$1:$JF$109</definedName>
    <definedName name="_xlnm.Print_Area" localSheetId="8">'FY-11, FEB-11 - JAN-12, w SFSF'!$A$1:$JI$109</definedName>
    <definedName name="_xlnm.Print_Titles" localSheetId="0">'FY-08, FEB-08 - Jan-09, DATA'!$A:$B,'FY-08, FEB-08 - Jan-09, DATA'!$1:$5</definedName>
    <definedName name="_xlnm.Print_Titles" localSheetId="1">'FY-08, FEB-08 - Jan-09, wo TANs'!$A:$B,'FY-08, FEB-08 - Jan-09, wo TANs'!$1:$5</definedName>
    <definedName name="_xlnm.Print_Titles" localSheetId="2">'FY-08, FEB-08 - Jan-09, w-TANs'!$A:$B,'FY-08, FEB-08 - Jan-09, w-TANs'!$1:$5</definedName>
    <definedName name="_xlnm.Print_Titles" localSheetId="3">'FY-09, FEB-09 - JAN-10 wo TANs'!$A:$B,'FY-09, FEB-09 - JAN-10 wo TANs'!$1:$5</definedName>
    <definedName name="_xlnm.Print_Titles" localSheetId="4">'FY-09, FEB-09 - JAN-10, w TANs'!$A:$B,'FY-09, FEB-09 - JAN-10, w TANs'!$1:$5</definedName>
  </definedNames>
  <calcPr calcId="125725"/>
</workbook>
</file>

<file path=xl/calcChain.xml><?xml version="1.0" encoding="utf-8"?>
<calcChain xmlns="http://schemas.openxmlformats.org/spreadsheetml/2006/main">
  <c r="DH46" i="90"/>
  <c r="DJ18"/>
  <c r="DJ10"/>
  <c r="DF45" l="1"/>
  <c r="DB16"/>
  <c r="DE12"/>
  <c r="CZ19"/>
  <c r="CZ17"/>
  <c r="GG16" l="1"/>
  <c r="FM16"/>
  <c r="V16"/>
  <c r="CV17"/>
  <c r="K88"/>
  <c r="K87"/>
  <c r="J86"/>
  <c r="K86" s="1"/>
  <c r="K93"/>
  <c r="K92"/>
  <c r="K91"/>
  <c r="K90"/>
  <c r="K89"/>
  <c r="CS8"/>
  <c r="CR17"/>
  <c r="K13" i="91"/>
  <c r="K14"/>
  <c r="FQ11" i="90"/>
  <c r="CQ16"/>
  <c r="CQ11"/>
  <c r="CR64"/>
  <c r="CR45" l="1"/>
  <c r="CR19"/>
  <c r="CN31" l="1"/>
  <c r="CM19"/>
  <c r="CK46"/>
  <c r="CK59"/>
  <c r="CH17" l="1"/>
  <c r="CD17" l="1"/>
  <c r="BZ17"/>
  <c r="J85"/>
  <c r="BZ27"/>
  <c r="Q61" i="91"/>
  <c r="M51"/>
  <c r="O55"/>
  <c r="O53"/>
  <c r="DV12" i="90"/>
  <c r="DV16"/>
  <c r="BT17"/>
  <c r="GC16"/>
  <c r="BO63"/>
  <c r="EN47"/>
  <c r="ED47"/>
  <c r="DT47"/>
  <c r="BO45"/>
  <c r="O62" i="91" l="1"/>
  <c r="Q63"/>
  <c r="O57" s="1"/>
  <c r="O60" s="1"/>
  <c r="FB11" i="90"/>
  <c r="IW69"/>
  <c r="XFD69"/>
  <c r="XFC69"/>
  <c r="XFB69"/>
  <c r="XFA69"/>
  <c r="XEZ69"/>
  <c r="XEY69"/>
  <c r="XEX69"/>
  <c r="XEW69"/>
  <c r="XEV69"/>
  <c r="XEU69"/>
  <c r="XET69"/>
  <c r="XES69"/>
  <c r="XER69"/>
  <c r="XEQ69"/>
  <c r="XEP69"/>
  <c r="XEO69"/>
  <c r="XEN69"/>
  <c r="XEM69"/>
  <c r="XEL69"/>
  <c r="XEK69"/>
  <c r="XEJ69"/>
  <c r="XEI69"/>
  <c r="XEH69"/>
  <c r="XEG69"/>
  <c r="XEF69"/>
  <c r="XEE69"/>
  <c r="XED69"/>
  <c r="XEC69"/>
  <c r="XEB69"/>
  <c r="XEA69"/>
  <c r="XDZ69"/>
  <c r="XDY69"/>
  <c r="XDX69"/>
  <c r="XDW69"/>
  <c r="XDV69"/>
  <c r="XDU69"/>
  <c r="XDT69"/>
  <c r="XDS69"/>
  <c r="XDR69"/>
  <c r="XDQ69"/>
  <c r="XDP69"/>
  <c r="XDO69"/>
  <c r="XDN69"/>
  <c r="XDM69"/>
  <c r="XDL69"/>
  <c r="XDK69"/>
  <c r="XDJ69"/>
  <c r="XDI69"/>
  <c r="XDH69"/>
  <c r="XDG69"/>
  <c r="XDF69"/>
  <c r="XDE69"/>
  <c r="XDD69"/>
  <c r="XDC69"/>
  <c r="XDB69"/>
  <c r="XDA69"/>
  <c r="XCZ69"/>
  <c r="XCY69"/>
  <c r="XCX69"/>
  <c r="XCW69"/>
  <c r="XCV69"/>
  <c r="XCU69"/>
  <c r="XCT69"/>
  <c r="XCS69"/>
  <c r="XCR69"/>
  <c r="XCQ69"/>
  <c r="XCP69"/>
  <c r="XCO69"/>
  <c r="XCN69"/>
  <c r="XCM69"/>
  <c r="XCL69"/>
  <c r="XCK69"/>
  <c r="XCJ69"/>
  <c r="XCI69"/>
  <c r="XCH69"/>
  <c r="XCG69"/>
  <c r="XCF69"/>
  <c r="XCE69"/>
  <c r="XCD69"/>
  <c r="XCC69"/>
  <c r="XCB69"/>
  <c r="XCA69"/>
  <c r="XBZ69"/>
  <c r="XBY69"/>
  <c r="XBX69"/>
  <c r="XBW69"/>
  <c r="XBV69"/>
  <c r="XBU69"/>
  <c r="XBT69"/>
  <c r="XBS69"/>
  <c r="XBR69"/>
  <c r="XBQ69"/>
  <c r="XBP69"/>
  <c r="XBO69"/>
  <c r="XBN69"/>
  <c r="XBM69"/>
  <c r="XBL69"/>
  <c r="XBK69"/>
  <c r="XBJ69"/>
  <c r="XBI69"/>
  <c r="XBH69"/>
  <c r="XBG69"/>
  <c r="XBF69"/>
  <c r="XBE69"/>
  <c r="XBD69"/>
  <c r="XBC69"/>
  <c r="XBB69"/>
  <c r="XBA69"/>
  <c r="XAZ69"/>
  <c r="XAY69"/>
  <c r="XAX69"/>
  <c r="XAW69"/>
  <c r="XAV69"/>
  <c r="XAU69"/>
  <c r="XAT69"/>
  <c r="XAS69"/>
  <c r="XAR69"/>
  <c r="XAQ69"/>
  <c r="XAP69"/>
  <c r="XAO69"/>
  <c r="XAN69"/>
  <c r="XAM69"/>
  <c r="XAL69"/>
  <c r="XAK69"/>
  <c r="XAJ69"/>
  <c r="XAI69"/>
  <c r="XAH69"/>
  <c r="XAG69"/>
  <c r="XAF69"/>
  <c r="XAE69"/>
  <c r="XAD69"/>
  <c r="XAC69"/>
  <c r="XAB69"/>
  <c r="XAA69"/>
  <c r="WZZ69"/>
  <c r="WZY69"/>
  <c r="WZX69"/>
  <c r="WZW69"/>
  <c r="WZV69"/>
  <c r="WZU69"/>
  <c r="WZT69"/>
  <c r="WZS69"/>
  <c r="WZR69"/>
  <c r="WZQ69"/>
  <c r="WZP69"/>
  <c r="WZO69"/>
  <c r="WZN69"/>
  <c r="WZM69"/>
  <c r="WZL69"/>
  <c r="WZK69"/>
  <c r="WZJ69"/>
  <c r="WZI69"/>
  <c r="WZH69"/>
  <c r="WZG69"/>
  <c r="WZF69"/>
  <c r="WZE69"/>
  <c r="WZD69"/>
  <c r="WZC69"/>
  <c r="WZB69"/>
  <c r="WZA69"/>
  <c r="WYZ69"/>
  <c r="WYY69"/>
  <c r="WYX69"/>
  <c r="WYW69"/>
  <c r="WYV69"/>
  <c r="WYU69"/>
  <c r="WYT69"/>
  <c r="WYS69"/>
  <c r="WYR69"/>
  <c r="WYQ69"/>
  <c r="WYP69"/>
  <c r="WYO69"/>
  <c r="WYN69"/>
  <c r="WYM69"/>
  <c r="WYL69"/>
  <c r="WYK69"/>
  <c r="WYJ69"/>
  <c r="WYI69"/>
  <c r="WYH69"/>
  <c r="WYG69"/>
  <c r="WYF69"/>
  <c r="WYE69"/>
  <c r="WYD69"/>
  <c r="WYC69"/>
  <c r="WYB69"/>
  <c r="WYA69"/>
  <c r="WXZ69"/>
  <c r="WXY69"/>
  <c r="WXX69"/>
  <c r="WXW69"/>
  <c r="WXV69"/>
  <c r="WXU69"/>
  <c r="WXT69"/>
  <c r="WXS69"/>
  <c r="WXR69"/>
  <c r="WXQ69"/>
  <c r="WXP69"/>
  <c r="WXO69"/>
  <c r="WXN69"/>
  <c r="WXM69"/>
  <c r="WXL69"/>
  <c r="WXK69"/>
  <c r="WXJ69"/>
  <c r="WXI69"/>
  <c r="WXH69"/>
  <c r="WXG69"/>
  <c r="WXF69"/>
  <c r="WXE69"/>
  <c r="WXD69"/>
  <c r="WXC69"/>
  <c r="WXB69"/>
  <c r="WXA69"/>
  <c r="WWZ69"/>
  <c r="WWY69"/>
  <c r="WWX69"/>
  <c r="WWW69"/>
  <c r="WWV69"/>
  <c r="WWU69"/>
  <c r="WWT69"/>
  <c r="WWS69"/>
  <c r="WWR69"/>
  <c r="WWQ69"/>
  <c r="WWP69"/>
  <c r="WWO69"/>
  <c r="WWN69"/>
  <c r="WWM69"/>
  <c r="WWL69"/>
  <c r="WWK69"/>
  <c r="WWJ69"/>
  <c r="WWI69"/>
  <c r="WWH69"/>
  <c r="WWG69"/>
  <c r="WWF69"/>
  <c r="WWE69"/>
  <c r="WWD69"/>
  <c r="WWC69"/>
  <c r="WWB69"/>
  <c r="WWA69"/>
  <c r="WVZ69"/>
  <c r="WVY69"/>
  <c r="WVX69"/>
  <c r="WVW69"/>
  <c r="WVV69"/>
  <c r="WVU69"/>
  <c r="WVT69"/>
  <c r="WVS69"/>
  <c r="WVR69"/>
  <c r="WVQ69"/>
  <c r="WVP69"/>
  <c r="WVO69"/>
  <c r="WVN69"/>
  <c r="WVM69"/>
  <c r="WVL69"/>
  <c r="WVK69"/>
  <c r="WVJ69"/>
  <c r="WVI69"/>
  <c r="WVH69"/>
  <c r="WVG69"/>
  <c r="WVF69"/>
  <c r="WVE69"/>
  <c r="WVD69"/>
  <c r="WVC69"/>
  <c r="WVB69"/>
  <c r="WVA69"/>
  <c r="WUZ69"/>
  <c r="WUY69"/>
  <c r="WUX69"/>
  <c r="WUW69"/>
  <c r="WUV69"/>
  <c r="WUU69"/>
  <c r="WUT69"/>
  <c r="WUS69"/>
  <c r="WUR69"/>
  <c r="WUQ69"/>
  <c r="WUP69"/>
  <c r="WUO69"/>
  <c r="WUN69"/>
  <c r="WUM69"/>
  <c r="WUL69"/>
  <c r="WUK69"/>
  <c r="WUJ69"/>
  <c r="WUI69"/>
  <c r="WUH69"/>
  <c r="WUG69"/>
  <c r="WUF69"/>
  <c r="WUE69"/>
  <c r="WUD69"/>
  <c r="WUC69"/>
  <c r="WUB69"/>
  <c r="WUA69"/>
  <c r="WTZ69"/>
  <c r="WTY69"/>
  <c r="WTX69"/>
  <c r="WTW69"/>
  <c r="WTV69"/>
  <c r="WTU69"/>
  <c r="WTT69"/>
  <c r="WTS69"/>
  <c r="WTR69"/>
  <c r="WTQ69"/>
  <c r="WTP69"/>
  <c r="WTO69"/>
  <c r="WTN69"/>
  <c r="WTM69"/>
  <c r="WTL69"/>
  <c r="WTK69"/>
  <c r="WTJ69"/>
  <c r="WTI69"/>
  <c r="WTH69"/>
  <c r="WTG69"/>
  <c r="WTF69"/>
  <c r="WTE69"/>
  <c r="WTD69"/>
  <c r="WTC69"/>
  <c r="WTB69"/>
  <c r="WTA69"/>
  <c r="WSZ69"/>
  <c r="WSY69"/>
  <c r="WSX69"/>
  <c r="WSW69"/>
  <c r="WSV69"/>
  <c r="WSU69"/>
  <c r="WST69"/>
  <c r="WSS69"/>
  <c r="WSR69"/>
  <c r="WSQ69"/>
  <c r="WSP69"/>
  <c r="WSO69"/>
  <c r="WSN69"/>
  <c r="WSM69"/>
  <c r="WSL69"/>
  <c r="WSK69"/>
  <c r="WSJ69"/>
  <c r="WSI69"/>
  <c r="WSH69"/>
  <c r="WSG69"/>
  <c r="WSF69"/>
  <c r="WSE69"/>
  <c r="WSD69"/>
  <c r="WSC69"/>
  <c r="WSB69"/>
  <c r="WSA69"/>
  <c r="WRZ69"/>
  <c r="WRY69"/>
  <c r="WRX69"/>
  <c r="WRW69"/>
  <c r="WRV69"/>
  <c r="WRU69"/>
  <c r="WRT69"/>
  <c r="WRS69"/>
  <c r="WRR69"/>
  <c r="WRQ69"/>
  <c r="WRP69"/>
  <c r="WRO69"/>
  <c r="WRN69"/>
  <c r="WRM69"/>
  <c r="WRL69"/>
  <c r="WRK69"/>
  <c r="WRJ69"/>
  <c r="WRI69"/>
  <c r="WRH69"/>
  <c r="WRG69"/>
  <c r="WRF69"/>
  <c r="WRE69"/>
  <c r="WRD69"/>
  <c r="WRC69"/>
  <c r="WRB69"/>
  <c r="WRA69"/>
  <c r="WQZ69"/>
  <c r="WQY69"/>
  <c r="WQX69"/>
  <c r="WQW69"/>
  <c r="WQV69"/>
  <c r="WQU69"/>
  <c r="WQT69"/>
  <c r="WQS69"/>
  <c r="WQR69"/>
  <c r="WQQ69"/>
  <c r="WQP69"/>
  <c r="WQO69"/>
  <c r="WQN69"/>
  <c r="WQM69"/>
  <c r="WQL69"/>
  <c r="WQK69"/>
  <c r="WQJ69"/>
  <c r="WQI69"/>
  <c r="WQH69"/>
  <c r="WQG69"/>
  <c r="WQF69"/>
  <c r="WQE69"/>
  <c r="WQD69"/>
  <c r="WQC69"/>
  <c r="WQB69"/>
  <c r="WQA69"/>
  <c r="WPZ69"/>
  <c r="WPY69"/>
  <c r="WPX69"/>
  <c r="WPW69"/>
  <c r="WPV69"/>
  <c r="WPU69"/>
  <c r="WPT69"/>
  <c r="WPS69"/>
  <c r="WPR69"/>
  <c r="WPQ69"/>
  <c r="WPP69"/>
  <c r="WPO69"/>
  <c r="WPN69"/>
  <c r="WPM69"/>
  <c r="WPL69"/>
  <c r="WPK69"/>
  <c r="WPJ69"/>
  <c r="WPI69"/>
  <c r="WPH69"/>
  <c r="WPG69"/>
  <c r="WPF69"/>
  <c r="WPE69"/>
  <c r="WPD69"/>
  <c r="WPC69"/>
  <c r="WPB69"/>
  <c r="WPA69"/>
  <c r="WOZ69"/>
  <c r="WOY69"/>
  <c r="WOX69"/>
  <c r="WOW69"/>
  <c r="WOV69"/>
  <c r="WOU69"/>
  <c r="WOT69"/>
  <c r="WOS69"/>
  <c r="WOR69"/>
  <c r="WOQ69"/>
  <c r="WOP69"/>
  <c r="WOO69"/>
  <c r="WON69"/>
  <c r="WOM69"/>
  <c r="WOL69"/>
  <c r="WOK69"/>
  <c r="WOJ69"/>
  <c r="WOI69"/>
  <c r="WOH69"/>
  <c r="WOG69"/>
  <c r="WOF69"/>
  <c r="WOE69"/>
  <c r="WOD69"/>
  <c r="WOC69"/>
  <c r="WOB69"/>
  <c r="WOA69"/>
  <c r="WNZ69"/>
  <c r="WNY69"/>
  <c r="WNX69"/>
  <c r="WNW69"/>
  <c r="WNV69"/>
  <c r="WNU69"/>
  <c r="WNT69"/>
  <c r="WNS69"/>
  <c r="WNR69"/>
  <c r="WNQ69"/>
  <c r="WNP69"/>
  <c r="WNO69"/>
  <c r="WNN69"/>
  <c r="WNM69"/>
  <c r="WNL69"/>
  <c r="WNK69"/>
  <c r="WNJ69"/>
  <c r="WNI69"/>
  <c r="WNH69"/>
  <c r="WNG69"/>
  <c r="WNF69"/>
  <c r="WNE69"/>
  <c r="WND69"/>
  <c r="WNC69"/>
  <c r="WNB69"/>
  <c r="WNA69"/>
  <c r="WMZ69"/>
  <c r="WMY69"/>
  <c r="WMX69"/>
  <c r="WMW69"/>
  <c r="WMV69"/>
  <c r="WMU69"/>
  <c r="WMT69"/>
  <c r="WMS69"/>
  <c r="WMR69"/>
  <c r="WMQ69"/>
  <c r="WMP69"/>
  <c r="WMO69"/>
  <c r="WMN69"/>
  <c r="WMM69"/>
  <c r="WML69"/>
  <c r="WMK69"/>
  <c r="WMJ69"/>
  <c r="WMI69"/>
  <c r="WMH69"/>
  <c r="WMG69"/>
  <c r="WMF69"/>
  <c r="WME69"/>
  <c r="WMD69"/>
  <c r="WMC69"/>
  <c r="WMB69"/>
  <c r="WMA69"/>
  <c r="WLZ69"/>
  <c r="WLY69"/>
  <c r="WLX69"/>
  <c r="WLW69"/>
  <c r="WLV69"/>
  <c r="WLU69"/>
  <c r="WLT69"/>
  <c r="WLS69"/>
  <c r="WLR69"/>
  <c r="WLQ69"/>
  <c r="WLP69"/>
  <c r="WLO69"/>
  <c r="WLN69"/>
  <c r="WLM69"/>
  <c r="WLL69"/>
  <c r="WLK69"/>
  <c r="WLJ69"/>
  <c r="WLI69"/>
  <c r="WLH69"/>
  <c r="WLG69"/>
  <c r="WLF69"/>
  <c r="WLE69"/>
  <c r="WLD69"/>
  <c r="WLC69"/>
  <c r="WLB69"/>
  <c r="WLA69"/>
  <c r="WKZ69"/>
  <c r="WKY69"/>
  <c r="WKX69"/>
  <c r="WKW69"/>
  <c r="WKV69"/>
  <c r="WKU69"/>
  <c r="WKT69"/>
  <c r="WKS69"/>
  <c r="WKR69"/>
  <c r="WKQ69"/>
  <c r="WKP69"/>
  <c r="WKO69"/>
  <c r="WKN69"/>
  <c r="WKM69"/>
  <c r="WKL69"/>
  <c r="WKK69"/>
  <c r="WKJ69"/>
  <c r="WKI69"/>
  <c r="WKH69"/>
  <c r="WKG69"/>
  <c r="WKF69"/>
  <c r="WKE69"/>
  <c r="WKD69"/>
  <c r="WKC69"/>
  <c r="WKB69"/>
  <c r="WKA69"/>
  <c r="WJZ69"/>
  <c r="WJY69"/>
  <c r="WJX69"/>
  <c r="WJW69"/>
  <c r="WJV69"/>
  <c r="WJU69"/>
  <c r="WJT69"/>
  <c r="WJS69"/>
  <c r="WJR69"/>
  <c r="WJQ69"/>
  <c r="WJP69"/>
  <c r="WJO69"/>
  <c r="WJN69"/>
  <c r="WJM69"/>
  <c r="WJL69"/>
  <c r="WJK69"/>
  <c r="WJJ69"/>
  <c r="WJI69"/>
  <c r="WJH69"/>
  <c r="WJG69"/>
  <c r="WJF69"/>
  <c r="WJE69"/>
  <c r="WJD69"/>
  <c r="WJC69"/>
  <c r="WJB69"/>
  <c r="WJA69"/>
  <c r="WIZ69"/>
  <c r="WIY69"/>
  <c r="WIX69"/>
  <c r="WIW69"/>
  <c r="WIV69"/>
  <c r="WIU69"/>
  <c r="WIT69"/>
  <c r="WIS69"/>
  <c r="WIR69"/>
  <c r="WIQ69"/>
  <c r="WIP69"/>
  <c r="WIO69"/>
  <c r="WIN69"/>
  <c r="WIM69"/>
  <c r="WIL69"/>
  <c r="WIK69"/>
  <c r="WIJ69"/>
  <c r="WII69"/>
  <c r="WIH69"/>
  <c r="WIG69"/>
  <c r="WIF69"/>
  <c r="WIE69"/>
  <c r="WID69"/>
  <c r="WIC69"/>
  <c r="WIB69"/>
  <c r="WIA69"/>
  <c r="WHZ69"/>
  <c r="WHY69"/>
  <c r="WHX69"/>
  <c r="WHW69"/>
  <c r="WHV69"/>
  <c r="WHU69"/>
  <c r="WHT69"/>
  <c r="WHS69"/>
  <c r="WHR69"/>
  <c r="WHQ69"/>
  <c r="WHP69"/>
  <c r="WHO69"/>
  <c r="WHN69"/>
  <c r="WHM69"/>
  <c r="WHL69"/>
  <c r="WHK69"/>
  <c r="WHJ69"/>
  <c r="WHI69"/>
  <c r="WHH69"/>
  <c r="WHG69"/>
  <c r="WHF69"/>
  <c r="WHE69"/>
  <c r="WHD69"/>
  <c r="WHC69"/>
  <c r="WHB69"/>
  <c r="WHA69"/>
  <c r="WGZ69"/>
  <c r="WGY69"/>
  <c r="WGX69"/>
  <c r="WGW69"/>
  <c r="WGV69"/>
  <c r="WGU69"/>
  <c r="WGT69"/>
  <c r="WGS69"/>
  <c r="WGR69"/>
  <c r="WGQ69"/>
  <c r="WGP69"/>
  <c r="WGO69"/>
  <c r="WGN69"/>
  <c r="WGM69"/>
  <c r="WGL69"/>
  <c r="WGK69"/>
  <c r="WGJ69"/>
  <c r="WGI69"/>
  <c r="WGH69"/>
  <c r="WGG69"/>
  <c r="WGF69"/>
  <c r="WGE69"/>
  <c r="WGD69"/>
  <c r="WGC69"/>
  <c r="WGB69"/>
  <c r="WGA69"/>
  <c r="WFZ69"/>
  <c r="WFY69"/>
  <c r="WFX69"/>
  <c r="WFW69"/>
  <c r="WFV69"/>
  <c r="WFU69"/>
  <c r="WFT69"/>
  <c r="WFS69"/>
  <c r="WFR69"/>
  <c r="WFQ69"/>
  <c r="WFP69"/>
  <c r="WFO69"/>
  <c r="WFN69"/>
  <c r="WFM69"/>
  <c r="WFL69"/>
  <c r="WFK69"/>
  <c r="WFJ69"/>
  <c r="WFI69"/>
  <c r="WFH69"/>
  <c r="WFG69"/>
  <c r="WFF69"/>
  <c r="WFE69"/>
  <c r="WFD69"/>
  <c r="WFC69"/>
  <c r="WFB69"/>
  <c r="WFA69"/>
  <c r="WEZ69"/>
  <c r="WEY69"/>
  <c r="WEX69"/>
  <c r="WEW69"/>
  <c r="WEV69"/>
  <c r="WEU69"/>
  <c r="WET69"/>
  <c r="WES69"/>
  <c r="WER69"/>
  <c r="WEQ69"/>
  <c r="WEP69"/>
  <c r="WEO69"/>
  <c r="WEN69"/>
  <c r="WEM69"/>
  <c r="WEL69"/>
  <c r="WEK69"/>
  <c r="WEJ69"/>
  <c r="WEI69"/>
  <c r="WEH69"/>
  <c r="WEG69"/>
  <c r="WEF69"/>
  <c r="WEE69"/>
  <c r="WED69"/>
  <c r="WEC69"/>
  <c r="WEB69"/>
  <c r="WEA69"/>
  <c r="WDZ69"/>
  <c r="WDY69"/>
  <c r="WDX69"/>
  <c r="WDW69"/>
  <c r="WDV69"/>
  <c r="WDU69"/>
  <c r="WDT69"/>
  <c r="WDS69"/>
  <c r="WDR69"/>
  <c r="WDQ69"/>
  <c r="WDP69"/>
  <c r="WDO69"/>
  <c r="WDN69"/>
  <c r="WDM69"/>
  <c r="WDL69"/>
  <c r="WDK69"/>
  <c r="WDJ69"/>
  <c r="WDI69"/>
  <c r="WDH69"/>
  <c r="WDG69"/>
  <c r="WDF69"/>
  <c r="WDE69"/>
  <c r="WDD69"/>
  <c r="WDC69"/>
  <c r="WDB69"/>
  <c r="WDA69"/>
  <c r="WCZ69"/>
  <c r="WCY69"/>
  <c r="WCX69"/>
  <c r="WCW69"/>
  <c r="WCV69"/>
  <c r="WCU69"/>
  <c r="WCT69"/>
  <c r="WCS69"/>
  <c r="WCR69"/>
  <c r="WCQ69"/>
  <c r="WCP69"/>
  <c r="WCO69"/>
  <c r="WCN69"/>
  <c r="WCM69"/>
  <c r="WCL69"/>
  <c r="WCK69"/>
  <c r="WCJ69"/>
  <c r="WCI69"/>
  <c r="WCH69"/>
  <c r="WCG69"/>
  <c r="WCF69"/>
  <c r="WCE69"/>
  <c r="WCD69"/>
  <c r="WCC69"/>
  <c r="WCB69"/>
  <c r="WCA69"/>
  <c r="WBZ69"/>
  <c r="WBY69"/>
  <c r="WBX69"/>
  <c r="WBW69"/>
  <c r="WBV69"/>
  <c r="WBU69"/>
  <c r="WBT69"/>
  <c r="WBS69"/>
  <c r="WBR69"/>
  <c r="WBQ69"/>
  <c r="WBP69"/>
  <c r="WBO69"/>
  <c r="WBN69"/>
  <c r="WBM69"/>
  <c r="WBL69"/>
  <c r="WBK69"/>
  <c r="WBJ69"/>
  <c r="WBI69"/>
  <c r="WBH69"/>
  <c r="WBG69"/>
  <c r="WBF69"/>
  <c r="WBE69"/>
  <c r="WBD69"/>
  <c r="WBC69"/>
  <c r="WBB69"/>
  <c r="WBA69"/>
  <c r="WAZ69"/>
  <c r="WAY69"/>
  <c r="WAX69"/>
  <c r="WAW69"/>
  <c r="WAV69"/>
  <c r="WAU69"/>
  <c r="WAT69"/>
  <c r="WAS69"/>
  <c r="WAR69"/>
  <c r="WAQ69"/>
  <c r="WAP69"/>
  <c r="WAO69"/>
  <c r="WAN69"/>
  <c r="WAM69"/>
  <c r="WAL69"/>
  <c r="WAK69"/>
  <c r="WAJ69"/>
  <c r="WAI69"/>
  <c r="WAH69"/>
  <c r="WAG69"/>
  <c r="WAF69"/>
  <c r="WAE69"/>
  <c r="WAD69"/>
  <c r="WAC69"/>
  <c r="WAB69"/>
  <c r="WAA69"/>
  <c r="VZZ69"/>
  <c r="VZY69"/>
  <c r="VZX69"/>
  <c r="VZW69"/>
  <c r="VZV69"/>
  <c r="VZU69"/>
  <c r="VZT69"/>
  <c r="VZS69"/>
  <c r="VZR69"/>
  <c r="VZQ69"/>
  <c r="VZP69"/>
  <c r="VZO69"/>
  <c r="VZN69"/>
  <c r="VZM69"/>
  <c r="VZL69"/>
  <c r="VZK69"/>
  <c r="VZJ69"/>
  <c r="VZI69"/>
  <c r="VZH69"/>
  <c r="VZG69"/>
  <c r="VZF69"/>
  <c r="VZE69"/>
  <c r="VZD69"/>
  <c r="VZC69"/>
  <c r="VZB69"/>
  <c r="VZA69"/>
  <c r="VYZ69"/>
  <c r="VYY69"/>
  <c r="VYX69"/>
  <c r="VYW69"/>
  <c r="VYV69"/>
  <c r="VYU69"/>
  <c r="VYT69"/>
  <c r="VYS69"/>
  <c r="VYR69"/>
  <c r="VYQ69"/>
  <c r="VYP69"/>
  <c r="VYO69"/>
  <c r="VYN69"/>
  <c r="VYM69"/>
  <c r="VYL69"/>
  <c r="VYK69"/>
  <c r="VYJ69"/>
  <c r="VYI69"/>
  <c r="VYH69"/>
  <c r="VYG69"/>
  <c r="VYF69"/>
  <c r="VYE69"/>
  <c r="VYD69"/>
  <c r="VYC69"/>
  <c r="VYB69"/>
  <c r="VYA69"/>
  <c r="VXZ69"/>
  <c r="VXY69"/>
  <c r="VXX69"/>
  <c r="VXW69"/>
  <c r="VXV69"/>
  <c r="VXU69"/>
  <c r="VXT69"/>
  <c r="VXS69"/>
  <c r="VXR69"/>
  <c r="VXQ69"/>
  <c r="VXP69"/>
  <c r="VXO69"/>
  <c r="VXN69"/>
  <c r="VXM69"/>
  <c r="VXL69"/>
  <c r="VXK69"/>
  <c r="VXJ69"/>
  <c r="VXI69"/>
  <c r="VXH69"/>
  <c r="VXG69"/>
  <c r="VXF69"/>
  <c r="VXE69"/>
  <c r="VXD69"/>
  <c r="VXC69"/>
  <c r="VXB69"/>
  <c r="VXA69"/>
  <c r="VWZ69"/>
  <c r="VWY69"/>
  <c r="VWX69"/>
  <c r="VWW69"/>
  <c r="VWV69"/>
  <c r="VWU69"/>
  <c r="VWT69"/>
  <c r="VWS69"/>
  <c r="VWR69"/>
  <c r="VWQ69"/>
  <c r="VWP69"/>
  <c r="VWO69"/>
  <c r="VWN69"/>
  <c r="VWM69"/>
  <c r="VWL69"/>
  <c r="VWK69"/>
  <c r="VWJ69"/>
  <c r="VWI69"/>
  <c r="VWH69"/>
  <c r="VWG69"/>
  <c r="VWF69"/>
  <c r="VWE69"/>
  <c r="VWD69"/>
  <c r="VWC69"/>
  <c r="VWB69"/>
  <c r="VWA69"/>
  <c r="VVZ69"/>
  <c r="VVY69"/>
  <c r="VVX69"/>
  <c r="VVW69"/>
  <c r="VVV69"/>
  <c r="VVU69"/>
  <c r="VVT69"/>
  <c r="VVS69"/>
  <c r="VVR69"/>
  <c r="VVQ69"/>
  <c r="VVP69"/>
  <c r="VVO69"/>
  <c r="VVN69"/>
  <c r="VVM69"/>
  <c r="VVL69"/>
  <c r="VVK69"/>
  <c r="VVJ69"/>
  <c r="VVI69"/>
  <c r="VVH69"/>
  <c r="VVG69"/>
  <c r="VVF69"/>
  <c r="VVE69"/>
  <c r="VVD69"/>
  <c r="VVC69"/>
  <c r="VVB69"/>
  <c r="VVA69"/>
  <c r="VUZ69"/>
  <c r="VUY69"/>
  <c r="VUX69"/>
  <c r="VUW69"/>
  <c r="VUV69"/>
  <c r="VUU69"/>
  <c r="VUT69"/>
  <c r="VUS69"/>
  <c r="VUR69"/>
  <c r="VUQ69"/>
  <c r="VUP69"/>
  <c r="VUO69"/>
  <c r="VUN69"/>
  <c r="VUM69"/>
  <c r="VUL69"/>
  <c r="VUK69"/>
  <c r="VUJ69"/>
  <c r="VUI69"/>
  <c r="VUH69"/>
  <c r="VUG69"/>
  <c r="VUF69"/>
  <c r="VUE69"/>
  <c r="VUD69"/>
  <c r="VUC69"/>
  <c r="VUB69"/>
  <c r="VUA69"/>
  <c r="VTZ69"/>
  <c r="VTY69"/>
  <c r="VTX69"/>
  <c r="VTW69"/>
  <c r="VTV69"/>
  <c r="VTU69"/>
  <c r="VTT69"/>
  <c r="VTS69"/>
  <c r="VTR69"/>
  <c r="VTQ69"/>
  <c r="VTP69"/>
  <c r="VTO69"/>
  <c r="VTN69"/>
  <c r="VTM69"/>
  <c r="VTL69"/>
  <c r="VTK69"/>
  <c r="VTJ69"/>
  <c r="VTI69"/>
  <c r="VTH69"/>
  <c r="VTG69"/>
  <c r="VTF69"/>
  <c r="VTE69"/>
  <c r="VTD69"/>
  <c r="VTC69"/>
  <c r="VTB69"/>
  <c r="VTA69"/>
  <c r="VSZ69"/>
  <c r="VSY69"/>
  <c r="VSX69"/>
  <c r="VSW69"/>
  <c r="VSV69"/>
  <c r="VSU69"/>
  <c r="VST69"/>
  <c r="VSS69"/>
  <c r="VSR69"/>
  <c r="VSQ69"/>
  <c r="VSP69"/>
  <c r="VSO69"/>
  <c r="VSN69"/>
  <c r="VSM69"/>
  <c r="VSL69"/>
  <c r="VSK69"/>
  <c r="VSJ69"/>
  <c r="VSI69"/>
  <c r="VSH69"/>
  <c r="VSG69"/>
  <c r="VSF69"/>
  <c r="VSE69"/>
  <c r="VSD69"/>
  <c r="VSC69"/>
  <c r="VSB69"/>
  <c r="VSA69"/>
  <c r="VRZ69"/>
  <c r="VRY69"/>
  <c r="VRX69"/>
  <c r="VRW69"/>
  <c r="VRV69"/>
  <c r="VRU69"/>
  <c r="VRT69"/>
  <c r="VRS69"/>
  <c r="VRR69"/>
  <c r="VRQ69"/>
  <c r="VRP69"/>
  <c r="VRO69"/>
  <c r="VRN69"/>
  <c r="VRM69"/>
  <c r="VRL69"/>
  <c r="VRK69"/>
  <c r="VRJ69"/>
  <c r="VRI69"/>
  <c r="VRH69"/>
  <c r="VRG69"/>
  <c r="VRF69"/>
  <c r="VRE69"/>
  <c r="VRD69"/>
  <c r="VRC69"/>
  <c r="VRB69"/>
  <c r="VRA69"/>
  <c r="VQZ69"/>
  <c r="VQY69"/>
  <c r="VQX69"/>
  <c r="VQW69"/>
  <c r="VQV69"/>
  <c r="VQU69"/>
  <c r="VQT69"/>
  <c r="VQS69"/>
  <c r="VQR69"/>
  <c r="VQQ69"/>
  <c r="VQP69"/>
  <c r="VQO69"/>
  <c r="VQN69"/>
  <c r="VQM69"/>
  <c r="VQL69"/>
  <c r="VQK69"/>
  <c r="VQJ69"/>
  <c r="VQI69"/>
  <c r="VQH69"/>
  <c r="VQG69"/>
  <c r="VQF69"/>
  <c r="VQE69"/>
  <c r="VQD69"/>
  <c r="VQC69"/>
  <c r="VQB69"/>
  <c r="VQA69"/>
  <c r="VPZ69"/>
  <c r="VPY69"/>
  <c r="VPX69"/>
  <c r="VPW69"/>
  <c r="VPV69"/>
  <c r="VPU69"/>
  <c r="VPT69"/>
  <c r="VPS69"/>
  <c r="VPR69"/>
  <c r="VPQ69"/>
  <c r="VPP69"/>
  <c r="VPO69"/>
  <c r="VPN69"/>
  <c r="VPM69"/>
  <c r="VPL69"/>
  <c r="VPK69"/>
  <c r="VPJ69"/>
  <c r="VPI69"/>
  <c r="VPH69"/>
  <c r="VPG69"/>
  <c r="VPF69"/>
  <c r="VPE69"/>
  <c r="VPD69"/>
  <c r="VPC69"/>
  <c r="VPB69"/>
  <c r="VPA69"/>
  <c r="VOZ69"/>
  <c r="VOY69"/>
  <c r="VOX69"/>
  <c r="VOW69"/>
  <c r="VOV69"/>
  <c r="VOU69"/>
  <c r="VOT69"/>
  <c r="VOS69"/>
  <c r="VOR69"/>
  <c r="VOQ69"/>
  <c r="VOP69"/>
  <c r="VOO69"/>
  <c r="VON69"/>
  <c r="VOM69"/>
  <c r="VOL69"/>
  <c r="VOK69"/>
  <c r="VOJ69"/>
  <c r="VOI69"/>
  <c r="VOH69"/>
  <c r="VOG69"/>
  <c r="VOF69"/>
  <c r="VOE69"/>
  <c r="VOD69"/>
  <c r="VOC69"/>
  <c r="VOB69"/>
  <c r="VOA69"/>
  <c r="VNZ69"/>
  <c r="VNY69"/>
  <c r="VNX69"/>
  <c r="VNW69"/>
  <c r="VNV69"/>
  <c r="VNU69"/>
  <c r="VNT69"/>
  <c r="VNS69"/>
  <c r="VNR69"/>
  <c r="VNQ69"/>
  <c r="VNP69"/>
  <c r="VNO69"/>
  <c r="VNN69"/>
  <c r="VNM69"/>
  <c r="VNL69"/>
  <c r="VNK69"/>
  <c r="VNJ69"/>
  <c r="VNI69"/>
  <c r="VNH69"/>
  <c r="VNG69"/>
  <c r="VNF69"/>
  <c r="VNE69"/>
  <c r="VND69"/>
  <c r="VNC69"/>
  <c r="VNB69"/>
  <c r="VNA69"/>
  <c r="VMZ69"/>
  <c r="VMY69"/>
  <c r="VMX69"/>
  <c r="VMW69"/>
  <c r="VMV69"/>
  <c r="VMU69"/>
  <c r="VMT69"/>
  <c r="VMS69"/>
  <c r="VMR69"/>
  <c r="VMQ69"/>
  <c r="VMP69"/>
  <c r="VMO69"/>
  <c r="VMN69"/>
  <c r="VMM69"/>
  <c r="VML69"/>
  <c r="VMK69"/>
  <c r="VMJ69"/>
  <c r="VMI69"/>
  <c r="VMH69"/>
  <c r="VMG69"/>
  <c r="VMF69"/>
  <c r="VME69"/>
  <c r="VMD69"/>
  <c r="VMC69"/>
  <c r="VMB69"/>
  <c r="VMA69"/>
  <c r="VLZ69"/>
  <c r="VLY69"/>
  <c r="VLX69"/>
  <c r="VLW69"/>
  <c r="VLV69"/>
  <c r="VLU69"/>
  <c r="VLT69"/>
  <c r="VLS69"/>
  <c r="VLR69"/>
  <c r="VLQ69"/>
  <c r="VLP69"/>
  <c r="VLO69"/>
  <c r="VLN69"/>
  <c r="VLM69"/>
  <c r="VLL69"/>
  <c r="VLK69"/>
  <c r="VLJ69"/>
  <c r="VLI69"/>
  <c r="VLH69"/>
  <c r="VLG69"/>
  <c r="VLF69"/>
  <c r="VLE69"/>
  <c r="VLD69"/>
  <c r="VLC69"/>
  <c r="VLB69"/>
  <c r="VLA69"/>
  <c r="VKZ69"/>
  <c r="VKY69"/>
  <c r="VKX69"/>
  <c r="VKW69"/>
  <c r="VKV69"/>
  <c r="VKU69"/>
  <c r="VKT69"/>
  <c r="VKS69"/>
  <c r="VKR69"/>
  <c r="VKQ69"/>
  <c r="VKP69"/>
  <c r="VKO69"/>
  <c r="VKN69"/>
  <c r="VKM69"/>
  <c r="VKL69"/>
  <c r="VKK69"/>
  <c r="VKJ69"/>
  <c r="VKI69"/>
  <c r="VKH69"/>
  <c r="VKG69"/>
  <c r="VKF69"/>
  <c r="VKE69"/>
  <c r="VKD69"/>
  <c r="VKC69"/>
  <c r="VKB69"/>
  <c r="VKA69"/>
  <c r="VJZ69"/>
  <c r="VJY69"/>
  <c r="VJX69"/>
  <c r="VJW69"/>
  <c r="VJV69"/>
  <c r="VJU69"/>
  <c r="VJT69"/>
  <c r="VJS69"/>
  <c r="VJR69"/>
  <c r="VJQ69"/>
  <c r="VJP69"/>
  <c r="VJO69"/>
  <c r="VJN69"/>
  <c r="VJM69"/>
  <c r="VJL69"/>
  <c r="VJK69"/>
  <c r="VJJ69"/>
  <c r="VJI69"/>
  <c r="VJH69"/>
  <c r="VJG69"/>
  <c r="VJF69"/>
  <c r="VJE69"/>
  <c r="VJD69"/>
  <c r="VJC69"/>
  <c r="VJB69"/>
  <c r="VJA69"/>
  <c r="VIZ69"/>
  <c r="VIY69"/>
  <c r="VIX69"/>
  <c r="VIW69"/>
  <c r="VIV69"/>
  <c r="VIU69"/>
  <c r="VIT69"/>
  <c r="VIS69"/>
  <c r="VIR69"/>
  <c r="VIQ69"/>
  <c r="VIP69"/>
  <c r="VIO69"/>
  <c r="VIN69"/>
  <c r="VIM69"/>
  <c r="VIL69"/>
  <c r="VIK69"/>
  <c r="VIJ69"/>
  <c r="VII69"/>
  <c r="VIH69"/>
  <c r="VIG69"/>
  <c r="VIF69"/>
  <c r="VIE69"/>
  <c r="VID69"/>
  <c r="VIC69"/>
  <c r="VIB69"/>
  <c r="VIA69"/>
  <c r="VHZ69"/>
  <c r="VHY69"/>
  <c r="VHX69"/>
  <c r="VHW69"/>
  <c r="VHV69"/>
  <c r="VHU69"/>
  <c r="VHT69"/>
  <c r="VHS69"/>
  <c r="VHR69"/>
  <c r="VHQ69"/>
  <c r="VHP69"/>
  <c r="VHO69"/>
  <c r="VHN69"/>
  <c r="VHM69"/>
  <c r="VHL69"/>
  <c r="VHK69"/>
  <c r="VHJ69"/>
  <c r="VHI69"/>
  <c r="VHH69"/>
  <c r="VHG69"/>
  <c r="VHF69"/>
  <c r="VHE69"/>
  <c r="VHD69"/>
  <c r="VHC69"/>
  <c r="VHB69"/>
  <c r="VHA69"/>
  <c r="VGZ69"/>
  <c r="VGY69"/>
  <c r="VGX69"/>
  <c r="VGW69"/>
  <c r="VGV69"/>
  <c r="VGU69"/>
  <c r="VGT69"/>
  <c r="VGS69"/>
  <c r="VGR69"/>
  <c r="VGQ69"/>
  <c r="VGP69"/>
  <c r="VGO69"/>
  <c r="VGN69"/>
  <c r="VGM69"/>
  <c r="VGL69"/>
  <c r="VGK69"/>
  <c r="VGJ69"/>
  <c r="VGI69"/>
  <c r="VGH69"/>
  <c r="VGG69"/>
  <c r="VGF69"/>
  <c r="VGE69"/>
  <c r="VGD69"/>
  <c r="VGC69"/>
  <c r="VGB69"/>
  <c r="VGA69"/>
  <c r="VFZ69"/>
  <c r="VFY69"/>
  <c r="VFX69"/>
  <c r="VFW69"/>
  <c r="VFV69"/>
  <c r="VFU69"/>
  <c r="VFT69"/>
  <c r="VFS69"/>
  <c r="VFR69"/>
  <c r="VFQ69"/>
  <c r="VFP69"/>
  <c r="VFO69"/>
  <c r="VFN69"/>
  <c r="VFM69"/>
  <c r="VFL69"/>
  <c r="VFK69"/>
  <c r="VFJ69"/>
  <c r="VFI69"/>
  <c r="VFH69"/>
  <c r="VFG69"/>
  <c r="VFF69"/>
  <c r="VFE69"/>
  <c r="VFD69"/>
  <c r="VFC69"/>
  <c r="VFB69"/>
  <c r="VFA69"/>
  <c r="VEZ69"/>
  <c r="VEY69"/>
  <c r="VEX69"/>
  <c r="VEW69"/>
  <c r="VEV69"/>
  <c r="VEU69"/>
  <c r="VET69"/>
  <c r="VES69"/>
  <c r="VER69"/>
  <c r="VEQ69"/>
  <c r="VEP69"/>
  <c r="VEO69"/>
  <c r="VEN69"/>
  <c r="VEM69"/>
  <c r="VEL69"/>
  <c r="VEK69"/>
  <c r="VEJ69"/>
  <c r="VEI69"/>
  <c r="VEH69"/>
  <c r="VEG69"/>
  <c r="VEF69"/>
  <c r="VEE69"/>
  <c r="VED69"/>
  <c r="VEC69"/>
  <c r="VEB69"/>
  <c r="VEA69"/>
  <c r="VDZ69"/>
  <c r="VDY69"/>
  <c r="VDX69"/>
  <c r="VDW69"/>
  <c r="VDV69"/>
  <c r="VDU69"/>
  <c r="VDT69"/>
  <c r="VDS69"/>
  <c r="VDR69"/>
  <c r="VDQ69"/>
  <c r="VDP69"/>
  <c r="VDO69"/>
  <c r="VDN69"/>
  <c r="VDM69"/>
  <c r="VDL69"/>
  <c r="VDK69"/>
  <c r="VDJ69"/>
  <c r="VDI69"/>
  <c r="VDH69"/>
  <c r="VDG69"/>
  <c r="VDF69"/>
  <c r="VDE69"/>
  <c r="VDD69"/>
  <c r="VDC69"/>
  <c r="VDB69"/>
  <c r="VDA69"/>
  <c r="VCZ69"/>
  <c r="VCY69"/>
  <c r="VCX69"/>
  <c r="VCW69"/>
  <c r="VCV69"/>
  <c r="VCU69"/>
  <c r="VCT69"/>
  <c r="VCS69"/>
  <c r="VCR69"/>
  <c r="VCQ69"/>
  <c r="VCP69"/>
  <c r="VCO69"/>
  <c r="VCN69"/>
  <c r="VCM69"/>
  <c r="VCL69"/>
  <c r="VCK69"/>
  <c r="VCJ69"/>
  <c r="VCI69"/>
  <c r="VCH69"/>
  <c r="VCG69"/>
  <c r="VCF69"/>
  <c r="VCE69"/>
  <c r="VCD69"/>
  <c r="VCC69"/>
  <c r="VCB69"/>
  <c r="VCA69"/>
  <c r="VBZ69"/>
  <c r="VBY69"/>
  <c r="VBX69"/>
  <c r="VBW69"/>
  <c r="VBV69"/>
  <c r="VBU69"/>
  <c r="VBT69"/>
  <c r="VBS69"/>
  <c r="VBR69"/>
  <c r="VBQ69"/>
  <c r="VBP69"/>
  <c r="VBO69"/>
  <c r="VBN69"/>
  <c r="VBM69"/>
  <c r="VBL69"/>
  <c r="VBK69"/>
  <c r="VBJ69"/>
  <c r="VBI69"/>
  <c r="VBH69"/>
  <c r="VBG69"/>
  <c r="VBF69"/>
  <c r="VBE69"/>
  <c r="VBD69"/>
  <c r="VBC69"/>
  <c r="VBB69"/>
  <c r="VBA69"/>
  <c r="VAZ69"/>
  <c r="VAY69"/>
  <c r="VAX69"/>
  <c r="VAW69"/>
  <c r="VAV69"/>
  <c r="VAU69"/>
  <c r="VAT69"/>
  <c r="VAS69"/>
  <c r="VAR69"/>
  <c r="VAQ69"/>
  <c r="VAP69"/>
  <c r="VAO69"/>
  <c r="VAN69"/>
  <c r="VAM69"/>
  <c r="VAL69"/>
  <c r="VAK69"/>
  <c r="VAJ69"/>
  <c r="VAI69"/>
  <c r="VAH69"/>
  <c r="VAG69"/>
  <c r="VAF69"/>
  <c r="VAE69"/>
  <c r="VAD69"/>
  <c r="VAC69"/>
  <c r="VAB69"/>
  <c r="VAA69"/>
  <c r="UZZ69"/>
  <c r="UZY69"/>
  <c r="UZX69"/>
  <c r="UZW69"/>
  <c r="UZV69"/>
  <c r="UZU69"/>
  <c r="UZT69"/>
  <c r="UZS69"/>
  <c r="UZR69"/>
  <c r="UZQ69"/>
  <c r="UZP69"/>
  <c r="UZO69"/>
  <c r="UZN69"/>
  <c r="UZM69"/>
  <c r="UZL69"/>
  <c r="UZK69"/>
  <c r="UZJ69"/>
  <c r="UZI69"/>
  <c r="UZH69"/>
  <c r="UZG69"/>
  <c r="UZF69"/>
  <c r="UZE69"/>
  <c r="UZD69"/>
  <c r="UZC69"/>
  <c r="UZB69"/>
  <c r="UZA69"/>
  <c r="UYZ69"/>
  <c r="UYY69"/>
  <c r="UYX69"/>
  <c r="UYW69"/>
  <c r="UYV69"/>
  <c r="UYU69"/>
  <c r="UYT69"/>
  <c r="UYS69"/>
  <c r="UYR69"/>
  <c r="UYQ69"/>
  <c r="UYP69"/>
  <c r="UYO69"/>
  <c r="UYN69"/>
  <c r="UYM69"/>
  <c r="UYL69"/>
  <c r="UYK69"/>
  <c r="UYJ69"/>
  <c r="UYI69"/>
  <c r="UYH69"/>
  <c r="UYG69"/>
  <c r="UYF69"/>
  <c r="UYE69"/>
  <c r="UYD69"/>
  <c r="UYC69"/>
  <c r="UYB69"/>
  <c r="UYA69"/>
  <c r="UXZ69"/>
  <c r="UXY69"/>
  <c r="UXX69"/>
  <c r="UXW69"/>
  <c r="UXV69"/>
  <c r="UXU69"/>
  <c r="UXT69"/>
  <c r="UXS69"/>
  <c r="UXR69"/>
  <c r="UXQ69"/>
  <c r="UXP69"/>
  <c r="UXO69"/>
  <c r="UXN69"/>
  <c r="UXM69"/>
  <c r="UXL69"/>
  <c r="UXK69"/>
  <c r="UXJ69"/>
  <c r="UXI69"/>
  <c r="UXH69"/>
  <c r="UXG69"/>
  <c r="UXF69"/>
  <c r="UXE69"/>
  <c r="UXD69"/>
  <c r="UXC69"/>
  <c r="UXB69"/>
  <c r="UXA69"/>
  <c r="UWZ69"/>
  <c r="UWY69"/>
  <c r="UWX69"/>
  <c r="UWW69"/>
  <c r="UWV69"/>
  <c r="UWU69"/>
  <c r="UWT69"/>
  <c r="UWS69"/>
  <c r="UWR69"/>
  <c r="UWQ69"/>
  <c r="UWP69"/>
  <c r="UWO69"/>
  <c r="UWN69"/>
  <c r="UWM69"/>
  <c r="UWL69"/>
  <c r="UWK69"/>
  <c r="UWJ69"/>
  <c r="UWI69"/>
  <c r="UWH69"/>
  <c r="UWG69"/>
  <c r="UWF69"/>
  <c r="UWE69"/>
  <c r="UWD69"/>
  <c r="UWC69"/>
  <c r="UWB69"/>
  <c r="UWA69"/>
  <c r="UVZ69"/>
  <c r="UVY69"/>
  <c r="UVX69"/>
  <c r="UVW69"/>
  <c r="UVV69"/>
  <c r="UVU69"/>
  <c r="UVT69"/>
  <c r="UVS69"/>
  <c r="UVR69"/>
  <c r="UVQ69"/>
  <c r="UVP69"/>
  <c r="UVO69"/>
  <c r="UVN69"/>
  <c r="UVM69"/>
  <c r="UVL69"/>
  <c r="UVK69"/>
  <c r="UVJ69"/>
  <c r="UVI69"/>
  <c r="UVH69"/>
  <c r="UVG69"/>
  <c r="UVF69"/>
  <c r="UVE69"/>
  <c r="UVD69"/>
  <c r="UVC69"/>
  <c r="UVB69"/>
  <c r="UVA69"/>
  <c r="UUZ69"/>
  <c r="UUY69"/>
  <c r="UUX69"/>
  <c r="UUW69"/>
  <c r="UUV69"/>
  <c r="UUU69"/>
  <c r="UUT69"/>
  <c r="UUS69"/>
  <c r="UUR69"/>
  <c r="UUQ69"/>
  <c r="UUP69"/>
  <c r="UUO69"/>
  <c r="UUN69"/>
  <c r="UUM69"/>
  <c r="UUL69"/>
  <c r="UUK69"/>
  <c r="UUJ69"/>
  <c r="UUI69"/>
  <c r="UUH69"/>
  <c r="UUG69"/>
  <c r="UUF69"/>
  <c r="UUE69"/>
  <c r="UUD69"/>
  <c r="UUC69"/>
  <c r="UUB69"/>
  <c r="UUA69"/>
  <c r="UTZ69"/>
  <c r="UTY69"/>
  <c r="UTX69"/>
  <c r="UTW69"/>
  <c r="UTV69"/>
  <c r="UTU69"/>
  <c r="UTT69"/>
  <c r="UTS69"/>
  <c r="UTR69"/>
  <c r="UTQ69"/>
  <c r="UTP69"/>
  <c r="UTO69"/>
  <c r="UTN69"/>
  <c r="UTM69"/>
  <c r="UTL69"/>
  <c r="UTK69"/>
  <c r="UTJ69"/>
  <c r="UTI69"/>
  <c r="UTH69"/>
  <c r="UTG69"/>
  <c r="UTF69"/>
  <c r="UTE69"/>
  <c r="UTD69"/>
  <c r="UTC69"/>
  <c r="UTB69"/>
  <c r="UTA69"/>
  <c r="USZ69"/>
  <c r="USY69"/>
  <c r="USX69"/>
  <c r="USW69"/>
  <c r="USV69"/>
  <c r="USU69"/>
  <c r="UST69"/>
  <c r="USS69"/>
  <c r="USR69"/>
  <c r="USQ69"/>
  <c r="USP69"/>
  <c r="USO69"/>
  <c r="USN69"/>
  <c r="USM69"/>
  <c r="USL69"/>
  <c r="USK69"/>
  <c r="USJ69"/>
  <c r="USI69"/>
  <c r="USH69"/>
  <c r="USG69"/>
  <c r="USF69"/>
  <c r="USE69"/>
  <c r="USD69"/>
  <c r="USC69"/>
  <c r="USB69"/>
  <c r="USA69"/>
  <c r="URZ69"/>
  <c r="URY69"/>
  <c r="URX69"/>
  <c r="URW69"/>
  <c r="URV69"/>
  <c r="URU69"/>
  <c r="URT69"/>
  <c r="URS69"/>
  <c r="URR69"/>
  <c r="URQ69"/>
  <c r="URP69"/>
  <c r="URO69"/>
  <c r="URN69"/>
  <c r="URM69"/>
  <c r="URL69"/>
  <c r="URK69"/>
  <c r="URJ69"/>
  <c r="URI69"/>
  <c r="URH69"/>
  <c r="URG69"/>
  <c r="URF69"/>
  <c r="URE69"/>
  <c r="URD69"/>
  <c r="URC69"/>
  <c r="URB69"/>
  <c r="URA69"/>
  <c r="UQZ69"/>
  <c r="UQY69"/>
  <c r="UQX69"/>
  <c r="UQW69"/>
  <c r="UQV69"/>
  <c r="UQU69"/>
  <c r="UQT69"/>
  <c r="UQS69"/>
  <c r="UQR69"/>
  <c r="UQQ69"/>
  <c r="UQP69"/>
  <c r="UQO69"/>
  <c r="UQN69"/>
  <c r="UQM69"/>
  <c r="UQL69"/>
  <c r="UQK69"/>
  <c r="UQJ69"/>
  <c r="UQI69"/>
  <c r="UQH69"/>
  <c r="UQG69"/>
  <c r="UQF69"/>
  <c r="UQE69"/>
  <c r="UQD69"/>
  <c r="UQC69"/>
  <c r="UQB69"/>
  <c r="UQA69"/>
  <c r="UPZ69"/>
  <c r="UPY69"/>
  <c r="UPX69"/>
  <c r="UPW69"/>
  <c r="UPV69"/>
  <c r="UPU69"/>
  <c r="UPT69"/>
  <c r="UPS69"/>
  <c r="UPR69"/>
  <c r="UPQ69"/>
  <c r="UPP69"/>
  <c r="UPO69"/>
  <c r="UPN69"/>
  <c r="UPM69"/>
  <c r="UPL69"/>
  <c r="UPK69"/>
  <c r="UPJ69"/>
  <c r="UPI69"/>
  <c r="UPH69"/>
  <c r="UPG69"/>
  <c r="UPF69"/>
  <c r="UPE69"/>
  <c r="UPD69"/>
  <c r="UPC69"/>
  <c r="UPB69"/>
  <c r="UPA69"/>
  <c r="UOZ69"/>
  <c r="UOY69"/>
  <c r="UOX69"/>
  <c r="UOW69"/>
  <c r="UOV69"/>
  <c r="UOU69"/>
  <c r="UOT69"/>
  <c r="UOS69"/>
  <c r="UOR69"/>
  <c r="UOQ69"/>
  <c r="UOP69"/>
  <c r="UOO69"/>
  <c r="UON69"/>
  <c r="UOM69"/>
  <c r="UOL69"/>
  <c r="UOK69"/>
  <c r="UOJ69"/>
  <c r="UOI69"/>
  <c r="UOH69"/>
  <c r="UOG69"/>
  <c r="UOF69"/>
  <c r="UOE69"/>
  <c r="UOD69"/>
  <c r="UOC69"/>
  <c r="UOB69"/>
  <c r="UOA69"/>
  <c r="UNZ69"/>
  <c r="UNY69"/>
  <c r="UNX69"/>
  <c r="UNW69"/>
  <c r="UNV69"/>
  <c r="UNU69"/>
  <c r="UNT69"/>
  <c r="UNS69"/>
  <c r="UNR69"/>
  <c r="UNQ69"/>
  <c r="UNP69"/>
  <c r="UNO69"/>
  <c r="UNN69"/>
  <c r="UNM69"/>
  <c r="UNL69"/>
  <c r="UNK69"/>
  <c r="UNJ69"/>
  <c r="UNI69"/>
  <c r="UNH69"/>
  <c r="UNG69"/>
  <c r="UNF69"/>
  <c r="UNE69"/>
  <c r="UND69"/>
  <c r="UNC69"/>
  <c r="UNB69"/>
  <c r="UNA69"/>
  <c r="UMZ69"/>
  <c r="UMY69"/>
  <c r="UMX69"/>
  <c r="UMW69"/>
  <c r="UMV69"/>
  <c r="UMU69"/>
  <c r="UMT69"/>
  <c r="UMS69"/>
  <c r="UMR69"/>
  <c r="UMQ69"/>
  <c r="UMP69"/>
  <c r="UMO69"/>
  <c r="UMN69"/>
  <c r="UMM69"/>
  <c r="UML69"/>
  <c r="UMK69"/>
  <c r="UMJ69"/>
  <c r="UMI69"/>
  <c r="UMH69"/>
  <c r="UMG69"/>
  <c r="UMF69"/>
  <c r="UME69"/>
  <c r="UMD69"/>
  <c r="UMC69"/>
  <c r="UMB69"/>
  <c r="UMA69"/>
  <c r="ULZ69"/>
  <c r="ULY69"/>
  <c r="ULX69"/>
  <c r="ULW69"/>
  <c r="ULV69"/>
  <c r="ULU69"/>
  <c r="ULT69"/>
  <c r="ULS69"/>
  <c r="ULR69"/>
  <c r="ULQ69"/>
  <c r="ULP69"/>
  <c r="ULO69"/>
  <c r="ULN69"/>
  <c r="ULM69"/>
  <c r="ULL69"/>
  <c r="ULK69"/>
  <c r="ULJ69"/>
  <c r="ULI69"/>
  <c r="ULH69"/>
  <c r="ULG69"/>
  <c r="ULF69"/>
  <c r="ULE69"/>
  <c r="ULD69"/>
  <c r="ULC69"/>
  <c r="ULB69"/>
  <c r="ULA69"/>
  <c r="UKZ69"/>
  <c r="UKY69"/>
  <c r="UKX69"/>
  <c r="UKW69"/>
  <c r="UKV69"/>
  <c r="UKU69"/>
  <c r="UKT69"/>
  <c r="UKS69"/>
  <c r="UKR69"/>
  <c r="UKQ69"/>
  <c r="UKP69"/>
  <c r="UKO69"/>
  <c r="UKN69"/>
  <c r="UKM69"/>
  <c r="UKL69"/>
  <c r="UKK69"/>
  <c r="UKJ69"/>
  <c r="UKI69"/>
  <c r="UKH69"/>
  <c r="UKG69"/>
  <c r="UKF69"/>
  <c r="UKE69"/>
  <c r="UKD69"/>
  <c r="UKC69"/>
  <c r="UKB69"/>
  <c r="UKA69"/>
  <c r="UJZ69"/>
  <c r="UJY69"/>
  <c r="UJX69"/>
  <c r="UJW69"/>
  <c r="UJV69"/>
  <c r="UJU69"/>
  <c r="UJT69"/>
  <c r="UJS69"/>
  <c r="UJR69"/>
  <c r="UJQ69"/>
  <c r="UJP69"/>
  <c r="UJO69"/>
  <c r="UJN69"/>
  <c r="UJM69"/>
  <c r="UJL69"/>
  <c r="UJK69"/>
  <c r="UJJ69"/>
  <c r="UJI69"/>
  <c r="UJH69"/>
  <c r="UJG69"/>
  <c r="UJF69"/>
  <c r="UJE69"/>
  <c r="UJD69"/>
  <c r="UJC69"/>
  <c r="UJB69"/>
  <c r="UJA69"/>
  <c r="UIZ69"/>
  <c r="UIY69"/>
  <c r="UIX69"/>
  <c r="UIW69"/>
  <c r="UIV69"/>
  <c r="UIU69"/>
  <c r="UIT69"/>
  <c r="UIS69"/>
  <c r="UIR69"/>
  <c r="UIQ69"/>
  <c r="UIP69"/>
  <c r="UIO69"/>
  <c r="UIN69"/>
  <c r="UIM69"/>
  <c r="UIL69"/>
  <c r="UIK69"/>
  <c r="UIJ69"/>
  <c r="UII69"/>
  <c r="UIH69"/>
  <c r="UIG69"/>
  <c r="UIF69"/>
  <c r="UIE69"/>
  <c r="UID69"/>
  <c r="UIC69"/>
  <c r="UIB69"/>
  <c r="UIA69"/>
  <c r="UHZ69"/>
  <c r="UHY69"/>
  <c r="UHX69"/>
  <c r="UHW69"/>
  <c r="UHV69"/>
  <c r="UHU69"/>
  <c r="UHT69"/>
  <c r="UHS69"/>
  <c r="UHR69"/>
  <c r="UHQ69"/>
  <c r="UHP69"/>
  <c r="UHO69"/>
  <c r="UHN69"/>
  <c r="UHM69"/>
  <c r="UHL69"/>
  <c r="UHK69"/>
  <c r="UHJ69"/>
  <c r="UHI69"/>
  <c r="UHH69"/>
  <c r="UHG69"/>
  <c r="UHF69"/>
  <c r="UHE69"/>
  <c r="UHD69"/>
  <c r="UHC69"/>
  <c r="UHB69"/>
  <c r="UHA69"/>
  <c r="UGZ69"/>
  <c r="UGY69"/>
  <c r="UGX69"/>
  <c r="UGW69"/>
  <c r="UGV69"/>
  <c r="UGU69"/>
  <c r="UGT69"/>
  <c r="UGS69"/>
  <c r="UGR69"/>
  <c r="UGQ69"/>
  <c r="UGP69"/>
  <c r="UGO69"/>
  <c r="UGN69"/>
  <c r="UGM69"/>
  <c r="UGL69"/>
  <c r="UGK69"/>
  <c r="UGJ69"/>
  <c r="UGI69"/>
  <c r="UGH69"/>
  <c r="UGG69"/>
  <c r="UGF69"/>
  <c r="UGE69"/>
  <c r="UGD69"/>
  <c r="UGC69"/>
  <c r="UGB69"/>
  <c r="UGA69"/>
  <c r="UFZ69"/>
  <c r="UFY69"/>
  <c r="UFX69"/>
  <c r="UFW69"/>
  <c r="UFV69"/>
  <c r="UFU69"/>
  <c r="UFT69"/>
  <c r="UFS69"/>
  <c r="UFR69"/>
  <c r="UFQ69"/>
  <c r="UFP69"/>
  <c r="UFO69"/>
  <c r="UFN69"/>
  <c r="UFM69"/>
  <c r="UFL69"/>
  <c r="UFK69"/>
  <c r="UFJ69"/>
  <c r="UFI69"/>
  <c r="UFH69"/>
  <c r="UFG69"/>
  <c r="UFF69"/>
  <c r="UFE69"/>
  <c r="UFD69"/>
  <c r="UFC69"/>
  <c r="UFB69"/>
  <c r="UFA69"/>
  <c r="UEZ69"/>
  <c r="UEY69"/>
  <c r="UEX69"/>
  <c r="UEW69"/>
  <c r="UEV69"/>
  <c r="UEU69"/>
  <c r="UET69"/>
  <c r="UES69"/>
  <c r="UER69"/>
  <c r="UEQ69"/>
  <c r="UEP69"/>
  <c r="UEO69"/>
  <c r="UEN69"/>
  <c r="UEM69"/>
  <c r="UEL69"/>
  <c r="UEK69"/>
  <c r="UEJ69"/>
  <c r="UEI69"/>
  <c r="UEH69"/>
  <c r="UEG69"/>
  <c r="UEF69"/>
  <c r="UEE69"/>
  <c r="UED69"/>
  <c r="UEC69"/>
  <c r="UEB69"/>
  <c r="UEA69"/>
  <c r="UDZ69"/>
  <c r="UDY69"/>
  <c r="UDX69"/>
  <c r="UDW69"/>
  <c r="UDV69"/>
  <c r="UDU69"/>
  <c r="UDT69"/>
  <c r="UDS69"/>
  <c r="UDR69"/>
  <c r="UDQ69"/>
  <c r="UDP69"/>
  <c r="UDO69"/>
  <c r="UDN69"/>
  <c r="UDM69"/>
  <c r="UDL69"/>
  <c r="UDK69"/>
  <c r="UDJ69"/>
  <c r="UDI69"/>
  <c r="UDH69"/>
  <c r="UDG69"/>
  <c r="UDF69"/>
  <c r="UDE69"/>
  <c r="UDD69"/>
  <c r="UDC69"/>
  <c r="UDB69"/>
  <c r="UDA69"/>
  <c r="UCZ69"/>
  <c r="UCY69"/>
  <c r="UCX69"/>
  <c r="UCW69"/>
  <c r="UCV69"/>
  <c r="UCU69"/>
  <c r="UCT69"/>
  <c r="UCS69"/>
  <c r="UCR69"/>
  <c r="UCQ69"/>
  <c r="UCP69"/>
  <c r="UCO69"/>
  <c r="UCN69"/>
  <c r="UCM69"/>
  <c r="UCL69"/>
  <c r="UCK69"/>
  <c r="UCJ69"/>
  <c r="UCI69"/>
  <c r="UCH69"/>
  <c r="UCG69"/>
  <c r="UCF69"/>
  <c r="UCE69"/>
  <c r="UCD69"/>
  <c r="UCC69"/>
  <c r="UCB69"/>
  <c r="UCA69"/>
  <c r="UBZ69"/>
  <c r="UBY69"/>
  <c r="UBX69"/>
  <c r="UBW69"/>
  <c r="UBV69"/>
  <c r="UBU69"/>
  <c r="UBT69"/>
  <c r="UBS69"/>
  <c r="UBR69"/>
  <c r="UBQ69"/>
  <c r="UBP69"/>
  <c r="UBO69"/>
  <c r="UBN69"/>
  <c r="UBM69"/>
  <c r="UBL69"/>
  <c r="UBK69"/>
  <c r="UBJ69"/>
  <c r="UBI69"/>
  <c r="UBH69"/>
  <c r="UBG69"/>
  <c r="UBF69"/>
  <c r="UBE69"/>
  <c r="UBD69"/>
  <c r="UBC69"/>
  <c r="UBB69"/>
  <c r="UBA69"/>
  <c r="UAZ69"/>
  <c r="UAY69"/>
  <c r="UAX69"/>
  <c r="UAW69"/>
  <c r="UAV69"/>
  <c r="UAU69"/>
  <c r="UAT69"/>
  <c r="UAS69"/>
  <c r="UAR69"/>
  <c r="UAQ69"/>
  <c r="UAP69"/>
  <c r="UAO69"/>
  <c r="UAN69"/>
  <c r="UAM69"/>
  <c r="UAL69"/>
  <c r="UAK69"/>
  <c r="UAJ69"/>
  <c r="UAI69"/>
  <c r="UAH69"/>
  <c r="UAG69"/>
  <c r="UAF69"/>
  <c r="UAE69"/>
  <c r="UAD69"/>
  <c r="UAC69"/>
  <c r="UAB69"/>
  <c r="UAA69"/>
  <c r="TZZ69"/>
  <c r="TZY69"/>
  <c r="TZX69"/>
  <c r="TZW69"/>
  <c r="TZV69"/>
  <c r="TZU69"/>
  <c r="TZT69"/>
  <c r="TZS69"/>
  <c r="TZR69"/>
  <c r="TZQ69"/>
  <c r="TZP69"/>
  <c r="TZO69"/>
  <c r="TZN69"/>
  <c r="TZM69"/>
  <c r="TZL69"/>
  <c r="TZK69"/>
  <c r="TZJ69"/>
  <c r="TZI69"/>
  <c r="TZH69"/>
  <c r="TZG69"/>
  <c r="TZF69"/>
  <c r="TZE69"/>
  <c r="TZD69"/>
  <c r="TZC69"/>
  <c r="TZB69"/>
  <c r="TZA69"/>
  <c r="TYZ69"/>
  <c r="TYY69"/>
  <c r="TYX69"/>
  <c r="TYW69"/>
  <c r="TYV69"/>
  <c r="TYU69"/>
  <c r="TYT69"/>
  <c r="TYS69"/>
  <c r="TYR69"/>
  <c r="TYQ69"/>
  <c r="TYP69"/>
  <c r="TYO69"/>
  <c r="TYN69"/>
  <c r="TYM69"/>
  <c r="TYL69"/>
  <c r="TYK69"/>
  <c r="TYJ69"/>
  <c r="TYI69"/>
  <c r="TYH69"/>
  <c r="TYG69"/>
  <c r="TYF69"/>
  <c r="TYE69"/>
  <c r="TYD69"/>
  <c r="TYC69"/>
  <c r="TYB69"/>
  <c r="TYA69"/>
  <c r="TXZ69"/>
  <c r="TXY69"/>
  <c r="TXX69"/>
  <c r="TXW69"/>
  <c r="TXV69"/>
  <c r="TXU69"/>
  <c r="TXT69"/>
  <c r="TXS69"/>
  <c r="TXR69"/>
  <c r="TXQ69"/>
  <c r="TXP69"/>
  <c r="TXO69"/>
  <c r="TXN69"/>
  <c r="TXM69"/>
  <c r="TXL69"/>
  <c r="TXK69"/>
  <c r="TXJ69"/>
  <c r="TXI69"/>
  <c r="TXH69"/>
  <c r="TXG69"/>
  <c r="TXF69"/>
  <c r="TXE69"/>
  <c r="TXD69"/>
  <c r="TXC69"/>
  <c r="TXB69"/>
  <c r="TXA69"/>
  <c r="TWZ69"/>
  <c r="TWY69"/>
  <c r="TWX69"/>
  <c r="TWW69"/>
  <c r="TWV69"/>
  <c r="TWU69"/>
  <c r="TWT69"/>
  <c r="TWS69"/>
  <c r="TWR69"/>
  <c r="TWQ69"/>
  <c r="TWP69"/>
  <c r="TWO69"/>
  <c r="TWN69"/>
  <c r="TWM69"/>
  <c r="TWL69"/>
  <c r="TWK69"/>
  <c r="TWJ69"/>
  <c r="TWI69"/>
  <c r="TWH69"/>
  <c r="TWG69"/>
  <c r="TWF69"/>
  <c r="TWE69"/>
  <c r="TWD69"/>
  <c r="TWC69"/>
  <c r="TWB69"/>
  <c r="TWA69"/>
  <c r="TVZ69"/>
  <c r="TVY69"/>
  <c r="TVX69"/>
  <c r="TVW69"/>
  <c r="TVV69"/>
  <c r="TVU69"/>
  <c r="TVT69"/>
  <c r="TVS69"/>
  <c r="TVR69"/>
  <c r="TVQ69"/>
  <c r="TVP69"/>
  <c r="TVO69"/>
  <c r="TVN69"/>
  <c r="TVM69"/>
  <c r="TVL69"/>
  <c r="TVK69"/>
  <c r="TVJ69"/>
  <c r="TVI69"/>
  <c r="TVH69"/>
  <c r="TVG69"/>
  <c r="TVF69"/>
  <c r="TVE69"/>
  <c r="TVD69"/>
  <c r="TVC69"/>
  <c r="TVB69"/>
  <c r="TVA69"/>
  <c r="TUZ69"/>
  <c r="TUY69"/>
  <c r="TUX69"/>
  <c r="TUW69"/>
  <c r="TUV69"/>
  <c r="TUU69"/>
  <c r="TUT69"/>
  <c r="TUS69"/>
  <c r="TUR69"/>
  <c r="TUQ69"/>
  <c r="TUP69"/>
  <c r="TUO69"/>
  <c r="TUN69"/>
  <c r="TUM69"/>
  <c r="TUL69"/>
  <c r="TUK69"/>
  <c r="TUJ69"/>
  <c r="TUI69"/>
  <c r="TUH69"/>
  <c r="TUG69"/>
  <c r="TUF69"/>
  <c r="TUE69"/>
  <c r="TUD69"/>
  <c r="TUC69"/>
  <c r="TUB69"/>
  <c r="TUA69"/>
  <c r="TTZ69"/>
  <c r="TTY69"/>
  <c r="TTX69"/>
  <c r="TTW69"/>
  <c r="TTV69"/>
  <c r="TTU69"/>
  <c r="TTT69"/>
  <c r="TTS69"/>
  <c r="TTR69"/>
  <c r="TTQ69"/>
  <c r="TTP69"/>
  <c r="TTO69"/>
  <c r="TTN69"/>
  <c r="TTM69"/>
  <c r="TTL69"/>
  <c r="TTK69"/>
  <c r="TTJ69"/>
  <c r="TTI69"/>
  <c r="TTH69"/>
  <c r="TTG69"/>
  <c r="TTF69"/>
  <c r="TTE69"/>
  <c r="TTD69"/>
  <c r="TTC69"/>
  <c r="TTB69"/>
  <c r="TTA69"/>
  <c r="TSZ69"/>
  <c r="TSY69"/>
  <c r="TSX69"/>
  <c r="TSW69"/>
  <c r="TSV69"/>
  <c r="TSU69"/>
  <c r="TST69"/>
  <c r="TSS69"/>
  <c r="TSR69"/>
  <c r="TSQ69"/>
  <c r="TSP69"/>
  <c r="TSO69"/>
  <c r="TSN69"/>
  <c r="TSM69"/>
  <c r="TSL69"/>
  <c r="TSK69"/>
  <c r="TSJ69"/>
  <c r="TSI69"/>
  <c r="TSH69"/>
  <c r="TSG69"/>
  <c r="TSF69"/>
  <c r="TSE69"/>
  <c r="TSD69"/>
  <c r="TSC69"/>
  <c r="TSB69"/>
  <c r="TSA69"/>
  <c r="TRZ69"/>
  <c r="TRY69"/>
  <c r="TRX69"/>
  <c r="TRW69"/>
  <c r="TRV69"/>
  <c r="TRU69"/>
  <c r="TRT69"/>
  <c r="TRS69"/>
  <c r="TRR69"/>
  <c r="TRQ69"/>
  <c r="TRP69"/>
  <c r="TRO69"/>
  <c r="TRN69"/>
  <c r="TRM69"/>
  <c r="TRL69"/>
  <c r="TRK69"/>
  <c r="TRJ69"/>
  <c r="TRI69"/>
  <c r="TRH69"/>
  <c r="TRG69"/>
  <c r="TRF69"/>
  <c r="TRE69"/>
  <c r="TRD69"/>
  <c r="TRC69"/>
  <c r="TRB69"/>
  <c r="TRA69"/>
  <c r="TQZ69"/>
  <c r="TQY69"/>
  <c r="TQX69"/>
  <c r="TQW69"/>
  <c r="TQV69"/>
  <c r="TQU69"/>
  <c r="TQT69"/>
  <c r="TQS69"/>
  <c r="TQR69"/>
  <c r="TQQ69"/>
  <c r="TQP69"/>
  <c r="TQO69"/>
  <c r="TQN69"/>
  <c r="TQM69"/>
  <c r="TQL69"/>
  <c r="TQK69"/>
  <c r="TQJ69"/>
  <c r="TQI69"/>
  <c r="TQH69"/>
  <c r="TQG69"/>
  <c r="TQF69"/>
  <c r="TQE69"/>
  <c r="TQD69"/>
  <c r="TQC69"/>
  <c r="TQB69"/>
  <c r="TQA69"/>
  <c r="TPZ69"/>
  <c r="TPY69"/>
  <c r="TPX69"/>
  <c r="TPW69"/>
  <c r="TPV69"/>
  <c r="TPU69"/>
  <c r="TPT69"/>
  <c r="TPS69"/>
  <c r="TPR69"/>
  <c r="TPQ69"/>
  <c r="TPP69"/>
  <c r="TPO69"/>
  <c r="TPN69"/>
  <c r="TPM69"/>
  <c r="TPL69"/>
  <c r="TPK69"/>
  <c r="TPJ69"/>
  <c r="TPI69"/>
  <c r="TPH69"/>
  <c r="TPG69"/>
  <c r="TPF69"/>
  <c r="TPE69"/>
  <c r="TPD69"/>
  <c r="TPC69"/>
  <c r="TPB69"/>
  <c r="TPA69"/>
  <c r="TOZ69"/>
  <c r="TOY69"/>
  <c r="TOX69"/>
  <c r="TOW69"/>
  <c r="TOV69"/>
  <c r="TOU69"/>
  <c r="TOT69"/>
  <c r="TOS69"/>
  <c r="TOR69"/>
  <c r="TOQ69"/>
  <c r="TOP69"/>
  <c r="TOO69"/>
  <c r="TON69"/>
  <c r="TOM69"/>
  <c r="TOL69"/>
  <c r="TOK69"/>
  <c r="TOJ69"/>
  <c r="TOI69"/>
  <c r="TOH69"/>
  <c r="TOG69"/>
  <c r="TOF69"/>
  <c r="TOE69"/>
  <c r="TOD69"/>
  <c r="TOC69"/>
  <c r="TOB69"/>
  <c r="TOA69"/>
  <c r="TNZ69"/>
  <c r="TNY69"/>
  <c r="TNX69"/>
  <c r="TNW69"/>
  <c r="TNV69"/>
  <c r="TNU69"/>
  <c r="TNT69"/>
  <c r="TNS69"/>
  <c r="TNR69"/>
  <c r="TNQ69"/>
  <c r="TNP69"/>
  <c r="TNO69"/>
  <c r="TNN69"/>
  <c r="TNM69"/>
  <c r="TNL69"/>
  <c r="TNK69"/>
  <c r="TNJ69"/>
  <c r="TNI69"/>
  <c r="TNH69"/>
  <c r="TNG69"/>
  <c r="TNF69"/>
  <c r="TNE69"/>
  <c r="TND69"/>
  <c r="TNC69"/>
  <c r="TNB69"/>
  <c r="TNA69"/>
  <c r="TMZ69"/>
  <c r="TMY69"/>
  <c r="TMX69"/>
  <c r="TMW69"/>
  <c r="TMV69"/>
  <c r="TMU69"/>
  <c r="TMT69"/>
  <c r="TMS69"/>
  <c r="TMR69"/>
  <c r="TMQ69"/>
  <c r="TMP69"/>
  <c r="TMO69"/>
  <c r="TMN69"/>
  <c r="TMM69"/>
  <c r="TML69"/>
  <c r="TMK69"/>
  <c r="TMJ69"/>
  <c r="TMI69"/>
  <c r="TMH69"/>
  <c r="TMG69"/>
  <c r="TMF69"/>
  <c r="TME69"/>
  <c r="TMD69"/>
  <c r="TMC69"/>
  <c r="TMB69"/>
  <c r="TMA69"/>
  <c r="TLZ69"/>
  <c r="TLY69"/>
  <c r="TLX69"/>
  <c r="TLW69"/>
  <c r="TLV69"/>
  <c r="TLU69"/>
  <c r="TLT69"/>
  <c r="TLS69"/>
  <c r="TLR69"/>
  <c r="TLQ69"/>
  <c r="TLP69"/>
  <c r="TLO69"/>
  <c r="TLN69"/>
  <c r="TLM69"/>
  <c r="TLL69"/>
  <c r="TLK69"/>
  <c r="TLJ69"/>
  <c r="TLI69"/>
  <c r="TLH69"/>
  <c r="TLG69"/>
  <c r="TLF69"/>
  <c r="TLE69"/>
  <c r="TLD69"/>
  <c r="TLC69"/>
  <c r="TLB69"/>
  <c r="TLA69"/>
  <c r="TKZ69"/>
  <c r="TKY69"/>
  <c r="TKX69"/>
  <c r="TKW69"/>
  <c r="TKV69"/>
  <c r="TKU69"/>
  <c r="TKT69"/>
  <c r="TKS69"/>
  <c r="TKR69"/>
  <c r="TKQ69"/>
  <c r="TKP69"/>
  <c r="TKO69"/>
  <c r="TKN69"/>
  <c r="TKM69"/>
  <c r="TKL69"/>
  <c r="TKK69"/>
  <c r="TKJ69"/>
  <c r="TKI69"/>
  <c r="TKH69"/>
  <c r="TKG69"/>
  <c r="TKF69"/>
  <c r="TKE69"/>
  <c r="TKD69"/>
  <c r="TKC69"/>
  <c r="TKB69"/>
  <c r="TKA69"/>
  <c r="TJZ69"/>
  <c r="TJY69"/>
  <c r="TJX69"/>
  <c r="TJW69"/>
  <c r="TJV69"/>
  <c r="TJU69"/>
  <c r="TJT69"/>
  <c r="TJS69"/>
  <c r="TJR69"/>
  <c r="TJQ69"/>
  <c r="TJP69"/>
  <c r="TJO69"/>
  <c r="TJN69"/>
  <c r="TJM69"/>
  <c r="TJL69"/>
  <c r="TJK69"/>
  <c r="TJJ69"/>
  <c r="TJI69"/>
  <c r="TJH69"/>
  <c r="TJG69"/>
  <c r="TJF69"/>
  <c r="TJE69"/>
  <c r="TJD69"/>
  <c r="TJC69"/>
  <c r="TJB69"/>
  <c r="TJA69"/>
  <c r="TIZ69"/>
  <c r="TIY69"/>
  <c r="TIX69"/>
  <c r="TIW69"/>
  <c r="TIV69"/>
  <c r="TIU69"/>
  <c r="TIT69"/>
  <c r="TIS69"/>
  <c r="TIR69"/>
  <c r="TIQ69"/>
  <c r="TIP69"/>
  <c r="TIO69"/>
  <c r="TIN69"/>
  <c r="TIM69"/>
  <c r="TIL69"/>
  <c r="TIK69"/>
  <c r="TIJ69"/>
  <c r="TII69"/>
  <c r="TIH69"/>
  <c r="TIG69"/>
  <c r="TIF69"/>
  <c r="TIE69"/>
  <c r="TID69"/>
  <c r="TIC69"/>
  <c r="TIB69"/>
  <c r="TIA69"/>
  <c r="THZ69"/>
  <c r="THY69"/>
  <c r="THX69"/>
  <c r="THW69"/>
  <c r="THV69"/>
  <c r="THU69"/>
  <c r="THT69"/>
  <c r="THS69"/>
  <c r="THR69"/>
  <c r="THQ69"/>
  <c r="THP69"/>
  <c r="THO69"/>
  <c r="THN69"/>
  <c r="THM69"/>
  <c r="THL69"/>
  <c r="THK69"/>
  <c r="THJ69"/>
  <c r="THI69"/>
  <c r="THH69"/>
  <c r="THG69"/>
  <c r="THF69"/>
  <c r="THE69"/>
  <c r="THD69"/>
  <c r="THC69"/>
  <c r="THB69"/>
  <c r="THA69"/>
  <c r="TGZ69"/>
  <c r="TGY69"/>
  <c r="TGX69"/>
  <c r="TGW69"/>
  <c r="TGV69"/>
  <c r="TGU69"/>
  <c r="TGT69"/>
  <c r="TGS69"/>
  <c r="TGR69"/>
  <c r="TGQ69"/>
  <c r="TGP69"/>
  <c r="TGO69"/>
  <c r="TGN69"/>
  <c r="TGM69"/>
  <c r="TGL69"/>
  <c r="TGK69"/>
  <c r="TGJ69"/>
  <c r="TGI69"/>
  <c r="TGH69"/>
  <c r="TGG69"/>
  <c r="TGF69"/>
  <c r="TGE69"/>
  <c r="TGD69"/>
  <c r="TGC69"/>
  <c r="TGB69"/>
  <c r="TGA69"/>
  <c r="TFZ69"/>
  <c r="TFY69"/>
  <c r="TFX69"/>
  <c r="TFW69"/>
  <c r="TFV69"/>
  <c r="TFU69"/>
  <c r="TFT69"/>
  <c r="TFS69"/>
  <c r="TFR69"/>
  <c r="TFQ69"/>
  <c r="TFP69"/>
  <c r="TFO69"/>
  <c r="TFN69"/>
  <c r="TFM69"/>
  <c r="TFL69"/>
  <c r="TFK69"/>
  <c r="TFJ69"/>
  <c r="TFI69"/>
  <c r="TFH69"/>
  <c r="TFG69"/>
  <c r="TFF69"/>
  <c r="TFE69"/>
  <c r="TFD69"/>
  <c r="TFC69"/>
  <c r="TFB69"/>
  <c r="TFA69"/>
  <c r="TEZ69"/>
  <c r="TEY69"/>
  <c r="TEX69"/>
  <c r="TEW69"/>
  <c r="TEV69"/>
  <c r="TEU69"/>
  <c r="TET69"/>
  <c r="TES69"/>
  <c r="TER69"/>
  <c r="TEQ69"/>
  <c r="TEP69"/>
  <c r="TEO69"/>
  <c r="TEN69"/>
  <c r="TEM69"/>
  <c r="TEL69"/>
  <c r="TEK69"/>
  <c r="TEJ69"/>
  <c r="TEI69"/>
  <c r="TEH69"/>
  <c r="TEG69"/>
  <c r="TEF69"/>
  <c r="TEE69"/>
  <c r="TED69"/>
  <c r="TEC69"/>
  <c r="TEB69"/>
  <c r="TEA69"/>
  <c r="TDZ69"/>
  <c r="TDY69"/>
  <c r="TDX69"/>
  <c r="TDW69"/>
  <c r="TDV69"/>
  <c r="TDU69"/>
  <c r="TDT69"/>
  <c r="TDS69"/>
  <c r="TDR69"/>
  <c r="TDQ69"/>
  <c r="TDP69"/>
  <c r="TDO69"/>
  <c r="TDN69"/>
  <c r="TDM69"/>
  <c r="TDL69"/>
  <c r="TDK69"/>
  <c r="TDJ69"/>
  <c r="TDI69"/>
  <c r="TDH69"/>
  <c r="TDG69"/>
  <c r="TDF69"/>
  <c r="TDE69"/>
  <c r="TDD69"/>
  <c r="TDC69"/>
  <c r="TDB69"/>
  <c r="TDA69"/>
  <c r="TCZ69"/>
  <c r="TCY69"/>
  <c r="TCX69"/>
  <c r="TCW69"/>
  <c r="TCV69"/>
  <c r="TCU69"/>
  <c r="TCT69"/>
  <c r="TCS69"/>
  <c r="TCR69"/>
  <c r="TCQ69"/>
  <c r="TCP69"/>
  <c r="TCO69"/>
  <c r="TCN69"/>
  <c r="TCM69"/>
  <c r="TCL69"/>
  <c r="TCK69"/>
  <c r="TCJ69"/>
  <c r="TCI69"/>
  <c r="TCH69"/>
  <c r="TCG69"/>
  <c r="TCF69"/>
  <c r="TCE69"/>
  <c r="TCD69"/>
  <c r="TCC69"/>
  <c r="TCB69"/>
  <c r="TCA69"/>
  <c r="TBZ69"/>
  <c r="TBY69"/>
  <c r="TBX69"/>
  <c r="TBW69"/>
  <c r="TBV69"/>
  <c r="TBU69"/>
  <c r="TBT69"/>
  <c r="TBS69"/>
  <c r="TBR69"/>
  <c r="TBQ69"/>
  <c r="TBP69"/>
  <c r="TBO69"/>
  <c r="TBN69"/>
  <c r="TBM69"/>
  <c r="TBL69"/>
  <c r="TBK69"/>
  <c r="TBJ69"/>
  <c r="TBI69"/>
  <c r="TBH69"/>
  <c r="TBG69"/>
  <c r="TBF69"/>
  <c r="TBE69"/>
  <c r="TBD69"/>
  <c r="TBC69"/>
  <c r="TBB69"/>
  <c r="TBA69"/>
  <c r="TAZ69"/>
  <c r="TAY69"/>
  <c r="TAX69"/>
  <c r="TAW69"/>
  <c r="TAV69"/>
  <c r="TAU69"/>
  <c r="TAT69"/>
  <c r="TAS69"/>
  <c r="TAR69"/>
  <c r="TAQ69"/>
  <c r="TAP69"/>
  <c r="TAO69"/>
  <c r="TAN69"/>
  <c r="TAM69"/>
  <c r="TAL69"/>
  <c r="TAK69"/>
  <c r="TAJ69"/>
  <c r="TAI69"/>
  <c r="TAH69"/>
  <c r="TAG69"/>
  <c r="TAF69"/>
  <c r="TAE69"/>
  <c r="TAD69"/>
  <c r="TAC69"/>
  <c r="TAB69"/>
  <c r="TAA69"/>
  <c r="SZZ69"/>
  <c r="SZY69"/>
  <c r="SZX69"/>
  <c r="SZW69"/>
  <c r="SZV69"/>
  <c r="SZU69"/>
  <c r="SZT69"/>
  <c r="SZS69"/>
  <c r="SZR69"/>
  <c r="SZQ69"/>
  <c r="SZP69"/>
  <c r="SZO69"/>
  <c r="SZN69"/>
  <c r="SZM69"/>
  <c r="SZL69"/>
  <c r="SZK69"/>
  <c r="SZJ69"/>
  <c r="SZI69"/>
  <c r="SZH69"/>
  <c r="SZG69"/>
  <c r="SZF69"/>
  <c r="SZE69"/>
  <c r="SZD69"/>
  <c r="SZC69"/>
  <c r="SZB69"/>
  <c r="SZA69"/>
  <c r="SYZ69"/>
  <c r="SYY69"/>
  <c r="SYX69"/>
  <c r="SYW69"/>
  <c r="SYV69"/>
  <c r="SYU69"/>
  <c r="SYT69"/>
  <c r="SYS69"/>
  <c r="SYR69"/>
  <c r="SYQ69"/>
  <c r="SYP69"/>
  <c r="SYO69"/>
  <c r="SYN69"/>
  <c r="SYM69"/>
  <c r="SYL69"/>
  <c r="SYK69"/>
  <c r="SYJ69"/>
  <c r="SYI69"/>
  <c r="SYH69"/>
  <c r="SYG69"/>
  <c r="SYF69"/>
  <c r="SYE69"/>
  <c r="SYD69"/>
  <c r="SYC69"/>
  <c r="SYB69"/>
  <c r="SYA69"/>
  <c r="SXZ69"/>
  <c r="SXY69"/>
  <c r="SXX69"/>
  <c r="SXW69"/>
  <c r="SXV69"/>
  <c r="SXU69"/>
  <c r="SXT69"/>
  <c r="SXS69"/>
  <c r="SXR69"/>
  <c r="SXQ69"/>
  <c r="SXP69"/>
  <c r="SXO69"/>
  <c r="SXN69"/>
  <c r="SXM69"/>
  <c r="SXL69"/>
  <c r="SXK69"/>
  <c r="SXJ69"/>
  <c r="SXI69"/>
  <c r="SXH69"/>
  <c r="SXG69"/>
  <c r="SXF69"/>
  <c r="SXE69"/>
  <c r="SXD69"/>
  <c r="SXC69"/>
  <c r="SXB69"/>
  <c r="SXA69"/>
  <c r="SWZ69"/>
  <c r="SWY69"/>
  <c r="SWX69"/>
  <c r="SWW69"/>
  <c r="SWV69"/>
  <c r="SWU69"/>
  <c r="SWT69"/>
  <c r="SWS69"/>
  <c r="SWR69"/>
  <c r="SWQ69"/>
  <c r="SWP69"/>
  <c r="SWO69"/>
  <c r="SWN69"/>
  <c r="SWM69"/>
  <c r="SWL69"/>
  <c r="SWK69"/>
  <c r="SWJ69"/>
  <c r="SWI69"/>
  <c r="SWH69"/>
  <c r="SWG69"/>
  <c r="SWF69"/>
  <c r="SWE69"/>
  <c r="SWD69"/>
  <c r="SWC69"/>
  <c r="SWB69"/>
  <c r="SWA69"/>
  <c r="SVZ69"/>
  <c r="SVY69"/>
  <c r="SVX69"/>
  <c r="SVW69"/>
  <c r="SVV69"/>
  <c r="SVU69"/>
  <c r="SVT69"/>
  <c r="SVS69"/>
  <c r="SVR69"/>
  <c r="SVQ69"/>
  <c r="SVP69"/>
  <c r="SVO69"/>
  <c r="SVN69"/>
  <c r="SVM69"/>
  <c r="SVL69"/>
  <c r="SVK69"/>
  <c r="SVJ69"/>
  <c r="SVI69"/>
  <c r="SVH69"/>
  <c r="SVG69"/>
  <c r="SVF69"/>
  <c r="SVE69"/>
  <c r="SVD69"/>
  <c r="SVC69"/>
  <c r="SVB69"/>
  <c r="SVA69"/>
  <c r="SUZ69"/>
  <c r="SUY69"/>
  <c r="SUX69"/>
  <c r="SUW69"/>
  <c r="SUV69"/>
  <c r="SUU69"/>
  <c r="SUT69"/>
  <c r="SUS69"/>
  <c r="SUR69"/>
  <c r="SUQ69"/>
  <c r="SUP69"/>
  <c r="SUO69"/>
  <c r="SUN69"/>
  <c r="SUM69"/>
  <c r="SUL69"/>
  <c r="SUK69"/>
  <c r="SUJ69"/>
  <c r="SUI69"/>
  <c r="SUH69"/>
  <c r="SUG69"/>
  <c r="SUF69"/>
  <c r="SUE69"/>
  <c r="SUD69"/>
  <c r="SUC69"/>
  <c r="SUB69"/>
  <c r="SUA69"/>
  <c r="STZ69"/>
  <c r="STY69"/>
  <c r="STX69"/>
  <c r="STW69"/>
  <c r="STV69"/>
  <c r="STU69"/>
  <c r="STT69"/>
  <c r="STS69"/>
  <c r="STR69"/>
  <c r="STQ69"/>
  <c r="STP69"/>
  <c r="STO69"/>
  <c r="STN69"/>
  <c r="STM69"/>
  <c r="STL69"/>
  <c r="STK69"/>
  <c r="STJ69"/>
  <c r="STI69"/>
  <c r="STH69"/>
  <c r="STG69"/>
  <c r="STF69"/>
  <c r="STE69"/>
  <c r="STD69"/>
  <c r="STC69"/>
  <c r="STB69"/>
  <c r="STA69"/>
  <c r="SSZ69"/>
  <c r="SSY69"/>
  <c r="SSX69"/>
  <c r="SSW69"/>
  <c r="SSV69"/>
  <c r="SSU69"/>
  <c r="SST69"/>
  <c r="SSS69"/>
  <c r="SSR69"/>
  <c r="SSQ69"/>
  <c r="SSP69"/>
  <c r="SSO69"/>
  <c r="SSN69"/>
  <c r="SSM69"/>
  <c r="SSL69"/>
  <c r="SSK69"/>
  <c r="SSJ69"/>
  <c r="SSI69"/>
  <c r="SSH69"/>
  <c r="SSG69"/>
  <c r="SSF69"/>
  <c r="SSE69"/>
  <c r="SSD69"/>
  <c r="SSC69"/>
  <c r="SSB69"/>
  <c r="SSA69"/>
  <c r="SRZ69"/>
  <c r="SRY69"/>
  <c r="SRX69"/>
  <c r="SRW69"/>
  <c r="SRV69"/>
  <c r="SRU69"/>
  <c r="SRT69"/>
  <c r="SRS69"/>
  <c r="SRR69"/>
  <c r="SRQ69"/>
  <c r="SRP69"/>
  <c r="SRO69"/>
  <c r="SRN69"/>
  <c r="SRM69"/>
  <c r="SRL69"/>
  <c r="SRK69"/>
  <c r="SRJ69"/>
  <c r="SRI69"/>
  <c r="SRH69"/>
  <c r="SRG69"/>
  <c r="SRF69"/>
  <c r="SRE69"/>
  <c r="SRD69"/>
  <c r="SRC69"/>
  <c r="SRB69"/>
  <c r="SRA69"/>
  <c r="SQZ69"/>
  <c r="SQY69"/>
  <c r="SQX69"/>
  <c r="SQW69"/>
  <c r="SQV69"/>
  <c r="SQU69"/>
  <c r="SQT69"/>
  <c r="SQS69"/>
  <c r="SQR69"/>
  <c r="SQQ69"/>
  <c r="SQP69"/>
  <c r="SQO69"/>
  <c r="SQN69"/>
  <c r="SQM69"/>
  <c r="SQL69"/>
  <c r="SQK69"/>
  <c r="SQJ69"/>
  <c r="SQI69"/>
  <c r="SQH69"/>
  <c r="SQG69"/>
  <c r="SQF69"/>
  <c r="SQE69"/>
  <c r="SQD69"/>
  <c r="SQC69"/>
  <c r="SQB69"/>
  <c r="SQA69"/>
  <c r="SPZ69"/>
  <c r="SPY69"/>
  <c r="SPX69"/>
  <c r="SPW69"/>
  <c r="SPV69"/>
  <c r="SPU69"/>
  <c r="SPT69"/>
  <c r="SPS69"/>
  <c r="SPR69"/>
  <c r="SPQ69"/>
  <c r="SPP69"/>
  <c r="SPO69"/>
  <c r="SPN69"/>
  <c r="SPM69"/>
  <c r="SPL69"/>
  <c r="SPK69"/>
  <c r="SPJ69"/>
  <c r="SPI69"/>
  <c r="SPH69"/>
  <c r="SPG69"/>
  <c r="SPF69"/>
  <c r="SPE69"/>
  <c r="SPD69"/>
  <c r="SPC69"/>
  <c r="SPB69"/>
  <c r="SPA69"/>
  <c r="SOZ69"/>
  <c r="SOY69"/>
  <c r="SOX69"/>
  <c r="SOW69"/>
  <c r="SOV69"/>
  <c r="SOU69"/>
  <c r="SOT69"/>
  <c r="SOS69"/>
  <c r="SOR69"/>
  <c r="SOQ69"/>
  <c r="SOP69"/>
  <c r="SOO69"/>
  <c r="SON69"/>
  <c r="SOM69"/>
  <c r="SOL69"/>
  <c r="SOK69"/>
  <c r="SOJ69"/>
  <c r="SOI69"/>
  <c r="SOH69"/>
  <c r="SOG69"/>
  <c r="SOF69"/>
  <c r="SOE69"/>
  <c r="SOD69"/>
  <c r="SOC69"/>
  <c r="SOB69"/>
  <c r="SOA69"/>
  <c r="SNZ69"/>
  <c r="SNY69"/>
  <c r="SNX69"/>
  <c r="SNW69"/>
  <c r="SNV69"/>
  <c r="SNU69"/>
  <c r="SNT69"/>
  <c r="SNS69"/>
  <c r="SNR69"/>
  <c r="SNQ69"/>
  <c r="SNP69"/>
  <c r="SNO69"/>
  <c r="SNN69"/>
  <c r="SNM69"/>
  <c r="SNL69"/>
  <c r="SNK69"/>
  <c r="SNJ69"/>
  <c r="SNI69"/>
  <c r="SNH69"/>
  <c r="SNG69"/>
  <c r="SNF69"/>
  <c r="SNE69"/>
  <c r="SND69"/>
  <c r="SNC69"/>
  <c r="SNB69"/>
  <c r="SNA69"/>
  <c r="SMZ69"/>
  <c r="SMY69"/>
  <c r="SMX69"/>
  <c r="SMW69"/>
  <c r="SMV69"/>
  <c r="SMU69"/>
  <c r="SMT69"/>
  <c r="SMS69"/>
  <c r="SMR69"/>
  <c r="SMQ69"/>
  <c r="SMP69"/>
  <c r="SMO69"/>
  <c r="SMN69"/>
  <c r="SMM69"/>
  <c r="SML69"/>
  <c r="SMK69"/>
  <c r="SMJ69"/>
  <c r="SMI69"/>
  <c r="SMH69"/>
  <c r="SMG69"/>
  <c r="SMF69"/>
  <c r="SME69"/>
  <c r="SMD69"/>
  <c r="SMC69"/>
  <c r="SMB69"/>
  <c r="SMA69"/>
  <c r="SLZ69"/>
  <c r="SLY69"/>
  <c r="SLX69"/>
  <c r="SLW69"/>
  <c r="SLV69"/>
  <c r="SLU69"/>
  <c r="SLT69"/>
  <c r="SLS69"/>
  <c r="SLR69"/>
  <c r="SLQ69"/>
  <c r="SLP69"/>
  <c r="SLO69"/>
  <c r="SLN69"/>
  <c r="SLM69"/>
  <c r="SLL69"/>
  <c r="SLK69"/>
  <c r="SLJ69"/>
  <c r="SLI69"/>
  <c r="SLH69"/>
  <c r="SLG69"/>
  <c r="SLF69"/>
  <c r="SLE69"/>
  <c r="SLD69"/>
  <c r="SLC69"/>
  <c r="SLB69"/>
  <c r="SLA69"/>
  <c r="SKZ69"/>
  <c r="SKY69"/>
  <c r="SKX69"/>
  <c r="SKW69"/>
  <c r="SKV69"/>
  <c r="SKU69"/>
  <c r="SKT69"/>
  <c r="SKS69"/>
  <c r="SKR69"/>
  <c r="SKQ69"/>
  <c r="SKP69"/>
  <c r="SKO69"/>
  <c r="SKN69"/>
  <c r="SKM69"/>
  <c r="SKL69"/>
  <c r="SKK69"/>
  <c r="SKJ69"/>
  <c r="SKI69"/>
  <c r="SKH69"/>
  <c r="SKG69"/>
  <c r="SKF69"/>
  <c r="SKE69"/>
  <c r="SKD69"/>
  <c r="SKC69"/>
  <c r="SKB69"/>
  <c r="SKA69"/>
  <c r="SJZ69"/>
  <c r="SJY69"/>
  <c r="SJX69"/>
  <c r="SJW69"/>
  <c r="SJV69"/>
  <c r="SJU69"/>
  <c r="SJT69"/>
  <c r="SJS69"/>
  <c r="SJR69"/>
  <c r="SJQ69"/>
  <c r="SJP69"/>
  <c r="SJO69"/>
  <c r="SJN69"/>
  <c r="SJM69"/>
  <c r="SJL69"/>
  <c r="SJK69"/>
  <c r="SJJ69"/>
  <c r="SJI69"/>
  <c r="SJH69"/>
  <c r="SJG69"/>
  <c r="SJF69"/>
  <c r="SJE69"/>
  <c r="SJD69"/>
  <c r="SJC69"/>
  <c r="SJB69"/>
  <c r="SJA69"/>
  <c r="SIZ69"/>
  <c r="SIY69"/>
  <c r="SIX69"/>
  <c r="SIW69"/>
  <c r="SIV69"/>
  <c r="SIU69"/>
  <c r="SIT69"/>
  <c r="SIS69"/>
  <c r="SIR69"/>
  <c r="SIQ69"/>
  <c r="SIP69"/>
  <c r="SIO69"/>
  <c r="SIN69"/>
  <c r="SIM69"/>
  <c r="SIL69"/>
  <c r="SIK69"/>
  <c r="SIJ69"/>
  <c r="SII69"/>
  <c r="SIH69"/>
  <c r="SIG69"/>
  <c r="SIF69"/>
  <c r="SIE69"/>
  <c r="SID69"/>
  <c r="SIC69"/>
  <c r="SIB69"/>
  <c r="SIA69"/>
  <c r="SHZ69"/>
  <c r="SHY69"/>
  <c r="SHX69"/>
  <c r="SHW69"/>
  <c r="SHV69"/>
  <c r="SHU69"/>
  <c r="SHT69"/>
  <c r="SHS69"/>
  <c r="SHR69"/>
  <c r="SHQ69"/>
  <c r="SHP69"/>
  <c r="SHO69"/>
  <c r="SHN69"/>
  <c r="SHM69"/>
  <c r="SHL69"/>
  <c r="SHK69"/>
  <c r="SHJ69"/>
  <c r="SHI69"/>
  <c r="SHH69"/>
  <c r="SHG69"/>
  <c r="SHF69"/>
  <c r="SHE69"/>
  <c r="SHD69"/>
  <c r="SHC69"/>
  <c r="SHB69"/>
  <c r="SHA69"/>
  <c r="SGZ69"/>
  <c r="SGY69"/>
  <c r="SGX69"/>
  <c r="SGW69"/>
  <c r="SGV69"/>
  <c r="SGU69"/>
  <c r="SGT69"/>
  <c r="SGS69"/>
  <c r="SGR69"/>
  <c r="SGQ69"/>
  <c r="SGP69"/>
  <c r="SGO69"/>
  <c r="SGN69"/>
  <c r="SGM69"/>
  <c r="SGL69"/>
  <c r="SGK69"/>
  <c r="SGJ69"/>
  <c r="SGI69"/>
  <c r="SGH69"/>
  <c r="SGG69"/>
  <c r="SGF69"/>
  <c r="SGE69"/>
  <c r="SGD69"/>
  <c r="SGC69"/>
  <c r="SGB69"/>
  <c r="SGA69"/>
  <c r="SFZ69"/>
  <c r="SFY69"/>
  <c r="SFX69"/>
  <c r="SFW69"/>
  <c r="SFV69"/>
  <c r="SFU69"/>
  <c r="SFT69"/>
  <c r="SFS69"/>
  <c r="SFR69"/>
  <c r="SFQ69"/>
  <c r="SFP69"/>
  <c r="SFO69"/>
  <c r="SFN69"/>
  <c r="SFM69"/>
  <c r="SFL69"/>
  <c r="SFK69"/>
  <c r="SFJ69"/>
  <c r="SFI69"/>
  <c r="SFH69"/>
  <c r="SFG69"/>
  <c r="SFF69"/>
  <c r="SFE69"/>
  <c r="SFD69"/>
  <c r="SFC69"/>
  <c r="SFB69"/>
  <c r="SFA69"/>
  <c r="SEZ69"/>
  <c r="SEY69"/>
  <c r="SEX69"/>
  <c r="SEW69"/>
  <c r="SEV69"/>
  <c r="SEU69"/>
  <c r="SET69"/>
  <c r="SES69"/>
  <c r="SER69"/>
  <c r="SEQ69"/>
  <c r="SEP69"/>
  <c r="SEO69"/>
  <c r="SEN69"/>
  <c r="SEM69"/>
  <c r="SEL69"/>
  <c r="SEK69"/>
  <c r="SEJ69"/>
  <c r="SEI69"/>
  <c r="SEH69"/>
  <c r="SEG69"/>
  <c r="SEF69"/>
  <c r="SEE69"/>
  <c r="SED69"/>
  <c r="SEC69"/>
  <c r="SEB69"/>
  <c r="SEA69"/>
  <c r="SDZ69"/>
  <c r="SDY69"/>
  <c r="SDX69"/>
  <c r="SDW69"/>
  <c r="SDV69"/>
  <c r="SDU69"/>
  <c r="SDT69"/>
  <c r="SDS69"/>
  <c r="SDR69"/>
  <c r="SDQ69"/>
  <c r="SDP69"/>
  <c r="SDO69"/>
  <c r="SDN69"/>
  <c r="SDM69"/>
  <c r="SDL69"/>
  <c r="SDK69"/>
  <c r="SDJ69"/>
  <c r="SDI69"/>
  <c r="SDH69"/>
  <c r="SDG69"/>
  <c r="SDF69"/>
  <c r="SDE69"/>
  <c r="SDD69"/>
  <c r="SDC69"/>
  <c r="SDB69"/>
  <c r="SDA69"/>
  <c r="SCZ69"/>
  <c r="SCY69"/>
  <c r="SCX69"/>
  <c r="SCW69"/>
  <c r="SCV69"/>
  <c r="SCU69"/>
  <c r="SCT69"/>
  <c r="SCS69"/>
  <c r="SCR69"/>
  <c r="SCQ69"/>
  <c r="SCP69"/>
  <c r="SCO69"/>
  <c r="SCN69"/>
  <c r="SCM69"/>
  <c r="SCL69"/>
  <c r="SCK69"/>
  <c r="SCJ69"/>
  <c r="SCI69"/>
  <c r="SCH69"/>
  <c r="SCG69"/>
  <c r="SCF69"/>
  <c r="SCE69"/>
  <c r="SCD69"/>
  <c r="SCC69"/>
  <c r="SCB69"/>
  <c r="SCA69"/>
  <c r="SBZ69"/>
  <c r="SBY69"/>
  <c r="SBX69"/>
  <c r="SBW69"/>
  <c r="SBV69"/>
  <c r="SBU69"/>
  <c r="SBT69"/>
  <c r="SBS69"/>
  <c r="SBR69"/>
  <c r="SBQ69"/>
  <c r="SBP69"/>
  <c r="SBO69"/>
  <c r="SBN69"/>
  <c r="SBM69"/>
  <c r="SBL69"/>
  <c r="SBK69"/>
  <c r="SBJ69"/>
  <c r="SBI69"/>
  <c r="SBH69"/>
  <c r="SBG69"/>
  <c r="SBF69"/>
  <c r="SBE69"/>
  <c r="SBD69"/>
  <c r="SBC69"/>
  <c r="SBB69"/>
  <c r="SBA69"/>
  <c r="SAZ69"/>
  <c r="SAY69"/>
  <c r="SAX69"/>
  <c r="SAW69"/>
  <c r="SAV69"/>
  <c r="SAU69"/>
  <c r="SAT69"/>
  <c r="SAS69"/>
  <c r="SAR69"/>
  <c r="SAQ69"/>
  <c r="SAP69"/>
  <c r="SAO69"/>
  <c r="SAN69"/>
  <c r="SAM69"/>
  <c r="SAL69"/>
  <c r="SAK69"/>
  <c r="SAJ69"/>
  <c r="SAI69"/>
  <c r="SAH69"/>
  <c r="SAG69"/>
  <c r="SAF69"/>
  <c r="SAE69"/>
  <c r="SAD69"/>
  <c r="SAC69"/>
  <c r="SAB69"/>
  <c r="SAA69"/>
  <c r="RZZ69"/>
  <c r="RZY69"/>
  <c r="RZX69"/>
  <c r="RZW69"/>
  <c r="RZV69"/>
  <c r="RZU69"/>
  <c r="RZT69"/>
  <c r="RZS69"/>
  <c r="RZR69"/>
  <c r="RZQ69"/>
  <c r="RZP69"/>
  <c r="RZO69"/>
  <c r="RZN69"/>
  <c r="RZM69"/>
  <c r="RZL69"/>
  <c r="RZK69"/>
  <c r="RZJ69"/>
  <c r="RZI69"/>
  <c r="RZH69"/>
  <c r="RZG69"/>
  <c r="RZF69"/>
  <c r="RZE69"/>
  <c r="RZD69"/>
  <c r="RZC69"/>
  <c r="RZB69"/>
  <c r="RZA69"/>
  <c r="RYZ69"/>
  <c r="RYY69"/>
  <c r="RYX69"/>
  <c r="RYW69"/>
  <c r="RYV69"/>
  <c r="RYU69"/>
  <c r="RYT69"/>
  <c r="RYS69"/>
  <c r="RYR69"/>
  <c r="RYQ69"/>
  <c r="RYP69"/>
  <c r="RYO69"/>
  <c r="RYN69"/>
  <c r="RYM69"/>
  <c r="RYL69"/>
  <c r="RYK69"/>
  <c r="RYJ69"/>
  <c r="RYI69"/>
  <c r="RYH69"/>
  <c r="RYG69"/>
  <c r="RYF69"/>
  <c r="RYE69"/>
  <c r="RYD69"/>
  <c r="RYC69"/>
  <c r="RYB69"/>
  <c r="RYA69"/>
  <c r="RXZ69"/>
  <c r="RXY69"/>
  <c r="RXX69"/>
  <c r="RXW69"/>
  <c r="RXV69"/>
  <c r="RXU69"/>
  <c r="RXT69"/>
  <c r="RXS69"/>
  <c r="RXR69"/>
  <c r="RXQ69"/>
  <c r="RXP69"/>
  <c r="RXO69"/>
  <c r="RXN69"/>
  <c r="RXM69"/>
  <c r="RXL69"/>
  <c r="RXK69"/>
  <c r="RXJ69"/>
  <c r="RXI69"/>
  <c r="RXH69"/>
  <c r="RXG69"/>
  <c r="RXF69"/>
  <c r="RXE69"/>
  <c r="RXD69"/>
  <c r="RXC69"/>
  <c r="RXB69"/>
  <c r="RXA69"/>
  <c r="RWZ69"/>
  <c r="RWY69"/>
  <c r="RWX69"/>
  <c r="RWW69"/>
  <c r="RWV69"/>
  <c r="RWU69"/>
  <c r="RWT69"/>
  <c r="RWS69"/>
  <c r="RWR69"/>
  <c r="RWQ69"/>
  <c r="RWP69"/>
  <c r="RWO69"/>
  <c r="RWN69"/>
  <c r="RWM69"/>
  <c r="RWL69"/>
  <c r="RWK69"/>
  <c r="RWJ69"/>
  <c r="RWI69"/>
  <c r="RWH69"/>
  <c r="RWG69"/>
  <c r="RWF69"/>
  <c r="RWE69"/>
  <c r="RWD69"/>
  <c r="RWC69"/>
  <c r="RWB69"/>
  <c r="RWA69"/>
  <c r="RVZ69"/>
  <c r="RVY69"/>
  <c r="RVX69"/>
  <c r="RVW69"/>
  <c r="RVV69"/>
  <c r="RVU69"/>
  <c r="RVT69"/>
  <c r="RVS69"/>
  <c r="RVR69"/>
  <c r="RVQ69"/>
  <c r="RVP69"/>
  <c r="RVO69"/>
  <c r="RVN69"/>
  <c r="RVM69"/>
  <c r="RVL69"/>
  <c r="RVK69"/>
  <c r="RVJ69"/>
  <c r="RVI69"/>
  <c r="RVH69"/>
  <c r="RVG69"/>
  <c r="RVF69"/>
  <c r="RVE69"/>
  <c r="RVD69"/>
  <c r="RVC69"/>
  <c r="RVB69"/>
  <c r="RVA69"/>
  <c r="RUZ69"/>
  <c r="RUY69"/>
  <c r="RUX69"/>
  <c r="RUW69"/>
  <c r="RUV69"/>
  <c r="RUU69"/>
  <c r="RUT69"/>
  <c r="RUS69"/>
  <c r="RUR69"/>
  <c r="RUQ69"/>
  <c r="RUP69"/>
  <c r="RUO69"/>
  <c r="RUN69"/>
  <c r="RUM69"/>
  <c r="RUL69"/>
  <c r="RUK69"/>
  <c r="RUJ69"/>
  <c r="RUI69"/>
  <c r="RUH69"/>
  <c r="RUG69"/>
  <c r="RUF69"/>
  <c r="RUE69"/>
  <c r="RUD69"/>
  <c r="RUC69"/>
  <c r="RUB69"/>
  <c r="RUA69"/>
  <c r="RTZ69"/>
  <c r="RTY69"/>
  <c r="RTX69"/>
  <c r="RTW69"/>
  <c r="RTV69"/>
  <c r="RTU69"/>
  <c r="RTT69"/>
  <c r="RTS69"/>
  <c r="RTR69"/>
  <c r="RTQ69"/>
  <c r="RTP69"/>
  <c r="RTO69"/>
  <c r="RTN69"/>
  <c r="RTM69"/>
  <c r="RTL69"/>
  <c r="RTK69"/>
  <c r="RTJ69"/>
  <c r="RTI69"/>
  <c r="RTH69"/>
  <c r="RTG69"/>
  <c r="RTF69"/>
  <c r="RTE69"/>
  <c r="RTD69"/>
  <c r="RTC69"/>
  <c r="RTB69"/>
  <c r="RTA69"/>
  <c r="RSZ69"/>
  <c r="RSY69"/>
  <c r="RSX69"/>
  <c r="RSW69"/>
  <c r="RSV69"/>
  <c r="RSU69"/>
  <c r="RST69"/>
  <c r="RSS69"/>
  <c r="RSR69"/>
  <c r="RSQ69"/>
  <c r="RSP69"/>
  <c r="RSO69"/>
  <c r="RSN69"/>
  <c r="RSM69"/>
  <c r="RSL69"/>
  <c r="RSK69"/>
  <c r="RSJ69"/>
  <c r="RSI69"/>
  <c r="RSH69"/>
  <c r="RSG69"/>
  <c r="RSF69"/>
  <c r="RSE69"/>
  <c r="RSD69"/>
  <c r="RSC69"/>
  <c r="RSB69"/>
  <c r="RSA69"/>
  <c r="RRZ69"/>
  <c r="RRY69"/>
  <c r="RRX69"/>
  <c r="RRW69"/>
  <c r="RRV69"/>
  <c r="RRU69"/>
  <c r="RRT69"/>
  <c r="RRS69"/>
  <c r="RRR69"/>
  <c r="RRQ69"/>
  <c r="RRP69"/>
  <c r="RRO69"/>
  <c r="RRN69"/>
  <c r="RRM69"/>
  <c r="RRL69"/>
  <c r="RRK69"/>
  <c r="RRJ69"/>
  <c r="RRI69"/>
  <c r="RRH69"/>
  <c r="RRG69"/>
  <c r="RRF69"/>
  <c r="RRE69"/>
  <c r="RRD69"/>
  <c r="RRC69"/>
  <c r="RRB69"/>
  <c r="RRA69"/>
  <c r="RQZ69"/>
  <c r="RQY69"/>
  <c r="RQX69"/>
  <c r="RQW69"/>
  <c r="RQV69"/>
  <c r="RQU69"/>
  <c r="RQT69"/>
  <c r="RQS69"/>
  <c r="RQR69"/>
  <c r="RQQ69"/>
  <c r="RQP69"/>
  <c r="RQO69"/>
  <c r="RQN69"/>
  <c r="RQM69"/>
  <c r="RQL69"/>
  <c r="RQK69"/>
  <c r="RQJ69"/>
  <c r="RQI69"/>
  <c r="RQH69"/>
  <c r="RQG69"/>
  <c r="RQF69"/>
  <c r="RQE69"/>
  <c r="RQD69"/>
  <c r="RQC69"/>
  <c r="RQB69"/>
  <c r="RQA69"/>
  <c r="RPZ69"/>
  <c r="RPY69"/>
  <c r="RPX69"/>
  <c r="RPW69"/>
  <c r="RPV69"/>
  <c r="RPU69"/>
  <c r="RPT69"/>
  <c r="RPS69"/>
  <c r="RPR69"/>
  <c r="RPQ69"/>
  <c r="RPP69"/>
  <c r="RPO69"/>
  <c r="RPN69"/>
  <c r="RPM69"/>
  <c r="RPL69"/>
  <c r="RPK69"/>
  <c r="RPJ69"/>
  <c r="RPI69"/>
  <c r="RPH69"/>
  <c r="RPG69"/>
  <c r="RPF69"/>
  <c r="RPE69"/>
  <c r="RPD69"/>
  <c r="RPC69"/>
  <c r="RPB69"/>
  <c r="RPA69"/>
  <c r="ROZ69"/>
  <c r="ROY69"/>
  <c r="ROX69"/>
  <c r="ROW69"/>
  <c r="ROV69"/>
  <c r="ROU69"/>
  <c r="ROT69"/>
  <c r="ROS69"/>
  <c r="ROR69"/>
  <c r="ROQ69"/>
  <c r="ROP69"/>
  <c r="ROO69"/>
  <c r="RON69"/>
  <c r="ROM69"/>
  <c r="ROL69"/>
  <c r="ROK69"/>
  <c r="ROJ69"/>
  <c r="ROI69"/>
  <c r="ROH69"/>
  <c r="ROG69"/>
  <c r="ROF69"/>
  <c r="ROE69"/>
  <c r="ROD69"/>
  <c r="ROC69"/>
  <c r="ROB69"/>
  <c r="ROA69"/>
  <c r="RNZ69"/>
  <c r="RNY69"/>
  <c r="RNX69"/>
  <c r="RNW69"/>
  <c r="RNV69"/>
  <c r="RNU69"/>
  <c r="RNT69"/>
  <c r="RNS69"/>
  <c r="RNR69"/>
  <c r="RNQ69"/>
  <c r="RNP69"/>
  <c r="RNO69"/>
  <c r="RNN69"/>
  <c r="RNM69"/>
  <c r="RNL69"/>
  <c r="RNK69"/>
  <c r="RNJ69"/>
  <c r="RNI69"/>
  <c r="RNH69"/>
  <c r="RNG69"/>
  <c r="RNF69"/>
  <c r="RNE69"/>
  <c r="RND69"/>
  <c r="RNC69"/>
  <c r="RNB69"/>
  <c r="RNA69"/>
  <c r="RMZ69"/>
  <c r="RMY69"/>
  <c r="RMX69"/>
  <c r="RMW69"/>
  <c r="RMV69"/>
  <c r="RMU69"/>
  <c r="RMT69"/>
  <c r="RMS69"/>
  <c r="RMR69"/>
  <c r="RMQ69"/>
  <c r="RMP69"/>
  <c r="RMO69"/>
  <c r="RMN69"/>
  <c r="RMM69"/>
  <c r="RML69"/>
  <c r="RMK69"/>
  <c r="RMJ69"/>
  <c r="RMI69"/>
  <c r="RMH69"/>
  <c r="RMG69"/>
  <c r="RMF69"/>
  <c r="RME69"/>
  <c r="RMD69"/>
  <c r="RMC69"/>
  <c r="RMB69"/>
  <c r="RMA69"/>
  <c r="RLZ69"/>
  <c r="RLY69"/>
  <c r="RLX69"/>
  <c r="RLW69"/>
  <c r="RLV69"/>
  <c r="RLU69"/>
  <c r="RLT69"/>
  <c r="RLS69"/>
  <c r="RLR69"/>
  <c r="RLQ69"/>
  <c r="RLP69"/>
  <c r="RLO69"/>
  <c r="RLN69"/>
  <c r="RLM69"/>
  <c r="RLL69"/>
  <c r="RLK69"/>
  <c r="RLJ69"/>
  <c r="RLI69"/>
  <c r="RLH69"/>
  <c r="RLG69"/>
  <c r="RLF69"/>
  <c r="RLE69"/>
  <c r="RLD69"/>
  <c r="RLC69"/>
  <c r="RLB69"/>
  <c r="RLA69"/>
  <c r="RKZ69"/>
  <c r="RKY69"/>
  <c r="RKX69"/>
  <c r="RKW69"/>
  <c r="RKV69"/>
  <c r="RKU69"/>
  <c r="RKT69"/>
  <c r="RKS69"/>
  <c r="RKR69"/>
  <c r="RKQ69"/>
  <c r="RKP69"/>
  <c r="RKO69"/>
  <c r="RKN69"/>
  <c r="RKM69"/>
  <c r="RKL69"/>
  <c r="RKK69"/>
  <c r="RKJ69"/>
  <c r="RKI69"/>
  <c r="RKH69"/>
  <c r="RKG69"/>
  <c r="RKF69"/>
  <c r="RKE69"/>
  <c r="RKD69"/>
  <c r="RKC69"/>
  <c r="RKB69"/>
  <c r="RKA69"/>
  <c r="RJZ69"/>
  <c r="RJY69"/>
  <c r="RJX69"/>
  <c r="RJW69"/>
  <c r="RJV69"/>
  <c r="RJU69"/>
  <c r="RJT69"/>
  <c r="RJS69"/>
  <c r="RJR69"/>
  <c r="RJQ69"/>
  <c r="RJP69"/>
  <c r="RJO69"/>
  <c r="RJN69"/>
  <c r="RJM69"/>
  <c r="RJL69"/>
  <c r="RJK69"/>
  <c r="RJJ69"/>
  <c r="RJI69"/>
  <c r="RJH69"/>
  <c r="RJG69"/>
  <c r="RJF69"/>
  <c r="RJE69"/>
  <c r="RJD69"/>
  <c r="RJC69"/>
  <c r="RJB69"/>
  <c r="RJA69"/>
  <c r="RIZ69"/>
  <c r="RIY69"/>
  <c r="RIX69"/>
  <c r="RIW69"/>
  <c r="RIV69"/>
  <c r="RIU69"/>
  <c r="RIT69"/>
  <c r="RIS69"/>
  <c r="RIR69"/>
  <c r="RIQ69"/>
  <c r="RIP69"/>
  <c r="RIO69"/>
  <c r="RIN69"/>
  <c r="RIM69"/>
  <c r="RIL69"/>
  <c r="RIK69"/>
  <c r="RIJ69"/>
  <c r="RII69"/>
  <c r="RIH69"/>
  <c r="RIG69"/>
  <c r="RIF69"/>
  <c r="RIE69"/>
  <c r="RID69"/>
  <c r="RIC69"/>
  <c r="RIB69"/>
  <c r="RIA69"/>
  <c r="RHZ69"/>
  <c r="RHY69"/>
  <c r="RHX69"/>
  <c r="RHW69"/>
  <c r="RHV69"/>
  <c r="RHU69"/>
  <c r="RHT69"/>
  <c r="RHS69"/>
  <c r="RHR69"/>
  <c r="RHQ69"/>
  <c r="RHP69"/>
  <c r="RHO69"/>
  <c r="RHN69"/>
  <c r="RHM69"/>
  <c r="RHL69"/>
  <c r="RHK69"/>
  <c r="RHJ69"/>
  <c r="RHI69"/>
  <c r="RHH69"/>
  <c r="RHG69"/>
  <c r="RHF69"/>
  <c r="RHE69"/>
  <c r="RHD69"/>
  <c r="RHC69"/>
  <c r="RHB69"/>
  <c r="RHA69"/>
  <c r="RGZ69"/>
  <c r="RGY69"/>
  <c r="RGX69"/>
  <c r="RGW69"/>
  <c r="RGV69"/>
  <c r="RGU69"/>
  <c r="RGT69"/>
  <c r="RGS69"/>
  <c r="RGR69"/>
  <c r="RGQ69"/>
  <c r="RGP69"/>
  <c r="RGO69"/>
  <c r="RGN69"/>
  <c r="RGM69"/>
  <c r="RGL69"/>
  <c r="RGK69"/>
  <c r="RGJ69"/>
  <c r="RGI69"/>
  <c r="RGH69"/>
  <c r="RGG69"/>
  <c r="RGF69"/>
  <c r="RGE69"/>
  <c r="RGD69"/>
  <c r="RGC69"/>
  <c r="RGB69"/>
  <c r="RGA69"/>
  <c r="RFZ69"/>
  <c r="RFY69"/>
  <c r="RFX69"/>
  <c r="RFW69"/>
  <c r="RFV69"/>
  <c r="RFU69"/>
  <c r="RFT69"/>
  <c r="RFS69"/>
  <c r="RFR69"/>
  <c r="RFQ69"/>
  <c r="RFP69"/>
  <c r="RFO69"/>
  <c r="RFN69"/>
  <c r="RFM69"/>
  <c r="RFL69"/>
  <c r="RFK69"/>
  <c r="RFJ69"/>
  <c r="RFI69"/>
  <c r="RFH69"/>
  <c r="RFG69"/>
  <c r="RFF69"/>
  <c r="RFE69"/>
  <c r="RFD69"/>
  <c r="RFC69"/>
  <c r="RFB69"/>
  <c r="RFA69"/>
  <c r="REZ69"/>
  <c r="REY69"/>
  <c r="REX69"/>
  <c r="REW69"/>
  <c r="REV69"/>
  <c r="REU69"/>
  <c r="RET69"/>
  <c r="RES69"/>
  <c r="RER69"/>
  <c r="REQ69"/>
  <c r="REP69"/>
  <c r="REO69"/>
  <c r="REN69"/>
  <c r="REM69"/>
  <c r="REL69"/>
  <c r="REK69"/>
  <c r="REJ69"/>
  <c r="REI69"/>
  <c r="REH69"/>
  <c r="REG69"/>
  <c r="REF69"/>
  <c r="REE69"/>
  <c r="RED69"/>
  <c r="REC69"/>
  <c r="REB69"/>
  <c r="REA69"/>
  <c r="RDZ69"/>
  <c r="RDY69"/>
  <c r="RDX69"/>
  <c r="RDW69"/>
  <c r="RDV69"/>
  <c r="RDU69"/>
  <c r="RDT69"/>
  <c r="RDS69"/>
  <c r="RDR69"/>
  <c r="RDQ69"/>
  <c r="RDP69"/>
  <c r="RDO69"/>
  <c r="RDN69"/>
  <c r="RDM69"/>
  <c r="RDL69"/>
  <c r="RDK69"/>
  <c r="RDJ69"/>
  <c r="RDI69"/>
  <c r="RDH69"/>
  <c r="RDG69"/>
  <c r="RDF69"/>
  <c r="RDE69"/>
  <c r="RDD69"/>
  <c r="RDC69"/>
  <c r="RDB69"/>
  <c r="RDA69"/>
  <c r="RCZ69"/>
  <c r="RCY69"/>
  <c r="RCX69"/>
  <c r="RCW69"/>
  <c r="RCV69"/>
  <c r="RCU69"/>
  <c r="RCT69"/>
  <c r="RCS69"/>
  <c r="RCR69"/>
  <c r="RCQ69"/>
  <c r="RCP69"/>
  <c r="RCO69"/>
  <c r="RCN69"/>
  <c r="RCM69"/>
  <c r="RCL69"/>
  <c r="RCK69"/>
  <c r="RCJ69"/>
  <c r="RCI69"/>
  <c r="RCH69"/>
  <c r="RCG69"/>
  <c r="RCF69"/>
  <c r="RCE69"/>
  <c r="RCD69"/>
  <c r="RCC69"/>
  <c r="RCB69"/>
  <c r="RCA69"/>
  <c r="RBZ69"/>
  <c r="RBY69"/>
  <c r="RBX69"/>
  <c r="RBW69"/>
  <c r="RBV69"/>
  <c r="RBU69"/>
  <c r="RBT69"/>
  <c r="RBS69"/>
  <c r="RBR69"/>
  <c r="RBQ69"/>
  <c r="RBP69"/>
  <c r="RBO69"/>
  <c r="RBN69"/>
  <c r="RBM69"/>
  <c r="RBL69"/>
  <c r="RBK69"/>
  <c r="RBJ69"/>
  <c r="RBI69"/>
  <c r="RBH69"/>
  <c r="RBG69"/>
  <c r="RBF69"/>
  <c r="RBE69"/>
  <c r="RBD69"/>
  <c r="RBC69"/>
  <c r="RBB69"/>
  <c r="RBA69"/>
  <c r="RAZ69"/>
  <c r="RAY69"/>
  <c r="RAX69"/>
  <c r="RAW69"/>
  <c r="RAV69"/>
  <c r="RAU69"/>
  <c r="RAT69"/>
  <c r="RAS69"/>
  <c r="RAR69"/>
  <c r="RAQ69"/>
  <c r="RAP69"/>
  <c r="RAO69"/>
  <c r="RAN69"/>
  <c r="RAM69"/>
  <c r="RAL69"/>
  <c r="RAK69"/>
  <c r="RAJ69"/>
  <c r="RAI69"/>
  <c r="RAH69"/>
  <c r="RAG69"/>
  <c r="RAF69"/>
  <c r="RAE69"/>
  <c r="RAD69"/>
  <c r="RAC69"/>
  <c r="RAB69"/>
  <c r="RAA69"/>
  <c r="QZZ69"/>
  <c r="QZY69"/>
  <c r="QZX69"/>
  <c r="QZW69"/>
  <c r="QZV69"/>
  <c r="QZU69"/>
  <c r="QZT69"/>
  <c r="QZS69"/>
  <c r="QZR69"/>
  <c r="QZQ69"/>
  <c r="QZP69"/>
  <c r="QZO69"/>
  <c r="QZN69"/>
  <c r="QZM69"/>
  <c r="QZL69"/>
  <c r="QZK69"/>
  <c r="QZJ69"/>
  <c r="QZI69"/>
  <c r="QZH69"/>
  <c r="QZG69"/>
  <c r="QZF69"/>
  <c r="QZE69"/>
  <c r="QZD69"/>
  <c r="QZC69"/>
  <c r="QZB69"/>
  <c r="QZA69"/>
  <c r="QYZ69"/>
  <c r="QYY69"/>
  <c r="QYX69"/>
  <c r="QYW69"/>
  <c r="QYV69"/>
  <c r="QYU69"/>
  <c r="QYT69"/>
  <c r="QYS69"/>
  <c r="QYR69"/>
  <c r="QYQ69"/>
  <c r="QYP69"/>
  <c r="QYO69"/>
  <c r="QYN69"/>
  <c r="QYM69"/>
  <c r="QYL69"/>
  <c r="QYK69"/>
  <c r="QYJ69"/>
  <c r="QYI69"/>
  <c r="QYH69"/>
  <c r="QYG69"/>
  <c r="QYF69"/>
  <c r="QYE69"/>
  <c r="QYD69"/>
  <c r="QYC69"/>
  <c r="QYB69"/>
  <c r="QYA69"/>
  <c r="QXZ69"/>
  <c r="QXY69"/>
  <c r="QXX69"/>
  <c r="QXW69"/>
  <c r="QXV69"/>
  <c r="QXU69"/>
  <c r="QXT69"/>
  <c r="QXS69"/>
  <c r="QXR69"/>
  <c r="QXQ69"/>
  <c r="QXP69"/>
  <c r="QXO69"/>
  <c r="QXN69"/>
  <c r="QXM69"/>
  <c r="QXL69"/>
  <c r="QXK69"/>
  <c r="QXJ69"/>
  <c r="QXI69"/>
  <c r="QXH69"/>
  <c r="QXG69"/>
  <c r="QXF69"/>
  <c r="QXE69"/>
  <c r="QXD69"/>
  <c r="QXC69"/>
  <c r="QXB69"/>
  <c r="QXA69"/>
  <c r="QWZ69"/>
  <c r="QWY69"/>
  <c r="QWX69"/>
  <c r="QWW69"/>
  <c r="QWV69"/>
  <c r="QWU69"/>
  <c r="QWT69"/>
  <c r="QWS69"/>
  <c r="QWR69"/>
  <c r="QWQ69"/>
  <c r="QWP69"/>
  <c r="QWO69"/>
  <c r="QWN69"/>
  <c r="QWM69"/>
  <c r="QWL69"/>
  <c r="QWK69"/>
  <c r="QWJ69"/>
  <c r="QWI69"/>
  <c r="QWH69"/>
  <c r="QWG69"/>
  <c r="QWF69"/>
  <c r="QWE69"/>
  <c r="QWD69"/>
  <c r="QWC69"/>
  <c r="QWB69"/>
  <c r="QWA69"/>
  <c r="QVZ69"/>
  <c r="QVY69"/>
  <c r="QVX69"/>
  <c r="QVW69"/>
  <c r="QVV69"/>
  <c r="QVU69"/>
  <c r="QVT69"/>
  <c r="QVS69"/>
  <c r="QVR69"/>
  <c r="QVQ69"/>
  <c r="QVP69"/>
  <c r="QVO69"/>
  <c r="QVN69"/>
  <c r="QVM69"/>
  <c r="QVL69"/>
  <c r="QVK69"/>
  <c r="QVJ69"/>
  <c r="QVI69"/>
  <c r="QVH69"/>
  <c r="QVG69"/>
  <c r="QVF69"/>
  <c r="QVE69"/>
  <c r="QVD69"/>
  <c r="QVC69"/>
  <c r="QVB69"/>
  <c r="QVA69"/>
  <c r="QUZ69"/>
  <c r="QUY69"/>
  <c r="QUX69"/>
  <c r="QUW69"/>
  <c r="QUV69"/>
  <c r="QUU69"/>
  <c r="QUT69"/>
  <c r="QUS69"/>
  <c r="QUR69"/>
  <c r="QUQ69"/>
  <c r="QUP69"/>
  <c r="QUO69"/>
  <c r="QUN69"/>
  <c r="QUM69"/>
  <c r="QUL69"/>
  <c r="QUK69"/>
  <c r="QUJ69"/>
  <c r="QUI69"/>
  <c r="QUH69"/>
  <c r="QUG69"/>
  <c r="QUF69"/>
  <c r="QUE69"/>
  <c r="QUD69"/>
  <c r="QUC69"/>
  <c r="QUB69"/>
  <c r="QUA69"/>
  <c r="QTZ69"/>
  <c r="QTY69"/>
  <c r="QTX69"/>
  <c r="QTW69"/>
  <c r="QTV69"/>
  <c r="QTU69"/>
  <c r="QTT69"/>
  <c r="QTS69"/>
  <c r="QTR69"/>
  <c r="QTQ69"/>
  <c r="QTP69"/>
  <c r="QTO69"/>
  <c r="QTN69"/>
  <c r="QTM69"/>
  <c r="QTL69"/>
  <c r="QTK69"/>
  <c r="QTJ69"/>
  <c r="QTI69"/>
  <c r="QTH69"/>
  <c r="QTG69"/>
  <c r="QTF69"/>
  <c r="QTE69"/>
  <c r="QTD69"/>
  <c r="QTC69"/>
  <c r="QTB69"/>
  <c r="QTA69"/>
  <c r="QSZ69"/>
  <c r="QSY69"/>
  <c r="QSX69"/>
  <c r="QSW69"/>
  <c r="QSV69"/>
  <c r="QSU69"/>
  <c r="QST69"/>
  <c r="QSS69"/>
  <c r="QSR69"/>
  <c r="QSQ69"/>
  <c r="QSP69"/>
  <c r="QSO69"/>
  <c r="QSN69"/>
  <c r="QSM69"/>
  <c r="QSL69"/>
  <c r="QSK69"/>
  <c r="QSJ69"/>
  <c r="QSI69"/>
  <c r="QSH69"/>
  <c r="QSG69"/>
  <c r="QSF69"/>
  <c r="QSE69"/>
  <c r="QSD69"/>
  <c r="QSC69"/>
  <c r="QSB69"/>
  <c r="QSA69"/>
  <c r="QRZ69"/>
  <c r="QRY69"/>
  <c r="QRX69"/>
  <c r="QRW69"/>
  <c r="QRV69"/>
  <c r="QRU69"/>
  <c r="QRT69"/>
  <c r="QRS69"/>
  <c r="QRR69"/>
  <c r="QRQ69"/>
  <c r="QRP69"/>
  <c r="QRO69"/>
  <c r="QRN69"/>
  <c r="QRM69"/>
  <c r="QRL69"/>
  <c r="QRK69"/>
  <c r="QRJ69"/>
  <c r="QRI69"/>
  <c r="QRH69"/>
  <c r="QRG69"/>
  <c r="QRF69"/>
  <c r="QRE69"/>
  <c r="QRD69"/>
  <c r="QRC69"/>
  <c r="QRB69"/>
  <c r="QRA69"/>
  <c r="QQZ69"/>
  <c r="QQY69"/>
  <c r="QQX69"/>
  <c r="QQW69"/>
  <c r="QQV69"/>
  <c r="QQU69"/>
  <c r="QQT69"/>
  <c r="QQS69"/>
  <c r="QQR69"/>
  <c r="QQQ69"/>
  <c r="QQP69"/>
  <c r="QQO69"/>
  <c r="QQN69"/>
  <c r="QQM69"/>
  <c r="QQL69"/>
  <c r="QQK69"/>
  <c r="QQJ69"/>
  <c r="QQI69"/>
  <c r="QQH69"/>
  <c r="QQG69"/>
  <c r="QQF69"/>
  <c r="QQE69"/>
  <c r="QQD69"/>
  <c r="QQC69"/>
  <c r="QQB69"/>
  <c r="QQA69"/>
  <c r="QPZ69"/>
  <c r="QPY69"/>
  <c r="QPX69"/>
  <c r="QPW69"/>
  <c r="QPV69"/>
  <c r="QPU69"/>
  <c r="QPT69"/>
  <c r="QPS69"/>
  <c r="QPR69"/>
  <c r="QPQ69"/>
  <c r="QPP69"/>
  <c r="QPO69"/>
  <c r="QPN69"/>
  <c r="QPM69"/>
  <c r="QPL69"/>
  <c r="QPK69"/>
  <c r="QPJ69"/>
  <c r="QPI69"/>
  <c r="QPH69"/>
  <c r="QPG69"/>
  <c r="QPF69"/>
  <c r="QPE69"/>
  <c r="QPD69"/>
  <c r="QPC69"/>
  <c r="QPB69"/>
  <c r="QPA69"/>
  <c r="QOZ69"/>
  <c r="QOY69"/>
  <c r="QOX69"/>
  <c r="QOW69"/>
  <c r="QOV69"/>
  <c r="QOU69"/>
  <c r="QOT69"/>
  <c r="QOS69"/>
  <c r="QOR69"/>
  <c r="QOQ69"/>
  <c r="QOP69"/>
  <c r="QOO69"/>
  <c r="QON69"/>
  <c r="QOM69"/>
  <c r="QOL69"/>
  <c r="QOK69"/>
  <c r="QOJ69"/>
  <c r="QOI69"/>
  <c r="QOH69"/>
  <c r="QOG69"/>
  <c r="QOF69"/>
  <c r="QOE69"/>
  <c r="QOD69"/>
  <c r="QOC69"/>
  <c r="QOB69"/>
  <c r="QOA69"/>
  <c r="QNZ69"/>
  <c r="QNY69"/>
  <c r="QNX69"/>
  <c r="QNW69"/>
  <c r="QNV69"/>
  <c r="QNU69"/>
  <c r="QNT69"/>
  <c r="QNS69"/>
  <c r="QNR69"/>
  <c r="QNQ69"/>
  <c r="QNP69"/>
  <c r="QNO69"/>
  <c r="QNN69"/>
  <c r="QNM69"/>
  <c r="QNL69"/>
  <c r="QNK69"/>
  <c r="QNJ69"/>
  <c r="QNI69"/>
  <c r="QNH69"/>
  <c r="QNG69"/>
  <c r="QNF69"/>
  <c r="QNE69"/>
  <c r="QND69"/>
  <c r="QNC69"/>
  <c r="QNB69"/>
  <c r="QNA69"/>
  <c r="QMZ69"/>
  <c r="QMY69"/>
  <c r="QMX69"/>
  <c r="QMW69"/>
  <c r="QMV69"/>
  <c r="QMU69"/>
  <c r="QMT69"/>
  <c r="QMS69"/>
  <c r="QMR69"/>
  <c r="QMQ69"/>
  <c r="QMP69"/>
  <c r="QMO69"/>
  <c r="QMN69"/>
  <c r="QMM69"/>
  <c r="QML69"/>
  <c r="QMK69"/>
  <c r="QMJ69"/>
  <c r="QMI69"/>
  <c r="QMH69"/>
  <c r="QMG69"/>
  <c r="QMF69"/>
  <c r="QME69"/>
  <c r="QMD69"/>
  <c r="QMC69"/>
  <c r="QMB69"/>
  <c r="QMA69"/>
  <c r="QLZ69"/>
  <c r="QLY69"/>
  <c r="QLX69"/>
  <c r="QLW69"/>
  <c r="QLV69"/>
  <c r="QLU69"/>
  <c r="QLT69"/>
  <c r="QLS69"/>
  <c r="QLR69"/>
  <c r="QLQ69"/>
  <c r="QLP69"/>
  <c r="QLO69"/>
  <c r="QLN69"/>
  <c r="QLM69"/>
  <c r="QLL69"/>
  <c r="QLK69"/>
  <c r="QLJ69"/>
  <c r="QLI69"/>
  <c r="QLH69"/>
  <c r="QLG69"/>
  <c r="QLF69"/>
  <c r="QLE69"/>
  <c r="QLD69"/>
  <c r="QLC69"/>
  <c r="QLB69"/>
  <c r="QLA69"/>
  <c r="QKZ69"/>
  <c r="QKY69"/>
  <c r="QKX69"/>
  <c r="QKW69"/>
  <c r="QKV69"/>
  <c r="QKU69"/>
  <c r="QKT69"/>
  <c r="QKS69"/>
  <c r="QKR69"/>
  <c r="QKQ69"/>
  <c r="QKP69"/>
  <c r="QKO69"/>
  <c r="QKN69"/>
  <c r="QKM69"/>
  <c r="QKL69"/>
  <c r="QKK69"/>
  <c r="QKJ69"/>
  <c r="QKI69"/>
  <c r="QKH69"/>
  <c r="QKG69"/>
  <c r="QKF69"/>
  <c r="QKE69"/>
  <c r="QKD69"/>
  <c r="QKC69"/>
  <c r="QKB69"/>
  <c r="QKA69"/>
  <c r="QJZ69"/>
  <c r="QJY69"/>
  <c r="QJX69"/>
  <c r="QJW69"/>
  <c r="QJV69"/>
  <c r="QJU69"/>
  <c r="QJT69"/>
  <c r="QJS69"/>
  <c r="QJR69"/>
  <c r="QJQ69"/>
  <c r="QJP69"/>
  <c r="QJO69"/>
  <c r="QJN69"/>
  <c r="QJM69"/>
  <c r="QJL69"/>
  <c r="QJK69"/>
  <c r="QJJ69"/>
  <c r="QJI69"/>
  <c r="QJH69"/>
  <c r="QJG69"/>
  <c r="QJF69"/>
  <c r="QJE69"/>
  <c r="QJD69"/>
  <c r="QJC69"/>
  <c r="QJB69"/>
  <c r="QJA69"/>
  <c r="QIZ69"/>
  <c r="QIY69"/>
  <c r="QIX69"/>
  <c r="QIW69"/>
  <c r="QIV69"/>
  <c r="QIU69"/>
  <c r="QIT69"/>
  <c r="QIS69"/>
  <c r="QIR69"/>
  <c r="QIQ69"/>
  <c r="QIP69"/>
  <c r="QIO69"/>
  <c r="QIN69"/>
  <c r="QIM69"/>
  <c r="QIL69"/>
  <c r="QIK69"/>
  <c r="QIJ69"/>
  <c r="QII69"/>
  <c r="QIH69"/>
  <c r="QIG69"/>
  <c r="QIF69"/>
  <c r="QIE69"/>
  <c r="QID69"/>
  <c r="QIC69"/>
  <c r="QIB69"/>
  <c r="QIA69"/>
  <c r="QHZ69"/>
  <c r="QHY69"/>
  <c r="QHX69"/>
  <c r="QHW69"/>
  <c r="QHV69"/>
  <c r="QHU69"/>
  <c r="QHT69"/>
  <c r="QHS69"/>
  <c r="QHR69"/>
  <c r="QHQ69"/>
  <c r="QHP69"/>
  <c r="QHO69"/>
  <c r="QHN69"/>
  <c r="QHM69"/>
  <c r="QHL69"/>
  <c r="QHK69"/>
  <c r="QHJ69"/>
  <c r="QHI69"/>
  <c r="QHH69"/>
  <c r="QHG69"/>
  <c r="QHF69"/>
  <c r="QHE69"/>
  <c r="QHD69"/>
  <c r="QHC69"/>
  <c r="QHB69"/>
  <c r="QHA69"/>
  <c r="QGZ69"/>
  <c r="QGY69"/>
  <c r="QGX69"/>
  <c r="QGW69"/>
  <c r="QGV69"/>
  <c r="QGU69"/>
  <c r="QGT69"/>
  <c r="QGS69"/>
  <c r="QGR69"/>
  <c r="QGQ69"/>
  <c r="QGP69"/>
  <c r="QGO69"/>
  <c r="QGN69"/>
  <c r="QGM69"/>
  <c r="QGL69"/>
  <c r="QGK69"/>
  <c r="QGJ69"/>
  <c r="QGI69"/>
  <c r="QGH69"/>
  <c r="QGG69"/>
  <c r="QGF69"/>
  <c r="QGE69"/>
  <c r="QGD69"/>
  <c r="QGC69"/>
  <c r="QGB69"/>
  <c r="QGA69"/>
  <c r="QFZ69"/>
  <c r="QFY69"/>
  <c r="QFX69"/>
  <c r="QFW69"/>
  <c r="QFV69"/>
  <c r="QFU69"/>
  <c r="QFT69"/>
  <c r="QFS69"/>
  <c r="QFR69"/>
  <c r="QFQ69"/>
  <c r="QFP69"/>
  <c r="QFO69"/>
  <c r="QFN69"/>
  <c r="QFM69"/>
  <c r="QFL69"/>
  <c r="QFK69"/>
  <c r="QFJ69"/>
  <c r="QFI69"/>
  <c r="QFH69"/>
  <c r="QFG69"/>
  <c r="QFF69"/>
  <c r="QFE69"/>
  <c r="QFD69"/>
  <c r="QFC69"/>
  <c r="QFB69"/>
  <c r="QFA69"/>
  <c r="QEZ69"/>
  <c r="QEY69"/>
  <c r="QEX69"/>
  <c r="QEW69"/>
  <c r="QEV69"/>
  <c r="QEU69"/>
  <c r="QET69"/>
  <c r="QES69"/>
  <c r="QER69"/>
  <c r="QEQ69"/>
  <c r="QEP69"/>
  <c r="QEO69"/>
  <c r="QEN69"/>
  <c r="QEM69"/>
  <c r="QEL69"/>
  <c r="QEK69"/>
  <c r="QEJ69"/>
  <c r="QEI69"/>
  <c r="QEH69"/>
  <c r="QEG69"/>
  <c r="QEF69"/>
  <c r="QEE69"/>
  <c r="QED69"/>
  <c r="QEC69"/>
  <c r="QEB69"/>
  <c r="QEA69"/>
  <c r="QDZ69"/>
  <c r="QDY69"/>
  <c r="QDX69"/>
  <c r="QDW69"/>
  <c r="QDV69"/>
  <c r="QDU69"/>
  <c r="QDT69"/>
  <c r="QDS69"/>
  <c r="QDR69"/>
  <c r="QDQ69"/>
  <c r="QDP69"/>
  <c r="QDO69"/>
  <c r="QDN69"/>
  <c r="QDM69"/>
  <c r="QDL69"/>
  <c r="QDK69"/>
  <c r="QDJ69"/>
  <c r="QDI69"/>
  <c r="QDH69"/>
  <c r="QDG69"/>
  <c r="QDF69"/>
  <c r="QDE69"/>
  <c r="QDD69"/>
  <c r="QDC69"/>
  <c r="QDB69"/>
  <c r="QDA69"/>
  <c r="QCZ69"/>
  <c r="QCY69"/>
  <c r="QCX69"/>
  <c r="QCW69"/>
  <c r="QCV69"/>
  <c r="QCU69"/>
  <c r="QCT69"/>
  <c r="QCS69"/>
  <c r="QCR69"/>
  <c r="QCQ69"/>
  <c r="QCP69"/>
  <c r="QCO69"/>
  <c r="QCN69"/>
  <c r="QCM69"/>
  <c r="QCL69"/>
  <c r="QCK69"/>
  <c r="QCJ69"/>
  <c r="QCI69"/>
  <c r="QCH69"/>
  <c r="QCG69"/>
  <c r="QCF69"/>
  <c r="QCE69"/>
  <c r="QCD69"/>
  <c r="QCC69"/>
  <c r="QCB69"/>
  <c r="QCA69"/>
  <c r="QBZ69"/>
  <c r="QBY69"/>
  <c r="QBX69"/>
  <c r="QBW69"/>
  <c r="QBV69"/>
  <c r="QBU69"/>
  <c r="QBT69"/>
  <c r="QBS69"/>
  <c r="QBR69"/>
  <c r="QBQ69"/>
  <c r="QBP69"/>
  <c r="QBO69"/>
  <c r="QBN69"/>
  <c r="QBM69"/>
  <c r="QBL69"/>
  <c r="QBK69"/>
  <c r="QBJ69"/>
  <c r="QBI69"/>
  <c r="QBH69"/>
  <c r="QBG69"/>
  <c r="QBF69"/>
  <c r="QBE69"/>
  <c r="QBD69"/>
  <c r="QBC69"/>
  <c r="QBB69"/>
  <c r="QBA69"/>
  <c r="QAZ69"/>
  <c r="QAY69"/>
  <c r="QAX69"/>
  <c r="QAW69"/>
  <c r="QAV69"/>
  <c r="QAU69"/>
  <c r="QAT69"/>
  <c r="QAS69"/>
  <c r="QAR69"/>
  <c r="QAQ69"/>
  <c r="QAP69"/>
  <c r="QAO69"/>
  <c r="QAN69"/>
  <c r="QAM69"/>
  <c r="QAL69"/>
  <c r="QAK69"/>
  <c r="QAJ69"/>
  <c r="QAI69"/>
  <c r="QAH69"/>
  <c r="QAG69"/>
  <c r="QAF69"/>
  <c r="QAE69"/>
  <c r="QAD69"/>
  <c r="QAC69"/>
  <c r="QAB69"/>
  <c r="QAA69"/>
  <c r="PZZ69"/>
  <c r="PZY69"/>
  <c r="PZX69"/>
  <c r="PZW69"/>
  <c r="PZV69"/>
  <c r="PZU69"/>
  <c r="PZT69"/>
  <c r="PZS69"/>
  <c r="PZR69"/>
  <c r="PZQ69"/>
  <c r="PZP69"/>
  <c r="PZO69"/>
  <c r="PZN69"/>
  <c r="PZM69"/>
  <c r="PZL69"/>
  <c r="PZK69"/>
  <c r="PZJ69"/>
  <c r="PZI69"/>
  <c r="PZH69"/>
  <c r="PZG69"/>
  <c r="PZF69"/>
  <c r="PZE69"/>
  <c r="PZD69"/>
  <c r="PZC69"/>
  <c r="PZB69"/>
  <c r="PZA69"/>
  <c r="PYZ69"/>
  <c r="PYY69"/>
  <c r="PYX69"/>
  <c r="PYW69"/>
  <c r="PYV69"/>
  <c r="PYU69"/>
  <c r="PYT69"/>
  <c r="PYS69"/>
  <c r="PYR69"/>
  <c r="PYQ69"/>
  <c r="PYP69"/>
  <c r="PYO69"/>
  <c r="PYN69"/>
  <c r="PYM69"/>
  <c r="PYL69"/>
  <c r="PYK69"/>
  <c r="PYJ69"/>
  <c r="PYI69"/>
  <c r="PYH69"/>
  <c r="PYG69"/>
  <c r="PYF69"/>
  <c r="PYE69"/>
  <c r="PYD69"/>
  <c r="PYC69"/>
  <c r="PYB69"/>
  <c r="PYA69"/>
  <c r="PXZ69"/>
  <c r="PXY69"/>
  <c r="PXX69"/>
  <c r="PXW69"/>
  <c r="PXV69"/>
  <c r="PXU69"/>
  <c r="PXT69"/>
  <c r="PXS69"/>
  <c r="PXR69"/>
  <c r="PXQ69"/>
  <c r="PXP69"/>
  <c r="PXO69"/>
  <c r="PXN69"/>
  <c r="PXM69"/>
  <c r="PXL69"/>
  <c r="PXK69"/>
  <c r="PXJ69"/>
  <c r="PXI69"/>
  <c r="PXH69"/>
  <c r="PXG69"/>
  <c r="PXF69"/>
  <c r="PXE69"/>
  <c r="PXD69"/>
  <c r="PXC69"/>
  <c r="PXB69"/>
  <c r="PXA69"/>
  <c r="PWZ69"/>
  <c r="PWY69"/>
  <c r="PWX69"/>
  <c r="PWW69"/>
  <c r="PWV69"/>
  <c r="PWU69"/>
  <c r="PWT69"/>
  <c r="PWS69"/>
  <c r="PWR69"/>
  <c r="PWQ69"/>
  <c r="PWP69"/>
  <c r="PWO69"/>
  <c r="PWN69"/>
  <c r="PWM69"/>
  <c r="PWL69"/>
  <c r="PWK69"/>
  <c r="PWJ69"/>
  <c r="PWI69"/>
  <c r="PWH69"/>
  <c r="PWG69"/>
  <c r="PWF69"/>
  <c r="PWE69"/>
  <c r="PWD69"/>
  <c r="PWC69"/>
  <c r="PWB69"/>
  <c r="PWA69"/>
  <c r="PVZ69"/>
  <c r="PVY69"/>
  <c r="PVX69"/>
  <c r="PVW69"/>
  <c r="PVV69"/>
  <c r="PVU69"/>
  <c r="PVT69"/>
  <c r="PVS69"/>
  <c r="PVR69"/>
  <c r="PVQ69"/>
  <c r="PVP69"/>
  <c r="PVO69"/>
  <c r="PVN69"/>
  <c r="PVM69"/>
  <c r="PVL69"/>
  <c r="PVK69"/>
  <c r="PVJ69"/>
  <c r="PVI69"/>
  <c r="PVH69"/>
  <c r="PVG69"/>
  <c r="PVF69"/>
  <c r="PVE69"/>
  <c r="PVD69"/>
  <c r="PVC69"/>
  <c r="PVB69"/>
  <c r="PVA69"/>
  <c r="PUZ69"/>
  <c r="PUY69"/>
  <c r="PUX69"/>
  <c r="PUW69"/>
  <c r="PUV69"/>
  <c r="PUU69"/>
  <c r="PUT69"/>
  <c r="PUS69"/>
  <c r="PUR69"/>
  <c r="PUQ69"/>
  <c r="PUP69"/>
  <c r="PUO69"/>
  <c r="PUN69"/>
  <c r="PUM69"/>
  <c r="PUL69"/>
  <c r="PUK69"/>
  <c r="PUJ69"/>
  <c r="PUI69"/>
  <c r="PUH69"/>
  <c r="PUG69"/>
  <c r="PUF69"/>
  <c r="PUE69"/>
  <c r="PUD69"/>
  <c r="PUC69"/>
  <c r="PUB69"/>
  <c r="PUA69"/>
  <c r="PTZ69"/>
  <c r="PTY69"/>
  <c r="PTX69"/>
  <c r="PTW69"/>
  <c r="PTV69"/>
  <c r="PTU69"/>
  <c r="PTT69"/>
  <c r="PTS69"/>
  <c r="PTR69"/>
  <c r="PTQ69"/>
  <c r="PTP69"/>
  <c r="PTO69"/>
  <c r="PTN69"/>
  <c r="PTM69"/>
  <c r="PTL69"/>
  <c r="PTK69"/>
  <c r="PTJ69"/>
  <c r="PTI69"/>
  <c r="PTH69"/>
  <c r="PTG69"/>
  <c r="PTF69"/>
  <c r="PTE69"/>
  <c r="PTD69"/>
  <c r="PTC69"/>
  <c r="PTB69"/>
  <c r="PTA69"/>
  <c r="PSZ69"/>
  <c r="PSY69"/>
  <c r="PSX69"/>
  <c r="PSW69"/>
  <c r="PSV69"/>
  <c r="PSU69"/>
  <c r="PST69"/>
  <c r="PSS69"/>
  <c r="PSR69"/>
  <c r="PSQ69"/>
  <c r="PSP69"/>
  <c r="PSO69"/>
  <c r="PSN69"/>
  <c r="PSM69"/>
  <c r="PSL69"/>
  <c r="PSK69"/>
  <c r="PSJ69"/>
  <c r="PSI69"/>
  <c r="PSH69"/>
  <c r="PSG69"/>
  <c r="PSF69"/>
  <c r="PSE69"/>
  <c r="PSD69"/>
  <c r="PSC69"/>
  <c r="PSB69"/>
  <c r="PSA69"/>
  <c r="PRZ69"/>
  <c r="PRY69"/>
  <c r="PRX69"/>
  <c r="PRW69"/>
  <c r="PRV69"/>
  <c r="PRU69"/>
  <c r="PRT69"/>
  <c r="PRS69"/>
  <c r="PRR69"/>
  <c r="PRQ69"/>
  <c r="PRP69"/>
  <c r="PRO69"/>
  <c r="PRN69"/>
  <c r="PRM69"/>
  <c r="PRL69"/>
  <c r="PRK69"/>
  <c r="PRJ69"/>
  <c r="PRI69"/>
  <c r="PRH69"/>
  <c r="PRG69"/>
  <c r="PRF69"/>
  <c r="PRE69"/>
  <c r="PRD69"/>
  <c r="PRC69"/>
  <c r="PRB69"/>
  <c r="PRA69"/>
  <c r="PQZ69"/>
  <c r="PQY69"/>
  <c r="PQX69"/>
  <c r="PQW69"/>
  <c r="PQV69"/>
  <c r="PQU69"/>
  <c r="PQT69"/>
  <c r="PQS69"/>
  <c r="PQR69"/>
  <c r="PQQ69"/>
  <c r="PQP69"/>
  <c r="PQO69"/>
  <c r="PQN69"/>
  <c r="PQM69"/>
  <c r="PQL69"/>
  <c r="PQK69"/>
  <c r="PQJ69"/>
  <c r="PQI69"/>
  <c r="PQH69"/>
  <c r="PQG69"/>
  <c r="PQF69"/>
  <c r="PQE69"/>
  <c r="PQD69"/>
  <c r="PQC69"/>
  <c r="PQB69"/>
  <c r="PQA69"/>
  <c r="PPZ69"/>
  <c r="PPY69"/>
  <c r="PPX69"/>
  <c r="PPW69"/>
  <c r="PPV69"/>
  <c r="PPU69"/>
  <c r="PPT69"/>
  <c r="PPS69"/>
  <c r="PPR69"/>
  <c r="PPQ69"/>
  <c r="PPP69"/>
  <c r="PPO69"/>
  <c r="PPN69"/>
  <c r="PPM69"/>
  <c r="PPL69"/>
  <c r="PPK69"/>
  <c r="PPJ69"/>
  <c r="PPI69"/>
  <c r="PPH69"/>
  <c r="PPG69"/>
  <c r="PPF69"/>
  <c r="PPE69"/>
  <c r="PPD69"/>
  <c r="PPC69"/>
  <c r="PPB69"/>
  <c r="PPA69"/>
  <c r="POZ69"/>
  <c r="POY69"/>
  <c r="POX69"/>
  <c r="POW69"/>
  <c r="POV69"/>
  <c r="POU69"/>
  <c r="POT69"/>
  <c r="POS69"/>
  <c r="POR69"/>
  <c r="POQ69"/>
  <c r="POP69"/>
  <c r="POO69"/>
  <c r="PON69"/>
  <c r="POM69"/>
  <c r="POL69"/>
  <c r="POK69"/>
  <c r="POJ69"/>
  <c r="POI69"/>
  <c r="POH69"/>
  <c r="POG69"/>
  <c r="POF69"/>
  <c r="POE69"/>
  <c r="POD69"/>
  <c r="POC69"/>
  <c r="POB69"/>
  <c r="POA69"/>
  <c r="PNZ69"/>
  <c r="PNY69"/>
  <c r="PNX69"/>
  <c r="PNW69"/>
  <c r="PNV69"/>
  <c r="PNU69"/>
  <c r="PNT69"/>
  <c r="PNS69"/>
  <c r="PNR69"/>
  <c r="PNQ69"/>
  <c r="PNP69"/>
  <c r="PNO69"/>
  <c r="PNN69"/>
  <c r="PNM69"/>
  <c r="PNL69"/>
  <c r="PNK69"/>
  <c r="PNJ69"/>
  <c r="PNI69"/>
  <c r="PNH69"/>
  <c r="PNG69"/>
  <c r="PNF69"/>
  <c r="PNE69"/>
  <c r="PND69"/>
  <c r="PNC69"/>
  <c r="PNB69"/>
  <c r="PNA69"/>
  <c r="PMZ69"/>
  <c r="PMY69"/>
  <c r="PMX69"/>
  <c r="PMW69"/>
  <c r="PMV69"/>
  <c r="PMU69"/>
  <c r="PMT69"/>
  <c r="PMS69"/>
  <c r="PMR69"/>
  <c r="PMQ69"/>
  <c r="PMP69"/>
  <c r="PMO69"/>
  <c r="PMN69"/>
  <c r="PMM69"/>
  <c r="PML69"/>
  <c r="PMK69"/>
  <c r="PMJ69"/>
  <c r="PMI69"/>
  <c r="PMH69"/>
  <c r="PMG69"/>
  <c r="PMF69"/>
  <c r="PME69"/>
  <c r="PMD69"/>
  <c r="PMC69"/>
  <c r="PMB69"/>
  <c r="PMA69"/>
  <c r="PLZ69"/>
  <c r="PLY69"/>
  <c r="PLX69"/>
  <c r="PLW69"/>
  <c r="PLV69"/>
  <c r="PLU69"/>
  <c r="PLT69"/>
  <c r="PLS69"/>
  <c r="PLR69"/>
  <c r="PLQ69"/>
  <c r="PLP69"/>
  <c r="PLO69"/>
  <c r="PLN69"/>
  <c r="PLM69"/>
  <c r="PLL69"/>
  <c r="PLK69"/>
  <c r="PLJ69"/>
  <c r="PLI69"/>
  <c r="PLH69"/>
  <c r="PLG69"/>
  <c r="PLF69"/>
  <c r="PLE69"/>
  <c r="PLD69"/>
  <c r="PLC69"/>
  <c r="PLB69"/>
  <c r="PLA69"/>
  <c r="PKZ69"/>
  <c r="PKY69"/>
  <c r="PKX69"/>
  <c r="PKW69"/>
  <c r="PKV69"/>
  <c r="PKU69"/>
  <c r="PKT69"/>
  <c r="PKS69"/>
  <c r="PKR69"/>
  <c r="PKQ69"/>
  <c r="PKP69"/>
  <c r="PKO69"/>
  <c r="PKN69"/>
  <c r="PKM69"/>
  <c r="PKL69"/>
  <c r="PKK69"/>
  <c r="PKJ69"/>
  <c r="PKI69"/>
  <c r="PKH69"/>
  <c r="PKG69"/>
  <c r="PKF69"/>
  <c r="PKE69"/>
  <c r="PKD69"/>
  <c r="PKC69"/>
  <c r="PKB69"/>
  <c r="PKA69"/>
  <c r="PJZ69"/>
  <c r="PJY69"/>
  <c r="PJX69"/>
  <c r="PJW69"/>
  <c r="PJV69"/>
  <c r="PJU69"/>
  <c r="PJT69"/>
  <c r="PJS69"/>
  <c r="PJR69"/>
  <c r="PJQ69"/>
  <c r="PJP69"/>
  <c r="PJO69"/>
  <c r="PJN69"/>
  <c r="PJM69"/>
  <c r="PJL69"/>
  <c r="PJK69"/>
  <c r="PJJ69"/>
  <c r="PJI69"/>
  <c r="PJH69"/>
  <c r="PJG69"/>
  <c r="PJF69"/>
  <c r="PJE69"/>
  <c r="PJD69"/>
  <c r="PJC69"/>
  <c r="PJB69"/>
  <c r="PJA69"/>
  <c r="PIZ69"/>
  <c r="PIY69"/>
  <c r="PIX69"/>
  <c r="PIW69"/>
  <c r="PIV69"/>
  <c r="PIU69"/>
  <c r="PIT69"/>
  <c r="PIS69"/>
  <c r="PIR69"/>
  <c r="PIQ69"/>
  <c r="PIP69"/>
  <c r="PIO69"/>
  <c r="PIN69"/>
  <c r="PIM69"/>
  <c r="PIL69"/>
  <c r="PIK69"/>
  <c r="PIJ69"/>
  <c r="PII69"/>
  <c r="PIH69"/>
  <c r="PIG69"/>
  <c r="PIF69"/>
  <c r="PIE69"/>
  <c r="PID69"/>
  <c r="PIC69"/>
  <c r="PIB69"/>
  <c r="PIA69"/>
  <c r="PHZ69"/>
  <c r="PHY69"/>
  <c r="PHX69"/>
  <c r="PHW69"/>
  <c r="PHV69"/>
  <c r="PHU69"/>
  <c r="PHT69"/>
  <c r="PHS69"/>
  <c r="PHR69"/>
  <c r="PHQ69"/>
  <c r="PHP69"/>
  <c r="PHO69"/>
  <c r="PHN69"/>
  <c r="PHM69"/>
  <c r="PHL69"/>
  <c r="PHK69"/>
  <c r="PHJ69"/>
  <c r="PHI69"/>
  <c r="PHH69"/>
  <c r="PHG69"/>
  <c r="PHF69"/>
  <c r="PHE69"/>
  <c r="PHD69"/>
  <c r="PHC69"/>
  <c r="PHB69"/>
  <c r="PHA69"/>
  <c r="PGZ69"/>
  <c r="PGY69"/>
  <c r="PGX69"/>
  <c r="PGW69"/>
  <c r="PGV69"/>
  <c r="PGU69"/>
  <c r="PGT69"/>
  <c r="PGS69"/>
  <c r="PGR69"/>
  <c r="PGQ69"/>
  <c r="PGP69"/>
  <c r="PGO69"/>
  <c r="PGN69"/>
  <c r="PGM69"/>
  <c r="PGL69"/>
  <c r="PGK69"/>
  <c r="PGJ69"/>
  <c r="PGI69"/>
  <c r="PGH69"/>
  <c r="PGG69"/>
  <c r="PGF69"/>
  <c r="PGE69"/>
  <c r="PGD69"/>
  <c r="PGC69"/>
  <c r="PGB69"/>
  <c r="PGA69"/>
  <c r="PFZ69"/>
  <c r="PFY69"/>
  <c r="PFX69"/>
  <c r="PFW69"/>
  <c r="PFV69"/>
  <c r="PFU69"/>
  <c r="PFT69"/>
  <c r="PFS69"/>
  <c r="PFR69"/>
  <c r="PFQ69"/>
  <c r="PFP69"/>
  <c r="PFO69"/>
  <c r="PFN69"/>
  <c r="PFM69"/>
  <c r="PFL69"/>
  <c r="PFK69"/>
  <c r="PFJ69"/>
  <c r="PFI69"/>
  <c r="PFH69"/>
  <c r="PFG69"/>
  <c r="PFF69"/>
  <c r="PFE69"/>
  <c r="PFD69"/>
  <c r="PFC69"/>
  <c r="PFB69"/>
  <c r="PFA69"/>
  <c r="PEZ69"/>
  <c r="PEY69"/>
  <c r="PEX69"/>
  <c r="PEW69"/>
  <c r="PEV69"/>
  <c r="PEU69"/>
  <c r="PET69"/>
  <c r="PES69"/>
  <c r="PER69"/>
  <c r="PEQ69"/>
  <c r="PEP69"/>
  <c r="PEO69"/>
  <c r="PEN69"/>
  <c r="PEM69"/>
  <c r="PEL69"/>
  <c r="PEK69"/>
  <c r="PEJ69"/>
  <c r="PEI69"/>
  <c r="PEH69"/>
  <c r="PEG69"/>
  <c r="PEF69"/>
  <c r="PEE69"/>
  <c r="PED69"/>
  <c r="PEC69"/>
  <c r="PEB69"/>
  <c r="PEA69"/>
  <c r="PDZ69"/>
  <c r="PDY69"/>
  <c r="PDX69"/>
  <c r="PDW69"/>
  <c r="PDV69"/>
  <c r="PDU69"/>
  <c r="PDT69"/>
  <c r="PDS69"/>
  <c r="PDR69"/>
  <c r="PDQ69"/>
  <c r="PDP69"/>
  <c r="PDO69"/>
  <c r="PDN69"/>
  <c r="PDM69"/>
  <c r="PDL69"/>
  <c r="PDK69"/>
  <c r="PDJ69"/>
  <c r="PDI69"/>
  <c r="PDH69"/>
  <c r="PDG69"/>
  <c r="PDF69"/>
  <c r="PDE69"/>
  <c r="PDD69"/>
  <c r="PDC69"/>
  <c r="PDB69"/>
  <c r="PDA69"/>
  <c r="PCZ69"/>
  <c r="PCY69"/>
  <c r="PCX69"/>
  <c r="PCW69"/>
  <c r="PCV69"/>
  <c r="PCU69"/>
  <c r="PCT69"/>
  <c r="PCS69"/>
  <c r="PCR69"/>
  <c r="PCQ69"/>
  <c r="PCP69"/>
  <c r="PCO69"/>
  <c r="PCN69"/>
  <c r="PCM69"/>
  <c r="PCL69"/>
  <c r="PCK69"/>
  <c r="PCJ69"/>
  <c r="PCI69"/>
  <c r="PCH69"/>
  <c r="PCG69"/>
  <c r="PCF69"/>
  <c r="PCE69"/>
  <c r="PCD69"/>
  <c r="PCC69"/>
  <c r="PCB69"/>
  <c r="PCA69"/>
  <c r="PBZ69"/>
  <c r="PBY69"/>
  <c r="PBX69"/>
  <c r="PBW69"/>
  <c r="PBV69"/>
  <c r="PBU69"/>
  <c r="PBT69"/>
  <c r="PBS69"/>
  <c r="PBR69"/>
  <c r="PBQ69"/>
  <c r="PBP69"/>
  <c r="PBO69"/>
  <c r="PBN69"/>
  <c r="PBM69"/>
  <c r="PBL69"/>
  <c r="PBK69"/>
  <c r="PBJ69"/>
  <c r="PBI69"/>
  <c r="PBH69"/>
  <c r="PBG69"/>
  <c r="PBF69"/>
  <c r="PBE69"/>
  <c r="PBD69"/>
  <c r="PBC69"/>
  <c r="PBB69"/>
  <c r="PBA69"/>
  <c r="PAZ69"/>
  <c r="PAY69"/>
  <c r="PAX69"/>
  <c r="PAW69"/>
  <c r="PAV69"/>
  <c r="PAU69"/>
  <c r="PAT69"/>
  <c r="PAS69"/>
  <c r="PAR69"/>
  <c r="PAQ69"/>
  <c r="PAP69"/>
  <c r="PAO69"/>
  <c r="PAN69"/>
  <c r="PAM69"/>
  <c r="PAL69"/>
  <c r="PAK69"/>
  <c r="PAJ69"/>
  <c r="PAI69"/>
  <c r="PAH69"/>
  <c r="PAG69"/>
  <c r="PAF69"/>
  <c r="PAE69"/>
  <c r="PAD69"/>
  <c r="PAC69"/>
  <c r="PAB69"/>
  <c r="PAA69"/>
  <c r="OZZ69"/>
  <c r="OZY69"/>
  <c r="OZX69"/>
  <c r="OZW69"/>
  <c r="OZV69"/>
  <c r="OZU69"/>
  <c r="OZT69"/>
  <c r="OZS69"/>
  <c r="OZR69"/>
  <c r="OZQ69"/>
  <c r="OZP69"/>
  <c r="OZO69"/>
  <c r="OZN69"/>
  <c r="OZM69"/>
  <c r="OZL69"/>
  <c r="OZK69"/>
  <c r="OZJ69"/>
  <c r="OZI69"/>
  <c r="OZH69"/>
  <c r="OZG69"/>
  <c r="OZF69"/>
  <c r="OZE69"/>
  <c r="OZD69"/>
  <c r="OZC69"/>
  <c r="OZB69"/>
  <c r="OZA69"/>
  <c r="OYZ69"/>
  <c r="OYY69"/>
  <c r="OYX69"/>
  <c r="OYW69"/>
  <c r="OYV69"/>
  <c r="OYU69"/>
  <c r="OYT69"/>
  <c r="OYS69"/>
  <c r="OYR69"/>
  <c r="OYQ69"/>
  <c r="OYP69"/>
  <c r="OYO69"/>
  <c r="OYN69"/>
  <c r="OYM69"/>
  <c r="OYL69"/>
  <c r="OYK69"/>
  <c r="OYJ69"/>
  <c r="OYI69"/>
  <c r="OYH69"/>
  <c r="OYG69"/>
  <c r="OYF69"/>
  <c r="OYE69"/>
  <c r="OYD69"/>
  <c r="OYC69"/>
  <c r="OYB69"/>
  <c r="OYA69"/>
  <c r="OXZ69"/>
  <c r="OXY69"/>
  <c r="OXX69"/>
  <c r="OXW69"/>
  <c r="OXV69"/>
  <c r="OXU69"/>
  <c r="OXT69"/>
  <c r="OXS69"/>
  <c r="OXR69"/>
  <c r="OXQ69"/>
  <c r="OXP69"/>
  <c r="OXO69"/>
  <c r="OXN69"/>
  <c r="OXM69"/>
  <c r="OXL69"/>
  <c r="OXK69"/>
  <c r="OXJ69"/>
  <c r="OXI69"/>
  <c r="OXH69"/>
  <c r="OXG69"/>
  <c r="OXF69"/>
  <c r="OXE69"/>
  <c r="OXD69"/>
  <c r="OXC69"/>
  <c r="OXB69"/>
  <c r="OXA69"/>
  <c r="OWZ69"/>
  <c r="OWY69"/>
  <c r="OWX69"/>
  <c r="OWW69"/>
  <c r="OWV69"/>
  <c r="OWU69"/>
  <c r="OWT69"/>
  <c r="OWS69"/>
  <c r="OWR69"/>
  <c r="OWQ69"/>
  <c r="OWP69"/>
  <c r="OWO69"/>
  <c r="OWN69"/>
  <c r="OWM69"/>
  <c r="OWL69"/>
  <c r="OWK69"/>
  <c r="OWJ69"/>
  <c r="OWI69"/>
  <c r="OWH69"/>
  <c r="OWG69"/>
  <c r="OWF69"/>
  <c r="OWE69"/>
  <c r="OWD69"/>
  <c r="OWC69"/>
  <c r="OWB69"/>
  <c r="OWA69"/>
  <c r="OVZ69"/>
  <c r="OVY69"/>
  <c r="OVX69"/>
  <c r="OVW69"/>
  <c r="OVV69"/>
  <c r="OVU69"/>
  <c r="OVT69"/>
  <c r="OVS69"/>
  <c r="OVR69"/>
  <c r="OVQ69"/>
  <c r="OVP69"/>
  <c r="OVO69"/>
  <c r="OVN69"/>
  <c r="OVM69"/>
  <c r="OVL69"/>
  <c r="OVK69"/>
  <c r="OVJ69"/>
  <c r="OVI69"/>
  <c r="OVH69"/>
  <c r="OVG69"/>
  <c r="OVF69"/>
  <c r="OVE69"/>
  <c r="OVD69"/>
  <c r="OVC69"/>
  <c r="OVB69"/>
  <c r="OVA69"/>
  <c r="OUZ69"/>
  <c r="OUY69"/>
  <c r="OUX69"/>
  <c r="OUW69"/>
  <c r="OUV69"/>
  <c r="OUU69"/>
  <c r="OUT69"/>
  <c r="OUS69"/>
  <c r="OUR69"/>
  <c r="OUQ69"/>
  <c r="OUP69"/>
  <c r="OUO69"/>
  <c r="OUN69"/>
  <c r="OUM69"/>
  <c r="OUL69"/>
  <c r="OUK69"/>
  <c r="OUJ69"/>
  <c r="OUI69"/>
  <c r="OUH69"/>
  <c r="OUG69"/>
  <c r="OUF69"/>
  <c r="OUE69"/>
  <c r="OUD69"/>
  <c r="OUC69"/>
  <c r="OUB69"/>
  <c r="OUA69"/>
  <c r="OTZ69"/>
  <c r="OTY69"/>
  <c r="OTX69"/>
  <c r="OTW69"/>
  <c r="OTV69"/>
  <c r="OTU69"/>
  <c r="OTT69"/>
  <c r="OTS69"/>
  <c r="OTR69"/>
  <c r="OTQ69"/>
  <c r="OTP69"/>
  <c r="OTO69"/>
  <c r="OTN69"/>
  <c r="OTM69"/>
  <c r="OTL69"/>
  <c r="OTK69"/>
  <c r="OTJ69"/>
  <c r="OTI69"/>
  <c r="OTH69"/>
  <c r="OTG69"/>
  <c r="OTF69"/>
  <c r="OTE69"/>
  <c r="OTD69"/>
  <c r="OTC69"/>
  <c r="OTB69"/>
  <c r="OTA69"/>
  <c r="OSZ69"/>
  <c r="OSY69"/>
  <c r="OSX69"/>
  <c r="OSW69"/>
  <c r="OSV69"/>
  <c r="OSU69"/>
  <c r="OST69"/>
  <c r="OSS69"/>
  <c r="OSR69"/>
  <c r="OSQ69"/>
  <c r="OSP69"/>
  <c r="OSO69"/>
  <c r="OSN69"/>
  <c r="OSM69"/>
  <c r="OSL69"/>
  <c r="OSK69"/>
  <c r="OSJ69"/>
  <c r="OSI69"/>
  <c r="OSH69"/>
  <c r="OSG69"/>
  <c r="OSF69"/>
  <c r="OSE69"/>
  <c r="OSD69"/>
  <c r="OSC69"/>
  <c r="OSB69"/>
  <c r="OSA69"/>
  <c r="ORZ69"/>
  <c r="ORY69"/>
  <c r="ORX69"/>
  <c r="ORW69"/>
  <c r="ORV69"/>
  <c r="ORU69"/>
  <c r="ORT69"/>
  <c r="ORS69"/>
  <c r="ORR69"/>
  <c r="ORQ69"/>
  <c r="ORP69"/>
  <c r="ORO69"/>
  <c r="ORN69"/>
  <c r="ORM69"/>
  <c r="ORL69"/>
  <c r="ORK69"/>
  <c r="ORJ69"/>
  <c r="ORI69"/>
  <c r="ORH69"/>
  <c r="ORG69"/>
  <c r="ORF69"/>
  <c r="ORE69"/>
  <c r="ORD69"/>
  <c r="ORC69"/>
  <c r="ORB69"/>
  <c r="ORA69"/>
  <c r="OQZ69"/>
  <c r="OQY69"/>
  <c r="OQX69"/>
  <c r="OQW69"/>
  <c r="OQV69"/>
  <c r="OQU69"/>
  <c r="OQT69"/>
  <c r="OQS69"/>
  <c r="OQR69"/>
  <c r="OQQ69"/>
  <c r="OQP69"/>
  <c r="OQO69"/>
  <c r="OQN69"/>
  <c r="OQM69"/>
  <c r="OQL69"/>
  <c r="OQK69"/>
  <c r="OQJ69"/>
  <c r="OQI69"/>
  <c r="OQH69"/>
  <c r="OQG69"/>
  <c r="OQF69"/>
  <c r="OQE69"/>
  <c r="OQD69"/>
  <c r="OQC69"/>
  <c r="OQB69"/>
  <c r="OQA69"/>
  <c r="OPZ69"/>
  <c r="OPY69"/>
  <c r="OPX69"/>
  <c r="OPW69"/>
  <c r="OPV69"/>
  <c r="OPU69"/>
  <c r="OPT69"/>
  <c r="OPS69"/>
  <c r="OPR69"/>
  <c r="OPQ69"/>
  <c r="OPP69"/>
  <c r="OPO69"/>
  <c r="OPN69"/>
  <c r="OPM69"/>
  <c r="OPL69"/>
  <c r="OPK69"/>
  <c r="OPJ69"/>
  <c r="OPI69"/>
  <c r="OPH69"/>
  <c r="OPG69"/>
  <c r="OPF69"/>
  <c r="OPE69"/>
  <c r="OPD69"/>
  <c r="OPC69"/>
  <c r="OPB69"/>
  <c r="OPA69"/>
  <c r="OOZ69"/>
  <c r="OOY69"/>
  <c r="OOX69"/>
  <c r="OOW69"/>
  <c r="OOV69"/>
  <c r="OOU69"/>
  <c r="OOT69"/>
  <c r="OOS69"/>
  <c r="OOR69"/>
  <c r="OOQ69"/>
  <c r="OOP69"/>
  <c r="OOO69"/>
  <c r="OON69"/>
  <c r="OOM69"/>
  <c r="OOL69"/>
  <c r="OOK69"/>
  <c r="OOJ69"/>
  <c r="OOI69"/>
  <c r="OOH69"/>
  <c r="OOG69"/>
  <c r="OOF69"/>
  <c r="OOE69"/>
  <c r="OOD69"/>
  <c r="OOC69"/>
  <c r="OOB69"/>
  <c r="OOA69"/>
  <c r="ONZ69"/>
  <c r="ONY69"/>
  <c r="ONX69"/>
  <c r="ONW69"/>
  <c r="ONV69"/>
  <c r="ONU69"/>
  <c r="ONT69"/>
  <c r="ONS69"/>
  <c r="ONR69"/>
  <c r="ONQ69"/>
  <c r="ONP69"/>
  <c r="ONO69"/>
  <c r="ONN69"/>
  <c r="ONM69"/>
  <c r="ONL69"/>
  <c r="ONK69"/>
  <c r="ONJ69"/>
  <c r="ONI69"/>
  <c r="ONH69"/>
  <c r="ONG69"/>
  <c r="ONF69"/>
  <c r="ONE69"/>
  <c r="OND69"/>
  <c r="ONC69"/>
  <c r="ONB69"/>
  <c r="ONA69"/>
  <c r="OMZ69"/>
  <c r="OMY69"/>
  <c r="OMX69"/>
  <c r="OMW69"/>
  <c r="OMV69"/>
  <c r="OMU69"/>
  <c r="OMT69"/>
  <c r="OMS69"/>
  <c r="OMR69"/>
  <c r="OMQ69"/>
  <c r="OMP69"/>
  <c r="OMO69"/>
  <c r="OMN69"/>
  <c r="OMM69"/>
  <c r="OML69"/>
  <c r="OMK69"/>
  <c r="OMJ69"/>
  <c r="OMI69"/>
  <c r="OMH69"/>
  <c r="OMG69"/>
  <c r="OMF69"/>
  <c r="OME69"/>
  <c r="OMD69"/>
  <c r="OMC69"/>
  <c r="OMB69"/>
  <c r="OMA69"/>
  <c r="OLZ69"/>
  <c r="OLY69"/>
  <c r="OLX69"/>
  <c r="OLW69"/>
  <c r="OLV69"/>
  <c r="OLU69"/>
  <c r="OLT69"/>
  <c r="OLS69"/>
  <c r="OLR69"/>
  <c r="OLQ69"/>
  <c r="OLP69"/>
  <c r="OLO69"/>
  <c r="OLN69"/>
  <c r="OLM69"/>
  <c r="OLL69"/>
  <c r="OLK69"/>
  <c r="OLJ69"/>
  <c r="OLI69"/>
  <c r="OLH69"/>
  <c r="OLG69"/>
  <c r="OLF69"/>
  <c r="OLE69"/>
  <c r="OLD69"/>
  <c r="OLC69"/>
  <c r="OLB69"/>
  <c r="OLA69"/>
  <c r="OKZ69"/>
  <c r="OKY69"/>
  <c r="OKX69"/>
  <c r="OKW69"/>
  <c r="OKV69"/>
  <c r="OKU69"/>
  <c r="OKT69"/>
  <c r="OKS69"/>
  <c r="OKR69"/>
  <c r="OKQ69"/>
  <c r="OKP69"/>
  <c r="OKO69"/>
  <c r="OKN69"/>
  <c r="OKM69"/>
  <c r="OKL69"/>
  <c r="OKK69"/>
  <c r="OKJ69"/>
  <c r="OKI69"/>
  <c r="OKH69"/>
  <c r="OKG69"/>
  <c r="OKF69"/>
  <c r="OKE69"/>
  <c r="OKD69"/>
  <c r="OKC69"/>
  <c r="OKB69"/>
  <c r="OKA69"/>
  <c r="OJZ69"/>
  <c r="OJY69"/>
  <c r="OJX69"/>
  <c r="OJW69"/>
  <c r="OJV69"/>
  <c r="OJU69"/>
  <c r="OJT69"/>
  <c r="OJS69"/>
  <c r="OJR69"/>
  <c r="OJQ69"/>
  <c r="OJP69"/>
  <c r="OJO69"/>
  <c r="OJN69"/>
  <c r="OJM69"/>
  <c r="OJL69"/>
  <c r="OJK69"/>
  <c r="OJJ69"/>
  <c r="OJI69"/>
  <c r="OJH69"/>
  <c r="OJG69"/>
  <c r="OJF69"/>
  <c r="OJE69"/>
  <c r="OJD69"/>
  <c r="OJC69"/>
  <c r="OJB69"/>
  <c r="OJA69"/>
  <c r="OIZ69"/>
  <c r="OIY69"/>
  <c r="OIX69"/>
  <c r="OIW69"/>
  <c r="OIV69"/>
  <c r="OIU69"/>
  <c r="OIT69"/>
  <c r="OIS69"/>
  <c r="OIR69"/>
  <c r="OIQ69"/>
  <c r="OIP69"/>
  <c r="OIO69"/>
  <c r="OIN69"/>
  <c r="OIM69"/>
  <c r="OIL69"/>
  <c r="OIK69"/>
  <c r="OIJ69"/>
  <c r="OII69"/>
  <c r="OIH69"/>
  <c r="OIG69"/>
  <c r="OIF69"/>
  <c r="OIE69"/>
  <c r="OID69"/>
  <c r="OIC69"/>
  <c r="OIB69"/>
  <c r="OIA69"/>
  <c r="OHZ69"/>
  <c r="OHY69"/>
  <c r="OHX69"/>
  <c r="OHW69"/>
  <c r="OHV69"/>
  <c r="OHU69"/>
  <c r="OHT69"/>
  <c r="OHS69"/>
  <c r="OHR69"/>
  <c r="OHQ69"/>
  <c r="OHP69"/>
  <c r="OHO69"/>
  <c r="OHN69"/>
  <c r="OHM69"/>
  <c r="OHL69"/>
  <c r="OHK69"/>
  <c r="OHJ69"/>
  <c r="OHI69"/>
  <c r="OHH69"/>
  <c r="OHG69"/>
  <c r="OHF69"/>
  <c r="OHE69"/>
  <c r="OHD69"/>
  <c r="OHC69"/>
  <c r="OHB69"/>
  <c r="OHA69"/>
  <c r="OGZ69"/>
  <c r="OGY69"/>
  <c r="OGX69"/>
  <c r="OGW69"/>
  <c r="OGV69"/>
  <c r="OGU69"/>
  <c r="OGT69"/>
  <c r="OGS69"/>
  <c r="OGR69"/>
  <c r="OGQ69"/>
  <c r="OGP69"/>
  <c r="OGO69"/>
  <c r="OGN69"/>
  <c r="OGM69"/>
  <c r="OGL69"/>
  <c r="OGK69"/>
  <c r="OGJ69"/>
  <c r="OGI69"/>
  <c r="OGH69"/>
  <c r="OGG69"/>
  <c r="OGF69"/>
  <c r="OGE69"/>
  <c r="OGD69"/>
  <c r="OGC69"/>
  <c r="OGB69"/>
  <c r="OGA69"/>
  <c r="OFZ69"/>
  <c r="OFY69"/>
  <c r="OFX69"/>
  <c r="OFW69"/>
  <c r="OFV69"/>
  <c r="OFU69"/>
  <c r="OFT69"/>
  <c r="OFS69"/>
  <c r="OFR69"/>
  <c r="OFQ69"/>
  <c r="OFP69"/>
  <c r="OFO69"/>
  <c r="OFN69"/>
  <c r="OFM69"/>
  <c r="OFL69"/>
  <c r="OFK69"/>
  <c r="OFJ69"/>
  <c r="OFI69"/>
  <c r="OFH69"/>
  <c r="OFG69"/>
  <c r="OFF69"/>
  <c r="OFE69"/>
  <c r="OFD69"/>
  <c r="OFC69"/>
  <c r="OFB69"/>
  <c r="OFA69"/>
  <c r="OEZ69"/>
  <c r="OEY69"/>
  <c r="OEX69"/>
  <c r="OEW69"/>
  <c r="OEV69"/>
  <c r="OEU69"/>
  <c r="OET69"/>
  <c r="OES69"/>
  <c r="OER69"/>
  <c r="OEQ69"/>
  <c r="OEP69"/>
  <c r="OEO69"/>
  <c r="OEN69"/>
  <c r="OEM69"/>
  <c r="OEL69"/>
  <c r="OEK69"/>
  <c r="OEJ69"/>
  <c r="OEI69"/>
  <c r="OEH69"/>
  <c r="OEG69"/>
  <c r="OEF69"/>
  <c r="OEE69"/>
  <c r="OED69"/>
  <c r="OEC69"/>
  <c r="OEB69"/>
  <c r="OEA69"/>
  <c r="ODZ69"/>
  <c r="ODY69"/>
  <c r="ODX69"/>
  <c r="ODW69"/>
  <c r="ODV69"/>
  <c r="ODU69"/>
  <c r="ODT69"/>
  <c r="ODS69"/>
  <c r="ODR69"/>
  <c r="ODQ69"/>
  <c r="ODP69"/>
  <c r="ODO69"/>
  <c r="ODN69"/>
  <c r="ODM69"/>
  <c r="ODL69"/>
  <c r="ODK69"/>
  <c r="ODJ69"/>
  <c r="ODI69"/>
  <c r="ODH69"/>
  <c r="ODG69"/>
  <c r="ODF69"/>
  <c r="ODE69"/>
  <c r="ODD69"/>
  <c r="ODC69"/>
  <c r="ODB69"/>
  <c r="ODA69"/>
  <c r="OCZ69"/>
  <c r="OCY69"/>
  <c r="OCX69"/>
  <c r="OCW69"/>
  <c r="OCV69"/>
  <c r="OCU69"/>
  <c r="OCT69"/>
  <c r="OCS69"/>
  <c r="OCR69"/>
  <c r="OCQ69"/>
  <c r="OCP69"/>
  <c r="OCO69"/>
  <c r="OCN69"/>
  <c r="OCM69"/>
  <c r="OCL69"/>
  <c r="OCK69"/>
  <c r="OCJ69"/>
  <c r="OCI69"/>
  <c r="OCH69"/>
  <c r="OCG69"/>
  <c r="OCF69"/>
  <c r="OCE69"/>
  <c r="OCD69"/>
  <c r="OCC69"/>
  <c r="OCB69"/>
  <c r="OCA69"/>
  <c r="OBZ69"/>
  <c r="OBY69"/>
  <c r="OBX69"/>
  <c r="OBW69"/>
  <c r="OBV69"/>
  <c r="OBU69"/>
  <c r="OBT69"/>
  <c r="OBS69"/>
  <c r="OBR69"/>
  <c r="OBQ69"/>
  <c r="OBP69"/>
  <c r="OBO69"/>
  <c r="OBN69"/>
  <c r="OBM69"/>
  <c r="OBL69"/>
  <c r="OBK69"/>
  <c r="OBJ69"/>
  <c r="OBI69"/>
  <c r="OBH69"/>
  <c r="OBG69"/>
  <c r="OBF69"/>
  <c r="OBE69"/>
  <c r="OBD69"/>
  <c r="OBC69"/>
  <c r="OBB69"/>
  <c r="OBA69"/>
  <c r="OAZ69"/>
  <c r="OAY69"/>
  <c r="OAX69"/>
  <c r="OAW69"/>
  <c r="OAV69"/>
  <c r="OAU69"/>
  <c r="OAT69"/>
  <c r="OAS69"/>
  <c r="OAR69"/>
  <c r="OAQ69"/>
  <c r="OAP69"/>
  <c r="OAO69"/>
  <c r="OAN69"/>
  <c r="OAM69"/>
  <c r="OAL69"/>
  <c r="OAK69"/>
  <c r="OAJ69"/>
  <c r="OAI69"/>
  <c r="OAH69"/>
  <c r="OAG69"/>
  <c r="OAF69"/>
  <c r="OAE69"/>
  <c r="OAD69"/>
  <c r="OAC69"/>
  <c r="OAB69"/>
  <c r="OAA69"/>
  <c r="NZZ69"/>
  <c r="NZY69"/>
  <c r="NZX69"/>
  <c r="NZW69"/>
  <c r="NZV69"/>
  <c r="NZU69"/>
  <c r="NZT69"/>
  <c r="NZS69"/>
  <c r="NZR69"/>
  <c r="NZQ69"/>
  <c r="NZP69"/>
  <c r="NZO69"/>
  <c r="NZN69"/>
  <c r="NZM69"/>
  <c r="NZL69"/>
  <c r="NZK69"/>
  <c r="NZJ69"/>
  <c r="NZI69"/>
  <c r="NZH69"/>
  <c r="NZG69"/>
  <c r="NZF69"/>
  <c r="NZE69"/>
  <c r="NZD69"/>
  <c r="NZC69"/>
  <c r="NZB69"/>
  <c r="NZA69"/>
  <c r="NYZ69"/>
  <c r="NYY69"/>
  <c r="NYX69"/>
  <c r="NYW69"/>
  <c r="NYV69"/>
  <c r="NYU69"/>
  <c r="NYT69"/>
  <c r="NYS69"/>
  <c r="NYR69"/>
  <c r="NYQ69"/>
  <c r="NYP69"/>
  <c r="NYO69"/>
  <c r="NYN69"/>
  <c r="NYM69"/>
  <c r="NYL69"/>
  <c r="NYK69"/>
  <c r="NYJ69"/>
  <c r="NYI69"/>
  <c r="NYH69"/>
  <c r="NYG69"/>
  <c r="NYF69"/>
  <c r="NYE69"/>
  <c r="NYD69"/>
  <c r="NYC69"/>
  <c r="NYB69"/>
  <c r="NYA69"/>
  <c r="NXZ69"/>
  <c r="NXY69"/>
  <c r="NXX69"/>
  <c r="NXW69"/>
  <c r="NXV69"/>
  <c r="NXU69"/>
  <c r="NXT69"/>
  <c r="NXS69"/>
  <c r="NXR69"/>
  <c r="NXQ69"/>
  <c r="NXP69"/>
  <c r="NXO69"/>
  <c r="NXN69"/>
  <c r="NXM69"/>
  <c r="NXL69"/>
  <c r="NXK69"/>
  <c r="NXJ69"/>
  <c r="NXI69"/>
  <c r="NXH69"/>
  <c r="NXG69"/>
  <c r="NXF69"/>
  <c r="NXE69"/>
  <c r="NXD69"/>
  <c r="NXC69"/>
  <c r="NXB69"/>
  <c r="NXA69"/>
  <c r="NWZ69"/>
  <c r="NWY69"/>
  <c r="NWX69"/>
  <c r="NWW69"/>
  <c r="NWV69"/>
  <c r="NWU69"/>
  <c r="NWT69"/>
  <c r="NWS69"/>
  <c r="NWR69"/>
  <c r="NWQ69"/>
  <c r="NWP69"/>
  <c r="NWO69"/>
  <c r="NWN69"/>
  <c r="NWM69"/>
  <c r="NWL69"/>
  <c r="NWK69"/>
  <c r="NWJ69"/>
  <c r="NWI69"/>
  <c r="NWH69"/>
  <c r="NWG69"/>
  <c r="NWF69"/>
  <c r="NWE69"/>
  <c r="NWD69"/>
  <c r="NWC69"/>
  <c r="NWB69"/>
  <c r="NWA69"/>
  <c r="NVZ69"/>
  <c r="NVY69"/>
  <c r="NVX69"/>
  <c r="NVW69"/>
  <c r="NVV69"/>
  <c r="NVU69"/>
  <c r="NVT69"/>
  <c r="NVS69"/>
  <c r="NVR69"/>
  <c r="NVQ69"/>
  <c r="NVP69"/>
  <c r="NVO69"/>
  <c r="NVN69"/>
  <c r="NVM69"/>
  <c r="NVL69"/>
  <c r="NVK69"/>
  <c r="NVJ69"/>
  <c r="NVI69"/>
  <c r="NVH69"/>
  <c r="NVG69"/>
  <c r="NVF69"/>
  <c r="NVE69"/>
  <c r="NVD69"/>
  <c r="NVC69"/>
  <c r="NVB69"/>
  <c r="NVA69"/>
  <c r="NUZ69"/>
  <c r="NUY69"/>
  <c r="NUX69"/>
  <c r="NUW69"/>
  <c r="NUV69"/>
  <c r="NUU69"/>
  <c r="NUT69"/>
  <c r="NUS69"/>
  <c r="NUR69"/>
  <c r="NUQ69"/>
  <c r="NUP69"/>
  <c r="NUO69"/>
  <c r="NUN69"/>
  <c r="NUM69"/>
  <c r="NUL69"/>
  <c r="NUK69"/>
  <c r="NUJ69"/>
  <c r="NUI69"/>
  <c r="NUH69"/>
  <c r="NUG69"/>
  <c r="NUF69"/>
  <c r="NUE69"/>
  <c r="NUD69"/>
  <c r="NUC69"/>
  <c r="NUB69"/>
  <c r="NUA69"/>
  <c r="NTZ69"/>
  <c r="NTY69"/>
  <c r="NTX69"/>
  <c r="NTW69"/>
  <c r="NTV69"/>
  <c r="NTU69"/>
  <c r="NTT69"/>
  <c r="NTS69"/>
  <c r="NTR69"/>
  <c r="NTQ69"/>
  <c r="NTP69"/>
  <c r="NTO69"/>
  <c r="NTN69"/>
  <c r="NTM69"/>
  <c r="NTL69"/>
  <c r="NTK69"/>
  <c r="NTJ69"/>
  <c r="NTI69"/>
  <c r="NTH69"/>
  <c r="NTG69"/>
  <c r="NTF69"/>
  <c r="NTE69"/>
  <c r="NTD69"/>
  <c r="NTC69"/>
  <c r="NTB69"/>
  <c r="NTA69"/>
  <c r="NSZ69"/>
  <c r="NSY69"/>
  <c r="NSX69"/>
  <c r="NSW69"/>
  <c r="NSV69"/>
  <c r="NSU69"/>
  <c r="NST69"/>
  <c r="NSS69"/>
  <c r="NSR69"/>
  <c r="NSQ69"/>
  <c r="NSP69"/>
  <c r="NSO69"/>
  <c r="NSN69"/>
  <c r="NSM69"/>
  <c r="NSL69"/>
  <c r="NSK69"/>
  <c r="NSJ69"/>
  <c r="NSI69"/>
  <c r="NSH69"/>
  <c r="NSG69"/>
  <c r="NSF69"/>
  <c r="NSE69"/>
  <c r="NSD69"/>
  <c r="NSC69"/>
  <c r="NSB69"/>
  <c r="NSA69"/>
  <c r="NRZ69"/>
  <c r="NRY69"/>
  <c r="NRX69"/>
  <c r="NRW69"/>
  <c r="NRV69"/>
  <c r="NRU69"/>
  <c r="NRT69"/>
  <c r="NRS69"/>
  <c r="NRR69"/>
  <c r="NRQ69"/>
  <c r="NRP69"/>
  <c r="NRO69"/>
  <c r="NRN69"/>
  <c r="NRM69"/>
  <c r="NRL69"/>
  <c r="NRK69"/>
  <c r="NRJ69"/>
  <c r="NRI69"/>
  <c r="NRH69"/>
  <c r="NRG69"/>
  <c r="NRF69"/>
  <c r="NRE69"/>
  <c r="NRD69"/>
  <c r="NRC69"/>
  <c r="NRB69"/>
  <c r="NRA69"/>
  <c r="NQZ69"/>
  <c r="NQY69"/>
  <c r="NQX69"/>
  <c r="NQW69"/>
  <c r="NQV69"/>
  <c r="NQU69"/>
  <c r="NQT69"/>
  <c r="NQS69"/>
  <c r="NQR69"/>
  <c r="NQQ69"/>
  <c r="NQP69"/>
  <c r="NQO69"/>
  <c r="NQN69"/>
  <c r="NQM69"/>
  <c r="NQL69"/>
  <c r="NQK69"/>
  <c r="NQJ69"/>
  <c r="NQI69"/>
  <c r="NQH69"/>
  <c r="NQG69"/>
  <c r="NQF69"/>
  <c r="NQE69"/>
  <c r="NQD69"/>
  <c r="NQC69"/>
  <c r="NQB69"/>
  <c r="NQA69"/>
  <c r="NPZ69"/>
  <c r="NPY69"/>
  <c r="NPX69"/>
  <c r="NPW69"/>
  <c r="NPV69"/>
  <c r="NPU69"/>
  <c r="NPT69"/>
  <c r="NPS69"/>
  <c r="NPR69"/>
  <c r="NPQ69"/>
  <c r="NPP69"/>
  <c r="NPO69"/>
  <c r="NPN69"/>
  <c r="NPM69"/>
  <c r="NPL69"/>
  <c r="NPK69"/>
  <c r="NPJ69"/>
  <c r="NPI69"/>
  <c r="NPH69"/>
  <c r="NPG69"/>
  <c r="NPF69"/>
  <c r="NPE69"/>
  <c r="NPD69"/>
  <c r="NPC69"/>
  <c r="NPB69"/>
  <c r="NPA69"/>
  <c r="NOZ69"/>
  <c r="NOY69"/>
  <c r="NOX69"/>
  <c r="NOW69"/>
  <c r="NOV69"/>
  <c r="NOU69"/>
  <c r="NOT69"/>
  <c r="NOS69"/>
  <c r="NOR69"/>
  <c r="NOQ69"/>
  <c r="NOP69"/>
  <c r="NOO69"/>
  <c r="NON69"/>
  <c r="NOM69"/>
  <c r="NOL69"/>
  <c r="NOK69"/>
  <c r="NOJ69"/>
  <c r="NOI69"/>
  <c r="NOH69"/>
  <c r="NOG69"/>
  <c r="NOF69"/>
  <c r="NOE69"/>
  <c r="NOD69"/>
  <c r="NOC69"/>
  <c r="NOB69"/>
  <c r="NOA69"/>
  <c r="NNZ69"/>
  <c r="NNY69"/>
  <c r="NNX69"/>
  <c r="NNW69"/>
  <c r="NNV69"/>
  <c r="NNU69"/>
  <c r="NNT69"/>
  <c r="NNS69"/>
  <c r="NNR69"/>
  <c r="NNQ69"/>
  <c r="NNP69"/>
  <c r="NNO69"/>
  <c r="NNN69"/>
  <c r="NNM69"/>
  <c r="NNL69"/>
  <c r="NNK69"/>
  <c r="NNJ69"/>
  <c r="NNI69"/>
  <c r="NNH69"/>
  <c r="NNG69"/>
  <c r="NNF69"/>
  <c r="NNE69"/>
  <c r="NND69"/>
  <c r="NNC69"/>
  <c r="NNB69"/>
  <c r="NNA69"/>
  <c r="NMZ69"/>
  <c r="NMY69"/>
  <c r="NMX69"/>
  <c r="NMW69"/>
  <c r="NMV69"/>
  <c r="NMU69"/>
  <c r="NMT69"/>
  <c r="NMS69"/>
  <c r="NMR69"/>
  <c r="NMQ69"/>
  <c r="NMP69"/>
  <c r="NMO69"/>
  <c r="NMN69"/>
  <c r="NMM69"/>
  <c r="NML69"/>
  <c r="NMK69"/>
  <c r="NMJ69"/>
  <c r="NMI69"/>
  <c r="NMH69"/>
  <c r="NMG69"/>
  <c r="NMF69"/>
  <c r="NME69"/>
  <c r="NMD69"/>
  <c r="NMC69"/>
  <c r="NMB69"/>
  <c r="NMA69"/>
  <c r="NLZ69"/>
  <c r="NLY69"/>
  <c r="NLX69"/>
  <c r="NLW69"/>
  <c r="NLV69"/>
  <c r="NLU69"/>
  <c r="NLT69"/>
  <c r="NLS69"/>
  <c r="NLR69"/>
  <c r="NLQ69"/>
  <c r="NLP69"/>
  <c r="NLO69"/>
  <c r="NLN69"/>
  <c r="NLM69"/>
  <c r="NLL69"/>
  <c r="NLK69"/>
  <c r="NLJ69"/>
  <c r="NLI69"/>
  <c r="NLH69"/>
  <c r="NLG69"/>
  <c r="NLF69"/>
  <c r="NLE69"/>
  <c r="NLD69"/>
  <c r="NLC69"/>
  <c r="NLB69"/>
  <c r="NLA69"/>
  <c r="NKZ69"/>
  <c r="NKY69"/>
  <c r="NKX69"/>
  <c r="NKW69"/>
  <c r="NKV69"/>
  <c r="NKU69"/>
  <c r="NKT69"/>
  <c r="NKS69"/>
  <c r="NKR69"/>
  <c r="NKQ69"/>
  <c r="NKP69"/>
  <c r="NKO69"/>
  <c r="NKN69"/>
  <c r="NKM69"/>
  <c r="NKL69"/>
  <c r="NKK69"/>
  <c r="NKJ69"/>
  <c r="NKI69"/>
  <c r="NKH69"/>
  <c r="NKG69"/>
  <c r="NKF69"/>
  <c r="NKE69"/>
  <c r="NKD69"/>
  <c r="NKC69"/>
  <c r="NKB69"/>
  <c r="NKA69"/>
  <c r="NJZ69"/>
  <c r="NJY69"/>
  <c r="NJX69"/>
  <c r="NJW69"/>
  <c r="NJV69"/>
  <c r="NJU69"/>
  <c r="NJT69"/>
  <c r="NJS69"/>
  <c r="NJR69"/>
  <c r="NJQ69"/>
  <c r="NJP69"/>
  <c r="NJO69"/>
  <c r="NJN69"/>
  <c r="NJM69"/>
  <c r="NJL69"/>
  <c r="NJK69"/>
  <c r="NJJ69"/>
  <c r="NJI69"/>
  <c r="NJH69"/>
  <c r="NJG69"/>
  <c r="NJF69"/>
  <c r="NJE69"/>
  <c r="NJD69"/>
  <c r="NJC69"/>
  <c r="NJB69"/>
  <c r="NJA69"/>
  <c r="NIZ69"/>
  <c r="NIY69"/>
  <c r="NIX69"/>
  <c r="NIW69"/>
  <c r="NIV69"/>
  <c r="NIU69"/>
  <c r="NIT69"/>
  <c r="NIS69"/>
  <c r="NIR69"/>
  <c r="NIQ69"/>
  <c r="NIP69"/>
  <c r="NIO69"/>
  <c r="NIN69"/>
  <c r="NIM69"/>
  <c r="NIL69"/>
  <c r="NIK69"/>
  <c r="NIJ69"/>
  <c r="NII69"/>
  <c r="NIH69"/>
  <c r="NIG69"/>
  <c r="NIF69"/>
  <c r="NIE69"/>
  <c r="NID69"/>
  <c r="NIC69"/>
  <c r="NIB69"/>
  <c r="NIA69"/>
  <c r="NHZ69"/>
  <c r="NHY69"/>
  <c r="NHX69"/>
  <c r="NHW69"/>
  <c r="NHV69"/>
  <c r="NHU69"/>
  <c r="NHT69"/>
  <c r="NHS69"/>
  <c r="NHR69"/>
  <c r="NHQ69"/>
  <c r="NHP69"/>
  <c r="NHO69"/>
  <c r="NHN69"/>
  <c r="NHM69"/>
  <c r="NHL69"/>
  <c r="NHK69"/>
  <c r="NHJ69"/>
  <c r="NHI69"/>
  <c r="NHH69"/>
  <c r="NHG69"/>
  <c r="NHF69"/>
  <c r="NHE69"/>
  <c r="NHD69"/>
  <c r="NHC69"/>
  <c r="NHB69"/>
  <c r="NHA69"/>
  <c r="NGZ69"/>
  <c r="NGY69"/>
  <c r="NGX69"/>
  <c r="NGW69"/>
  <c r="NGV69"/>
  <c r="NGU69"/>
  <c r="NGT69"/>
  <c r="NGS69"/>
  <c r="NGR69"/>
  <c r="NGQ69"/>
  <c r="NGP69"/>
  <c r="NGO69"/>
  <c r="NGN69"/>
  <c r="NGM69"/>
  <c r="NGL69"/>
  <c r="NGK69"/>
  <c r="NGJ69"/>
  <c r="NGI69"/>
  <c r="NGH69"/>
  <c r="NGG69"/>
  <c r="NGF69"/>
  <c r="NGE69"/>
  <c r="NGD69"/>
  <c r="NGC69"/>
  <c r="NGB69"/>
  <c r="NGA69"/>
  <c r="NFZ69"/>
  <c r="NFY69"/>
  <c r="NFX69"/>
  <c r="NFW69"/>
  <c r="NFV69"/>
  <c r="NFU69"/>
  <c r="NFT69"/>
  <c r="NFS69"/>
  <c r="NFR69"/>
  <c r="NFQ69"/>
  <c r="NFP69"/>
  <c r="NFO69"/>
  <c r="NFN69"/>
  <c r="NFM69"/>
  <c r="NFL69"/>
  <c r="NFK69"/>
  <c r="NFJ69"/>
  <c r="NFI69"/>
  <c r="NFH69"/>
  <c r="NFG69"/>
  <c r="NFF69"/>
  <c r="NFE69"/>
  <c r="NFD69"/>
  <c r="NFC69"/>
  <c r="NFB69"/>
  <c r="NFA69"/>
  <c r="NEZ69"/>
  <c r="NEY69"/>
  <c r="NEX69"/>
  <c r="NEW69"/>
  <c r="NEV69"/>
  <c r="NEU69"/>
  <c r="NET69"/>
  <c r="NES69"/>
  <c r="NER69"/>
  <c r="NEQ69"/>
  <c r="NEP69"/>
  <c r="NEO69"/>
  <c r="NEN69"/>
  <c r="NEM69"/>
  <c r="NEL69"/>
  <c r="NEK69"/>
  <c r="NEJ69"/>
  <c r="NEI69"/>
  <c r="NEH69"/>
  <c r="NEG69"/>
  <c r="NEF69"/>
  <c r="NEE69"/>
  <c r="NED69"/>
  <c r="NEC69"/>
  <c r="NEB69"/>
  <c r="NEA69"/>
  <c r="NDZ69"/>
  <c r="NDY69"/>
  <c r="NDX69"/>
  <c r="NDW69"/>
  <c r="NDV69"/>
  <c r="NDU69"/>
  <c r="NDT69"/>
  <c r="NDS69"/>
  <c r="NDR69"/>
  <c r="NDQ69"/>
  <c r="NDP69"/>
  <c r="NDO69"/>
  <c r="NDN69"/>
  <c r="NDM69"/>
  <c r="NDL69"/>
  <c r="NDK69"/>
  <c r="NDJ69"/>
  <c r="NDI69"/>
  <c r="NDH69"/>
  <c r="NDG69"/>
  <c r="NDF69"/>
  <c r="NDE69"/>
  <c r="NDD69"/>
  <c r="NDC69"/>
  <c r="NDB69"/>
  <c r="NDA69"/>
  <c r="NCZ69"/>
  <c r="NCY69"/>
  <c r="NCX69"/>
  <c r="NCW69"/>
  <c r="NCV69"/>
  <c r="NCU69"/>
  <c r="NCT69"/>
  <c r="NCS69"/>
  <c r="NCR69"/>
  <c r="NCQ69"/>
  <c r="NCP69"/>
  <c r="NCO69"/>
  <c r="NCN69"/>
  <c r="NCM69"/>
  <c r="NCL69"/>
  <c r="NCK69"/>
  <c r="NCJ69"/>
  <c r="NCI69"/>
  <c r="NCH69"/>
  <c r="NCG69"/>
  <c r="NCF69"/>
  <c r="NCE69"/>
  <c r="NCD69"/>
  <c r="NCC69"/>
  <c r="NCB69"/>
  <c r="NCA69"/>
  <c r="NBZ69"/>
  <c r="NBY69"/>
  <c r="NBX69"/>
  <c r="NBW69"/>
  <c r="NBV69"/>
  <c r="NBU69"/>
  <c r="NBT69"/>
  <c r="NBS69"/>
  <c r="NBR69"/>
  <c r="NBQ69"/>
  <c r="NBP69"/>
  <c r="NBO69"/>
  <c r="NBN69"/>
  <c r="NBM69"/>
  <c r="NBL69"/>
  <c r="NBK69"/>
  <c r="NBJ69"/>
  <c r="NBI69"/>
  <c r="NBH69"/>
  <c r="NBG69"/>
  <c r="NBF69"/>
  <c r="NBE69"/>
  <c r="NBD69"/>
  <c r="NBC69"/>
  <c r="NBB69"/>
  <c r="NBA69"/>
  <c r="NAZ69"/>
  <c r="NAY69"/>
  <c r="NAX69"/>
  <c r="NAW69"/>
  <c r="NAV69"/>
  <c r="NAU69"/>
  <c r="NAT69"/>
  <c r="NAS69"/>
  <c r="NAR69"/>
  <c r="NAQ69"/>
  <c r="NAP69"/>
  <c r="NAO69"/>
  <c r="NAN69"/>
  <c r="NAM69"/>
  <c r="NAL69"/>
  <c r="NAK69"/>
  <c r="NAJ69"/>
  <c r="NAI69"/>
  <c r="NAH69"/>
  <c r="NAG69"/>
  <c r="NAF69"/>
  <c r="NAE69"/>
  <c r="NAD69"/>
  <c r="NAC69"/>
  <c r="NAB69"/>
  <c r="NAA69"/>
  <c r="MZZ69"/>
  <c r="MZY69"/>
  <c r="MZX69"/>
  <c r="MZW69"/>
  <c r="MZV69"/>
  <c r="MZU69"/>
  <c r="MZT69"/>
  <c r="MZS69"/>
  <c r="MZR69"/>
  <c r="MZQ69"/>
  <c r="MZP69"/>
  <c r="MZO69"/>
  <c r="MZN69"/>
  <c r="MZM69"/>
  <c r="MZL69"/>
  <c r="MZK69"/>
  <c r="MZJ69"/>
  <c r="MZI69"/>
  <c r="MZH69"/>
  <c r="MZG69"/>
  <c r="MZF69"/>
  <c r="MZE69"/>
  <c r="MZD69"/>
  <c r="MZC69"/>
  <c r="MZB69"/>
  <c r="MZA69"/>
  <c r="MYZ69"/>
  <c r="MYY69"/>
  <c r="MYX69"/>
  <c r="MYW69"/>
  <c r="MYV69"/>
  <c r="MYU69"/>
  <c r="MYT69"/>
  <c r="MYS69"/>
  <c r="MYR69"/>
  <c r="MYQ69"/>
  <c r="MYP69"/>
  <c r="MYO69"/>
  <c r="MYN69"/>
  <c r="MYM69"/>
  <c r="MYL69"/>
  <c r="MYK69"/>
  <c r="MYJ69"/>
  <c r="MYI69"/>
  <c r="MYH69"/>
  <c r="MYG69"/>
  <c r="MYF69"/>
  <c r="MYE69"/>
  <c r="MYD69"/>
  <c r="MYC69"/>
  <c r="MYB69"/>
  <c r="MYA69"/>
  <c r="MXZ69"/>
  <c r="MXY69"/>
  <c r="MXX69"/>
  <c r="MXW69"/>
  <c r="MXV69"/>
  <c r="MXU69"/>
  <c r="MXT69"/>
  <c r="MXS69"/>
  <c r="MXR69"/>
  <c r="MXQ69"/>
  <c r="MXP69"/>
  <c r="MXO69"/>
  <c r="MXN69"/>
  <c r="MXM69"/>
  <c r="MXL69"/>
  <c r="MXK69"/>
  <c r="MXJ69"/>
  <c r="MXI69"/>
  <c r="MXH69"/>
  <c r="MXG69"/>
  <c r="MXF69"/>
  <c r="MXE69"/>
  <c r="MXD69"/>
  <c r="MXC69"/>
  <c r="MXB69"/>
  <c r="MXA69"/>
  <c r="MWZ69"/>
  <c r="MWY69"/>
  <c r="MWX69"/>
  <c r="MWW69"/>
  <c r="MWV69"/>
  <c r="MWU69"/>
  <c r="MWT69"/>
  <c r="MWS69"/>
  <c r="MWR69"/>
  <c r="MWQ69"/>
  <c r="MWP69"/>
  <c r="MWO69"/>
  <c r="MWN69"/>
  <c r="MWM69"/>
  <c r="MWL69"/>
  <c r="MWK69"/>
  <c r="MWJ69"/>
  <c r="MWI69"/>
  <c r="MWH69"/>
  <c r="MWG69"/>
  <c r="MWF69"/>
  <c r="MWE69"/>
  <c r="MWD69"/>
  <c r="MWC69"/>
  <c r="MWB69"/>
  <c r="MWA69"/>
  <c r="MVZ69"/>
  <c r="MVY69"/>
  <c r="MVX69"/>
  <c r="MVW69"/>
  <c r="MVV69"/>
  <c r="MVU69"/>
  <c r="MVT69"/>
  <c r="MVS69"/>
  <c r="MVR69"/>
  <c r="MVQ69"/>
  <c r="MVP69"/>
  <c r="MVO69"/>
  <c r="MVN69"/>
  <c r="MVM69"/>
  <c r="MVL69"/>
  <c r="MVK69"/>
  <c r="MVJ69"/>
  <c r="MVI69"/>
  <c r="MVH69"/>
  <c r="MVG69"/>
  <c r="MVF69"/>
  <c r="MVE69"/>
  <c r="MVD69"/>
  <c r="MVC69"/>
  <c r="MVB69"/>
  <c r="MVA69"/>
  <c r="MUZ69"/>
  <c r="MUY69"/>
  <c r="MUX69"/>
  <c r="MUW69"/>
  <c r="MUV69"/>
  <c r="MUU69"/>
  <c r="MUT69"/>
  <c r="MUS69"/>
  <c r="MUR69"/>
  <c r="MUQ69"/>
  <c r="MUP69"/>
  <c r="MUO69"/>
  <c r="MUN69"/>
  <c r="MUM69"/>
  <c r="MUL69"/>
  <c r="MUK69"/>
  <c r="MUJ69"/>
  <c r="MUI69"/>
  <c r="MUH69"/>
  <c r="MUG69"/>
  <c r="MUF69"/>
  <c r="MUE69"/>
  <c r="MUD69"/>
  <c r="MUC69"/>
  <c r="MUB69"/>
  <c r="MUA69"/>
  <c r="MTZ69"/>
  <c r="MTY69"/>
  <c r="MTX69"/>
  <c r="MTW69"/>
  <c r="MTV69"/>
  <c r="MTU69"/>
  <c r="MTT69"/>
  <c r="MTS69"/>
  <c r="MTR69"/>
  <c r="MTQ69"/>
  <c r="MTP69"/>
  <c r="MTO69"/>
  <c r="MTN69"/>
  <c r="MTM69"/>
  <c r="MTL69"/>
  <c r="MTK69"/>
  <c r="MTJ69"/>
  <c r="MTI69"/>
  <c r="MTH69"/>
  <c r="MTG69"/>
  <c r="MTF69"/>
  <c r="MTE69"/>
  <c r="MTD69"/>
  <c r="MTC69"/>
  <c r="MTB69"/>
  <c r="MTA69"/>
  <c r="MSZ69"/>
  <c r="MSY69"/>
  <c r="MSX69"/>
  <c r="MSW69"/>
  <c r="MSV69"/>
  <c r="MSU69"/>
  <c r="MST69"/>
  <c r="MSS69"/>
  <c r="MSR69"/>
  <c r="MSQ69"/>
  <c r="MSP69"/>
  <c r="MSO69"/>
  <c r="MSN69"/>
  <c r="MSM69"/>
  <c r="MSL69"/>
  <c r="MSK69"/>
  <c r="MSJ69"/>
  <c r="MSI69"/>
  <c r="MSH69"/>
  <c r="MSG69"/>
  <c r="MSF69"/>
  <c r="MSE69"/>
  <c r="MSD69"/>
  <c r="MSC69"/>
  <c r="MSB69"/>
  <c r="MSA69"/>
  <c r="MRZ69"/>
  <c r="MRY69"/>
  <c r="MRX69"/>
  <c r="MRW69"/>
  <c r="MRV69"/>
  <c r="MRU69"/>
  <c r="MRT69"/>
  <c r="MRS69"/>
  <c r="MRR69"/>
  <c r="MRQ69"/>
  <c r="MRP69"/>
  <c r="MRO69"/>
  <c r="MRN69"/>
  <c r="MRM69"/>
  <c r="MRL69"/>
  <c r="MRK69"/>
  <c r="MRJ69"/>
  <c r="MRI69"/>
  <c r="MRH69"/>
  <c r="MRG69"/>
  <c r="MRF69"/>
  <c r="MRE69"/>
  <c r="MRD69"/>
  <c r="MRC69"/>
  <c r="MRB69"/>
  <c r="MRA69"/>
  <c r="MQZ69"/>
  <c r="MQY69"/>
  <c r="MQX69"/>
  <c r="MQW69"/>
  <c r="MQV69"/>
  <c r="MQU69"/>
  <c r="MQT69"/>
  <c r="MQS69"/>
  <c r="MQR69"/>
  <c r="MQQ69"/>
  <c r="MQP69"/>
  <c r="MQO69"/>
  <c r="MQN69"/>
  <c r="MQM69"/>
  <c r="MQL69"/>
  <c r="MQK69"/>
  <c r="MQJ69"/>
  <c r="MQI69"/>
  <c r="MQH69"/>
  <c r="MQG69"/>
  <c r="MQF69"/>
  <c r="MQE69"/>
  <c r="MQD69"/>
  <c r="MQC69"/>
  <c r="MQB69"/>
  <c r="MQA69"/>
  <c r="MPZ69"/>
  <c r="MPY69"/>
  <c r="MPX69"/>
  <c r="MPW69"/>
  <c r="MPV69"/>
  <c r="MPU69"/>
  <c r="MPT69"/>
  <c r="MPS69"/>
  <c r="MPR69"/>
  <c r="MPQ69"/>
  <c r="MPP69"/>
  <c r="MPO69"/>
  <c r="MPN69"/>
  <c r="MPM69"/>
  <c r="MPL69"/>
  <c r="MPK69"/>
  <c r="MPJ69"/>
  <c r="MPI69"/>
  <c r="MPH69"/>
  <c r="MPG69"/>
  <c r="MPF69"/>
  <c r="MPE69"/>
  <c r="MPD69"/>
  <c r="MPC69"/>
  <c r="MPB69"/>
  <c r="MPA69"/>
  <c r="MOZ69"/>
  <c r="MOY69"/>
  <c r="MOX69"/>
  <c r="MOW69"/>
  <c r="MOV69"/>
  <c r="MOU69"/>
  <c r="MOT69"/>
  <c r="MOS69"/>
  <c r="MOR69"/>
  <c r="MOQ69"/>
  <c r="MOP69"/>
  <c r="MOO69"/>
  <c r="MON69"/>
  <c r="MOM69"/>
  <c r="MOL69"/>
  <c r="MOK69"/>
  <c r="MOJ69"/>
  <c r="MOI69"/>
  <c r="MOH69"/>
  <c r="MOG69"/>
  <c r="MOF69"/>
  <c r="MOE69"/>
  <c r="MOD69"/>
  <c r="MOC69"/>
  <c r="MOB69"/>
  <c r="MOA69"/>
  <c r="MNZ69"/>
  <c r="MNY69"/>
  <c r="MNX69"/>
  <c r="MNW69"/>
  <c r="MNV69"/>
  <c r="MNU69"/>
  <c r="MNT69"/>
  <c r="MNS69"/>
  <c r="MNR69"/>
  <c r="MNQ69"/>
  <c r="MNP69"/>
  <c r="MNO69"/>
  <c r="MNN69"/>
  <c r="MNM69"/>
  <c r="MNL69"/>
  <c r="MNK69"/>
  <c r="MNJ69"/>
  <c r="MNI69"/>
  <c r="MNH69"/>
  <c r="MNG69"/>
  <c r="MNF69"/>
  <c r="MNE69"/>
  <c r="MND69"/>
  <c r="MNC69"/>
  <c r="MNB69"/>
  <c r="MNA69"/>
  <c r="MMZ69"/>
  <c r="MMY69"/>
  <c r="MMX69"/>
  <c r="MMW69"/>
  <c r="MMV69"/>
  <c r="MMU69"/>
  <c r="MMT69"/>
  <c r="MMS69"/>
  <c r="MMR69"/>
  <c r="MMQ69"/>
  <c r="MMP69"/>
  <c r="MMO69"/>
  <c r="MMN69"/>
  <c r="MMM69"/>
  <c r="MML69"/>
  <c r="MMK69"/>
  <c r="MMJ69"/>
  <c r="MMI69"/>
  <c r="MMH69"/>
  <c r="MMG69"/>
  <c r="MMF69"/>
  <c r="MME69"/>
  <c r="MMD69"/>
  <c r="MMC69"/>
  <c r="MMB69"/>
  <c r="MMA69"/>
  <c r="MLZ69"/>
  <c r="MLY69"/>
  <c r="MLX69"/>
  <c r="MLW69"/>
  <c r="MLV69"/>
  <c r="MLU69"/>
  <c r="MLT69"/>
  <c r="MLS69"/>
  <c r="MLR69"/>
  <c r="MLQ69"/>
  <c r="MLP69"/>
  <c r="MLO69"/>
  <c r="MLN69"/>
  <c r="MLM69"/>
  <c r="MLL69"/>
  <c r="MLK69"/>
  <c r="MLJ69"/>
  <c r="MLI69"/>
  <c r="MLH69"/>
  <c r="MLG69"/>
  <c r="MLF69"/>
  <c r="MLE69"/>
  <c r="MLD69"/>
  <c r="MLC69"/>
  <c r="MLB69"/>
  <c r="MLA69"/>
  <c r="MKZ69"/>
  <c r="MKY69"/>
  <c r="MKX69"/>
  <c r="MKW69"/>
  <c r="MKV69"/>
  <c r="MKU69"/>
  <c r="MKT69"/>
  <c r="MKS69"/>
  <c r="MKR69"/>
  <c r="MKQ69"/>
  <c r="MKP69"/>
  <c r="MKO69"/>
  <c r="MKN69"/>
  <c r="MKM69"/>
  <c r="MKL69"/>
  <c r="MKK69"/>
  <c r="MKJ69"/>
  <c r="MKI69"/>
  <c r="MKH69"/>
  <c r="MKG69"/>
  <c r="MKF69"/>
  <c r="MKE69"/>
  <c r="MKD69"/>
  <c r="MKC69"/>
  <c r="MKB69"/>
  <c r="MKA69"/>
  <c r="MJZ69"/>
  <c r="MJY69"/>
  <c r="MJX69"/>
  <c r="MJW69"/>
  <c r="MJV69"/>
  <c r="MJU69"/>
  <c r="MJT69"/>
  <c r="MJS69"/>
  <c r="MJR69"/>
  <c r="MJQ69"/>
  <c r="MJP69"/>
  <c r="MJO69"/>
  <c r="MJN69"/>
  <c r="MJM69"/>
  <c r="MJL69"/>
  <c r="MJK69"/>
  <c r="MJJ69"/>
  <c r="MJI69"/>
  <c r="MJH69"/>
  <c r="MJG69"/>
  <c r="MJF69"/>
  <c r="MJE69"/>
  <c r="MJD69"/>
  <c r="MJC69"/>
  <c r="MJB69"/>
  <c r="MJA69"/>
  <c r="MIZ69"/>
  <c r="MIY69"/>
  <c r="MIX69"/>
  <c r="MIW69"/>
  <c r="MIV69"/>
  <c r="MIU69"/>
  <c r="MIT69"/>
  <c r="MIS69"/>
  <c r="MIR69"/>
  <c r="MIQ69"/>
  <c r="MIP69"/>
  <c r="MIO69"/>
  <c r="MIN69"/>
  <c r="MIM69"/>
  <c r="MIL69"/>
  <c r="MIK69"/>
  <c r="MIJ69"/>
  <c r="MII69"/>
  <c r="MIH69"/>
  <c r="MIG69"/>
  <c r="MIF69"/>
  <c r="MIE69"/>
  <c r="MID69"/>
  <c r="MIC69"/>
  <c r="MIB69"/>
  <c r="MIA69"/>
  <c r="MHZ69"/>
  <c r="MHY69"/>
  <c r="MHX69"/>
  <c r="MHW69"/>
  <c r="MHV69"/>
  <c r="MHU69"/>
  <c r="MHT69"/>
  <c r="MHS69"/>
  <c r="MHR69"/>
  <c r="MHQ69"/>
  <c r="MHP69"/>
  <c r="MHO69"/>
  <c r="MHN69"/>
  <c r="MHM69"/>
  <c r="MHL69"/>
  <c r="MHK69"/>
  <c r="MHJ69"/>
  <c r="MHI69"/>
  <c r="MHH69"/>
  <c r="MHG69"/>
  <c r="MHF69"/>
  <c r="MHE69"/>
  <c r="MHD69"/>
  <c r="MHC69"/>
  <c r="MHB69"/>
  <c r="MHA69"/>
  <c r="MGZ69"/>
  <c r="MGY69"/>
  <c r="MGX69"/>
  <c r="MGW69"/>
  <c r="MGV69"/>
  <c r="MGU69"/>
  <c r="MGT69"/>
  <c r="MGS69"/>
  <c r="MGR69"/>
  <c r="MGQ69"/>
  <c r="MGP69"/>
  <c r="MGO69"/>
  <c r="MGN69"/>
  <c r="MGM69"/>
  <c r="MGL69"/>
  <c r="MGK69"/>
  <c r="MGJ69"/>
  <c r="MGI69"/>
  <c r="MGH69"/>
  <c r="MGG69"/>
  <c r="MGF69"/>
  <c r="MGE69"/>
  <c r="MGD69"/>
  <c r="MGC69"/>
  <c r="MGB69"/>
  <c r="MGA69"/>
  <c r="MFZ69"/>
  <c r="MFY69"/>
  <c r="MFX69"/>
  <c r="MFW69"/>
  <c r="MFV69"/>
  <c r="MFU69"/>
  <c r="MFT69"/>
  <c r="MFS69"/>
  <c r="MFR69"/>
  <c r="MFQ69"/>
  <c r="MFP69"/>
  <c r="MFO69"/>
  <c r="MFN69"/>
  <c r="MFM69"/>
  <c r="MFL69"/>
  <c r="MFK69"/>
  <c r="MFJ69"/>
  <c r="MFI69"/>
  <c r="MFH69"/>
  <c r="MFG69"/>
  <c r="MFF69"/>
  <c r="MFE69"/>
  <c r="MFD69"/>
  <c r="MFC69"/>
  <c r="MFB69"/>
  <c r="MFA69"/>
  <c r="MEZ69"/>
  <c r="MEY69"/>
  <c r="MEX69"/>
  <c r="MEW69"/>
  <c r="MEV69"/>
  <c r="MEU69"/>
  <c r="MET69"/>
  <c r="MES69"/>
  <c r="MER69"/>
  <c r="MEQ69"/>
  <c r="MEP69"/>
  <c r="MEO69"/>
  <c r="MEN69"/>
  <c r="MEM69"/>
  <c r="MEL69"/>
  <c r="MEK69"/>
  <c r="MEJ69"/>
  <c r="MEI69"/>
  <c r="MEH69"/>
  <c r="MEG69"/>
  <c r="MEF69"/>
  <c r="MEE69"/>
  <c r="MED69"/>
  <c r="MEC69"/>
  <c r="MEB69"/>
  <c r="MEA69"/>
  <c r="MDZ69"/>
  <c r="MDY69"/>
  <c r="MDX69"/>
  <c r="MDW69"/>
  <c r="MDV69"/>
  <c r="MDU69"/>
  <c r="MDT69"/>
  <c r="MDS69"/>
  <c r="MDR69"/>
  <c r="MDQ69"/>
  <c r="MDP69"/>
  <c r="MDO69"/>
  <c r="MDN69"/>
  <c r="MDM69"/>
  <c r="MDL69"/>
  <c r="MDK69"/>
  <c r="MDJ69"/>
  <c r="MDI69"/>
  <c r="MDH69"/>
  <c r="MDG69"/>
  <c r="MDF69"/>
  <c r="MDE69"/>
  <c r="MDD69"/>
  <c r="MDC69"/>
  <c r="MDB69"/>
  <c r="MDA69"/>
  <c r="MCZ69"/>
  <c r="MCY69"/>
  <c r="MCX69"/>
  <c r="MCW69"/>
  <c r="MCV69"/>
  <c r="MCU69"/>
  <c r="MCT69"/>
  <c r="MCS69"/>
  <c r="MCR69"/>
  <c r="MCQ69"/>
  <c r="MCP69"/>
  <c r="MCO69"/>
  <c r="MCN69"/>
  <c r="MCM69"/>
  <c r="MCL69"/>
  <c r="MCK69"/>
  <c r="MCJ69"/>
  <c r="MCI69"/>
  <c r="MCH69"/>
  <c r="MCG69"/>
  <c r="MCF69"/>
  <c r="MCE69"/>
  <c r="MCD69"/>
  <c r="MCC69"/>
  <c r="MCB69"/>
  <c r="MCA69"/>
  <c r="MBZ69"/>
  <c r="MBY69"/>
  <c r="MBX69"/>
  <c r="MBW69"/>
  <c r="MBV69"/>
  <c r="MBU69"/>
  <c r="MBT69"/>
  <c r="MBS69"/>
  <c r="MBR69"/>
  <c r="MBQ69"/>
  <c r="MBP69"/>
  <c r="MBO69"/>
  <c r="MBN69"/>
  <c r="MBM69"/>
  <c r="MBL69"/>
  <c r="MBK69"/>
  <c r="MBJ69"/>
  <c r="MBI69"/>
  <c r="MBH69"/>
  <c r="MBG69"/>
  <c r="MBF69"/>
  <c r="MBE69"/>
  <c r="MBD69"/>
  <c r="MBC69"/>
  <c r="MBB69"/>
  <c r="MBA69"/>
  <c r="MAZ69"/>
  <c r="MAY69"/>
  <c r="MAX69"/>
  <c r="MAW69"/>
  <c r="MAV69"/>
  <c r="MAU69"/>
  <c r="MAT69"/>
  <c r="MAS69"/>
  <c r="MAR69"/>
  <c r="MAQ69"/>
  <c r="MAP69"/>
  <c r="MAO69"/>
  <c r="MAN69"/>
  <c r="MAM69"/>
  <c r="MAL69"/>
  <c r="MAK69"/>
  <c r="MAJ69"/>
  <c r="MAI69"/>
  <c r="MAH69"/>
  <c r="MAG69"/>
  <c r="MAF69"/>
  <c r="MAE69"/>
  <c r="MAD69"/>
  <c r="MAC69"/>
  <c r="MAB69"/>
  <c r="MAA69"/>
  <c r="LZZ69"/>
  <c r="LZY69"/>
  <c r="LZX69"/>
  <c r="LZW69"/>
  <c r="LZV69"/>
  <c r="LZU69"/>
  <c r="LZT69"/>
  <c r="LZS69"/>
  <c r="LZR69"/>
  <c r="LZQ69"/>
  <c r="LZP69"/>
  <c r="LZO69"/>
  <c r="LZN69"/>
  <c r="LZM69"/>
  <c r="LZL69"/>
  <c r="LZK69"/>
  <c r="LZJ69"/>
  <c r="LZI69"/>
  <c r="LZH69"/>
  <c r="LZG69"/>
  <c r="LZF69"/>
  <c r="LZE69"/>
  <c r="LZD69"/>
  <c r="LZC69"/>
  <c r="LZB69"/>
  <c r="LZA69"/>
  <c r="LYZ69"/>
  <c r="LYY69"/>
  <c r="LYX69"/>
  <c r="LYW69"/>
  <c r="LYV69"/>
  <c r="LYU69"/>
  <c r="LYT69"/>
  <c r="LYS69"/>
  <c r="LYR69"/>
  <c r="LYQ69"/>
  <c r="LYP69"/>
  <c r="LYO69"/>
  <c r="LYN69"/>
  <c r="LYM69"/>
  <c r="LYL69"/>
  <c r="LYK69"/>
  <c r="LYJ69"/>
  <c r="LYI69"/>
  <c r="LYH69"/>
  <c r="LYG69"/>
  <c r="LYF69"/>
  <c r="LYE69"/>
  <c r="LYD69"/>
  <c r="LYC69"/>
  <c r="LYB69"/>
  <c r="LYA69"/>
  <c r="LXZ69"/>
  <c r="LXY69"/>
  <c r="LXX69"/>
  <c r="LXW69"/>
  <c r="LXV69"/>
  <c r="LXU69"/>
  <c r="LXT69"/>
  <c r="LXS69"/>
  <c r="LXR69"/>
  <c r="LXQ69"/>
  <c r="LXP69"/>
  <c r="LXO69"/>
  <c r="LXN69"/>
  <c r="LXM69"/>
  <c r="LXL69"/>
  <c r="LXK69"/>
  <c r="LXJ69"/>
  <c r="LXI69"/>
  <c r="LXH69"/>
  <c r="LXG69"/>
  <c r="LXF69"/>
  <c r="LXE69"/>
  <c r="LXD69"/>
  <c r="LXC69"/>
  <c r="LXB69"/>
  <c r="LXA69"/>
  <c r="LWZ69"/>
  <c r="LWY69"/>
  <c r="LWX69"/>
  <c r="LWW69"/>
  <c r="LWV69"/>
  <c r="LWU69"/>
  <c r="LWT69"/>
  <c r="LWS69"/>
  <c r="LWR69"/>
  <c r="LWQ69"/>
  <c r="LWP69"/>
  <c r="LWO69"/>
  <c r="LWN69"/>
  <c r="LWM69"/>
  <c r="LWL69"/>
  <c r="LWK69"/>
  <c r="LWJ69"/>
  <c r="LWI69"/>
  <c r="LWH69"/>
  <c r="LWG69"/>
  <c r="LWF69"/>
  <c r="LWE69"/>
  <c r="LWD69"/>
  <c r="LWC69"/>
  <c r="LWB69"/>
  <c r="LWA69"/>
  <c r="LVZ69"/>
  <c r="LVY69"/>
  <c r="LVX69"/>
  <c r="LVW69"/>
  <c r="LVV69"/>
  <c r="LVU69"/>
  <c r="LVT69"/>
  <c r="LVS69"/>
  <c r="LVR69"/>
  <c r="LVQ69"/>
  <c r="LVP69"/>
  <c r="LVO69"/>
  <c r="LVN69"/>
  <c r="LVM69"/>
  <c r="LVL69"/>
  <c r="LVK69"/>
  <c r="LVJ69"/>
  <c r="LVI69"/>
  <c r="LVH69"/>
  <c r="LVG69"/>
  <c r="LVF69"/>
  <c r="LVE69"/>
  <c r="LVD69"/>
  <c r="LVC69"/>
  <c r="LVB69"/>
  <c r="LVA69"/>
  <c r="LUZ69"/>
  <c r="LUY69"/>
  <c r="LUX69"/>
  <c r="LUW69"/>
  <c r="LUV69"/>
  <c r="LUU69"/>
  <c r="LUT69"/>
  <c r="LUS69"/>
  <c r="LUR69"/>
  <c r="LUQ69"/>
  <c r="LUP69"/>
  <c r="LUO69"/>
  <c r="LUN69"/>
  <c r="LUM69"/>
  <c r="LUL69"/>
  <c r="LUK69"/>
  <c r="LUJ69"/>
  <c r="LUI69"/>
  <c r="LUH69"/>
  <c r="LUG69"/>
  <c r="LUF69"/>
  <c r="LUE69"/>
  <c r="LUD69"/>
  <c r="LUC69"/>
  <c r="LUB69"/>
  <c r="LUA69"/>
  <c r="LTZ69"/>
  <c r="LTY69"/>
  <c r="LTX69"/>
  <c r="LTW69"/>
  <c r="LTV69"/>
  <c r="LTU69"/>
  <c r="LTT69"/>
  <c r="LTS69"/>
  <c r="LTR69"/>
  <c r="LTQ69"/>
  <c r="LTP69"/>
  <c r="LTO69"/>
  <c r="LTN69"/>
  <c r="LTM69"/>
  <c r="LTL69"/>
  <c r="LTK69"/>
  <c r="LTJ69"/>
  <c r="LTI69"/>
  <c r="LTH69"/>
  <c r="LTG69"/>
  <c r="LTF69"/>
  <c r="LTE69"/>
  <c r="LTD69"/>
  <c r="LTC69"/>
  <c r="LTB69"/>
  <c r="LTA69"/>
  <c r="LSZ69"/>
  <c r="LSY69"/>
  <c r="LSX69"/>
  <c r="LSW69"/>
  <c r="LSV69"/>
  <c r="LSU69"/>
  <c r="LST69"/>
  <c r="LSS69"/>
  <c r="LSR69"/>
  <c r="LSQ69"/>
  <c r="LSP69"/>
  <c r="LSO69"/>
  <c r="LSN69"/>
  <c r="LSM69"/>
  <c r="LSL69"/>
  <c r="LSK69"/>
  <c r="LSJ69"/>
  <c r="LSI69"/>
  <c r="LSH69"/>
  <c r="LSG69"/>
  <c r="LSF69"/>
  <c r="LSE69"/>
  <c r="LSD69"/>
  <c r="LSC69"/>
  <c r="LSB69"/>
  <c r="LSA69"/>
  <c r="LRZ69"/>
  <c r="LRY69"/>
  <c r="LRX69"/>
  <c r="LRW69"/>
  <c r="LRV69"/>
  <c r="LRU69"/>
  <c r="LRT69"/>
  <c r="LRS69"/>
  <c r="LRR69"/>
  <c r="LRQ69"/>
  <c r="LRP69"/>
  <c r="LRO69"/>
  <c r="LRN69"/>
  <c r="LRM69"/>
  <c r="LRL69"/>
  <c r="LRK69"/>
  <c r="LRJ69"/>
  <c r="LRI69"/>
  <c r="LRH69"/>
  <c r="LRG69"/>
  <c r="LRF69"/>
  <c r="LRE69"/>
  <c r="LRD69"/>
  <c r="LRC69"/>
  <c r="LRB69"/>
  <c r="LRA69"/>
  <c r="LQZ69"/>
  <c r="LQY69"/>
  <c r="LQX69"/>
  <c r="LQW69"/>
  <c r="LQV69"/>
  <c r="LQU69"/>
  <c r="LQT69"/>
  <c r="LQS69"/>
  <c r="LQR69"/>
  <c r="LQQ69"/>
  <c r="LQP69"/>
  <c r="LQO69"/>
  <c r="LQN69"/>
  <c r="LQM69"/>
  <c r="LQL69"/>
  <c r="LQK69"/>
  <c r="LQJ69"/>
  <c r="LQI69"/>
  <c r="LQH69"/>
  <c r="LQG69"/>
  <c r="LQF69"/>
  <c r="LQE69"/>
  <c r="LQD69"/>
  <c r="LQC69"/>
  <c r="LQB69"/>
  <c r="LQA69"/>
  <c r="LPZ69"/>
  <c r="LPY69"/>
  <c r="LPX69"/>
  <c r="LPW69"/>
  <c r="LPV69"/>
  <c r="LPU69"/>
  <c r="LPT69"/>
  <c r="LPS69"/>
  <c r="LPR69"/>
  <c r="LPQ69"/>
  <c r="LPP69"/>
  <c r="LPO69"/>
  <c r="LPN69"/>
  <c r="LPM69"/>
  <c r="LPL69"/>
  <c r="LPK69"/>
  <c r="LPJ69"/>
  <c r="LPI69"/>
  <c r="LPH69"/>
  <c r="LPG69"/>
  <c r="LPF69"/>
  <c r="LPE69"/>
  <c r="LPD69"/>
  <c r="LPC69"/>
  <c r="LPB69"/>
  <c r="LPA69"/>
  <c r="LOZ69"/>
  <c r="LOY69"/>
  <c r="LOX69"/>
  <c r="LOW69"/>
  <c r="LOV69"/>
  <c r="LOU69"/>
  <c r="LOT69"/>
  <c r="LOS69"/>
  <c r="LOR69"/>
  <c r="LOQ69"/>
  <c r="LOP69"/>
  <c r="LOO69"/>
  <c r="LON69"/>
  <c r="LOM69"/>
  <c r="LOL69"/>
  <c r="LOK69"/>
  <c r="LOJ69"/>
  <c r="LOI69"/>
  <c r="LOH69"/>
  <c r="LOG69"/>
  <c r="LOF69"/>
  <c r="LOE69"/>
  <c r="LOD69"/>
  <c r="LOC69"/>
  <c r="LOB69"/>
  <c r="LOA69"/>
  <c r="LNZ69"/>
  <c r="LNY69"/>
  <c r="LNX69"/>
  <c r="LNW69"/>
  <c r="LNV69"/>
  <c r="LNU69"/>
  <c r="LNT69"/>
  <c r="LNS69"/>
  <c r="LNR69"/>
  <c r="LNQ69"/>
  <c r="LNP69"/>
  <c r="LNO69"/>
  <c r="LNN69"/>
  <c r="LNM69"/>
  <c r="LNL69"/>
  <c r="LNK69"/>
  <c r="LNJ69"/>
  <c r="LNI69"/>
  <c r="LNH69"/>
  <c r="LNG69"/>
  <c r="LNF69"/>
  <c r="LNE69"/>
  <c r="LND69"/>
  <c r="LNC69"/>
  <c r="LNB69"/>
  <c r="LNA69"/>
  <c r="LMZ69"/>
  <c r="LMY69"/>
  <c r="LMX69"/>
  <c r="LMW69"/>
  <c r="LMV69"/>
  <c r="LMU69"/>
  <c r="LMT69"/>
  <c r="LMS69"/>
  <c r="LMR69"/>
  <c r="LMQ69"/>
  <c r="LMP69"/>
  <c r="LMO69"/>
  <c r="LMN69"/>
  <c r="LMM69"/>
  <c r="LML69"/>
  <c r="LMK69"/>
  <c r="LMJ69"/>
  <c r="LMI69"/>
  <c r="LMH69"/>
  <c r="LMG69"/>
  <c r="LMF69"/>
  <c r="LME69"/>
  <c r="LMD69"/>
  <c r="LMC69"/>
  <c r="LMB69"/>
  <c r="LMA69"/>
  <c r="LLZ69"/>
  <c r="LLY69"/>
  <c r="LLX69"/>
  <c r="LLW69"/>
  <c r="LLV69"/>
  <c r="LLU69"/>
  <c r="LLT69"/>
  <c r="LLS69"/>
  <c r="LLR69"/>
  <c r="LLQ69"/>
  <c r="LLP69"/>
  <c r="LLO69"/>
  <c r="LLN69"/>
  <c r="LLM69"/>
  <c r="LLL69"/>
  <c r="LLK69"/>
  <c r="LLJ69"/>
  <c r="LLI69"/>
  <c r="LLH69"/>
  <c r="LLG69"/>
  <c r="LLF69"/>
  <c r="LLE69"/>
  <c r="LLD69"/>
  <c r="LLC69"/>
  <c r="LLB69"/>
  <c r="LLA69"/>
  <c r="LKZ69"/>
  <c r="LKY69"/>
  <c r="LKX69"/>
  <c r="LKW69"/>
  <c r="LKV69"/>
  <c r="LKU69"/>
  <c r="LKT69"/>
  <c r="LKS69"/>
  <c r="LKR69"/>
  <c r="LKQ69"/>
  <c r="LKP69"/>
  <c r="LKO69"/>
  <c r="LKN69"/>
  <c r="LKM69"/>
  <c r="LKL69"/>
  <c r="LKK69"/>
  <c r="LKJ69"/>
  <c r="LKI69"/>
  <c r="LKH69"/>
  <c r="LKG69"/>
  <c r="LKF69"/>
  <c r="LKE69"/>
  <c r="LKD69"/>
  <c r="LKC69"/>
  <c r="LKB69"/>
  <c r="LKA69"/>
  <c r="LJZ69"/>
  <c r="LJY69"/>
  <c r="LJX69"/>
  <c r="LJW69"/>
  <c r="LJV69"/>
  <c r="LJU69"/>
  <c r="LJT69"/>
  <c r="LJS69"/>
  <c r="LJR69"/>
  <c r="LJQ69"/>
  <c r="LJP69"/>
  <c r="LJO69"/>
  <c r="LJN69"/>
  <c r="LJM69"/>
  <c r="LJL69"/>
  <c r="LJK69"/>
  <c r="LJJ69"/>
  <c r="LJI69"/>
  <c r="LJH69"/>
  <c r="LJG69"/>
  <c r="LJF69"/>
  <c r="LJE69"/>
  <c r="LJD69"/>
  <c r="LJC69"/>
  <c r="LJB69"/>
  <c r="LJA69"/>
  <c r="LIZ69"/>
  <c r="LIY69"/>
  <c r="LIX69"/>
  <c r="LIW69"/>
  <c r="LIV69"/>
  <c r="LIU69"/>
  <c r="LIT69"/>
  <c r="LIS69"/>
  <c r="LIR69"/>
  <c r="LIQ69"/>
  <c r="LIP69"/>
  <c r="LIO69"/>
  <c r="LIN69"/>
  <c r="LIM69"/>
  <c r="LIL69"/>
  <c r="LIK69"/>
  <c r="LIJ69"/>
  <c r="LII69"/>
  <c r="LIH69"/>
  <c r="LIG69"/>
  <c r="LIF69"/>
  <c r="LIE69"/>
  <c r="LID69"/>
  <c r="LIC69"/>
  <c r="LIB69"/>
  <c r="LIA69"/>
  <c r="LHZ69"/>
  <c r="LHY69"/>
  <c r="LHX69"/>
  <c r="LHW69"/>
  <c r="LHV69"/>
  <c r="LHU69"/>
  <c r="LHT69"/>
  <c r="LHS69"/>
  <c r="LHR69"/>
  <c r="LHQ69"/>
  <c r="LHP69"/>
  <c r="LHO69"/>
  <c r="LHN69"/>
  <c r="LHM69"/>
  <c r="LHL69"/>
  <c r="LHK69"/>
  <c r="LHJ69"/>
  <c r="LHI69"/>
  <c r="LHH69"/>
  <c r="LHG69"/>
  <c r="LHF69"/>
  <c r="LHE69"/>
  <c r="LHD69"/>
  <c r="LHC69"/>
  <c r="LHB69"/>
  <c r="LHA69"/>
  <c r="LGZ69"/>
  <c r="LGY69"/>
  <c r="LGX69"/>
  <c r="LGW69"/>
  <c r="LGV69"/>
  <c r="LGU69"/>
  <c r="LGT69"/>
  <c r="LGS69"/>
  <c r="LGR69"/>
  <c r="LGQ69"/>
  <c r="LGP69"/>
  <c r="LGO69"/>
  <c r="LGN69"/>
  <c r="LGM69"/>
  <c r="LGL69"/>
  <c r="LGK69"/>
  <c r="LGJ69"/>
  <c r="LGI69"/>
  <c r="LGH69"/>
  <c r="LGG69"/>
  <c r="LGF69"/>
  <c r="LGE69"/>
  <c r="LGD69"/>
  <c r="LGC69"/>
  <c r="LGB69"/>
  <c r="LGA69"/>
  <c r="LFZ69"/>
  <c r="LFY69"/>
  <c r="LFX69"/>
  <c r="LFW69"/>
  <c r="LFV69"/>
  <c r="LFU69"/>
  <c r="LFT69"/>
  <c r="LFS69"/>
  <c r="LFR69"/>
  <c r="LFQ69"/>
  <c r="LFP69"/>
  <c r="LFO69"/>
  <c r="LFN69"/>
  <c r="LFM69"/>
  <c r="LFL69"/>
  <c r="LFK69"/>
  <c r="LFJ69"/>
  <c r="LFI69"/>
  <c r="LFH69"/>
  <c r="LFG69"/>
  <c r="LFF69"/>
  <c r="LFE69"/>
  <c r="LFD69"/>
  <c r="LFC69"/>
  <c r="LFB69"/>
  <c r="LFA69"/>
  <c r="LEZ69"/>
  <c r="LEY69"/>
  <c r="LEX69"/>
  <c r="LEW69"/>
  <c r="LEV69"/>
  <c r="LEU69"/>
  <c r="LET69"/>
  <c r="LES69"/>
  <c r="LER69"/>
  <c r="LEQ69"/>
  <c r="LEP69"/>
  <c r="LEO69"/>
  <c r="LEN69"/>
  <c r="LEM69"/>
  <c r="LEL69"/>
  <c r="LEK69"/>
  <c r="LEJ69"/>
  <c r="LEI69"/>
  <c r="LEH69"/>
  <c r="LEG69"/>
  <c r="LEF69"/>
  <c r="LEE69"/>
  <c r="LED69"/>
  <c r="LEC69"/>
  <c r="LEB69"/>
  <c r="LEA69"/>
  <c r="LDZ69"/>
  <c r="LDY69"/>
  <c r="LDX69"/>
  <c r="LDW69"/>
  <c r="LDV69"/>
  <c r="LDU69"/>
  <c r="LDT69"/>
  <c r="LDS69"/>
  <c r="LDR69"/>
  <c r="LDQ69"/>
  <c r="LDP69"/>
  <c r="LDO69"/>
  <c r="LDN69"/>
  <c r="LDM69"/>
  <c r="LDL69"/>
  <c r="LDK69"/>
  <c r="LDJ69"/>
  <c r="LDI69"/>
  <c r="LDH69"/>
  <c r="LDG69"/>
  <c r="LDF69"/>
  <c r="LDE69"/>
  <c r="LDD69"/>
  <c r="LDC69"/>
  <c r="LDB69"/>
  <c r="LDA69"/>
  <c r="LCZ69"/>
  <c r="LCY69"/>
  <c r="LCX69"/>
  <c r="LCW69"/>
  <c r="LCV69"/>
  <c r="LCU69"/>
  <c r="LCT69"/>
  <c r="LCS69"/>
  <c r="LCR69"/>
  <c r="LCQ69"/>
  <c r="LCP69"/>
  <c r="LCO69"/>
  <c r="LCN69"/>
  <c r="LCM69"/>
  <c r="LCL69"/>
  <c r="LCK69"/>
  <c r="LCJ69"/>
  <c r="LCI69"/>
  <c r="LCH69"/>
  <c r="LCG69"/>
  <c r="LCF69"/>
  <c r="LCE69"/>
  <c r="LCD69"/>
  <c r="LCC69"/>
  <c r="LCB69"/>
  <c r="LCA69"/>
  <c r="LBZ69"/>
  <c r="LBY69"/>
  <c r="LBX69"/>
  <c r="LBW69"/>
  <c r="LBV69"/>
  <c r="LBU69"/>
  <c r="LBT69"/>
  <c r="LBS69"/>
  <c r="LBR69"/>
  <c r="LBQ69"/>
  <c r="LBP69"/>
  <c r="LBO69"/>
  <c r="LBN69"/>
  <c r="LBM69"/>
  <c r="LBL69"/>
  <c r="LBK69"/>
  <c r="LBJ69"/>
  <c r="LBI69"/>
  <c r="LBH69"/>
  <c r="LBG69"/>
  <c r="LBF69"/>
  <c r="LBE69"/>
  <c r="LBD69"/>
  <c r="LBC69"/>
  <c r="LBB69"/>
  <c r="LBA69"/>
  <c r="LAZ69"/>
  <c r="LAY69"/>
  <c r="LAX69"/>
  <c r="LAW69"/>
  <c r="LAV69"/>
  <c r="LAU69"/>
  <c r="LAT69"/>
  <c r="LAS69"/>
  <c r="LAR69"/>
  <c r="LAQ69"/>
  <c r="LAP69"/>
  <c r="LAO69"/>
  <c r="LAN69"/>
  <c r="LAM69"/>
  <c r="LAL69"/>
  <c r="LAK69"/>
  <c r="LAJ69"/>
  <c r="LAI69"/>
  <c r="LAH69"/>
  <c r="LAG69"/>
  <c r="LAF69"/>
  <c r="LAE69"/>
  <c r="LAD69"/>
  <c r="LAC69"/>
  <c r="LAB69"/>
  <c r="LAA69"/>
  <c r="KZZ69"/>
  <c r="KZY69"/>
  <c r="KZX69"/>
  <c r="KZW69"/>
  <c r="KZV69"/>
  <c r="KZU69"/>
  <c r="KZT69"/>
  <c r="KZS69"/>
  <c r="KZR69"/>
  <c r="KZQ69"/>
  <c r="KZP69"/>
  <c r="KZO69"/>
  <c r="KZN69"/>
  <c r="KZM69"/>
  <c r="KZL69"/>
  <c r="KZK69"/>
  <c r="KZJ69"/>
  <c r="KZI69"/>
  <c r="KZH69"/>
  <c r="KZG69"/>
  <c r="KZF69"/>
  <c r="KZE69"/>
  <c r="KZD69"/>
  <c r="KZC69"/>
  <c r="KZB69"/>
  <c r="KZA69"/>
  <c r="KYZ69"/>
  <c r="KYY69"/>
  <c r="KYX69"/>
  <c r="KYW69"/>
  <c r="KYV69"/>
  <c r="KYU69"/>
  <c r="KYT69"/>
  <c r="KYS69"/>
  <c r="KYR69"/>
  <c r="KYQ69"/>
  <c r="KYP69"/>
  <c r="KYO69"/>
  <c r="KYN69"/>
  <c r="KYM69"/>
  <c r="KYL69"/>
  <c r="KYK69"/>
  <c r="KYJ69"/>
  <c r="KYI69"/>
  <c r="KYH69"/>
  <c r="KYG69"/>
  <c r="KYF69"/>
  <c r="KYE69"/>
  <c r="KYD69"/>
  <c r="KYC69"/>
  <c r="KYB69"/>
  <c r="KYA69"/>
  <c r="KXZ69"/>
  <c r="KXY69"/>
  <c r="KXX69"/>
  <c r="KXW69"/>
  <c r="KXV69"/>
  <c r="KXU69"/>
  <c r="KXT69"/>
  <c r="KXS69"/>
  <c r="KXR69"/>
  <c r="KXQ69"/>
  <c r="KXP69"/>
  <c r="KXO69"/>
  <c r="KXN69"/>
  <c r="KXM69"/>
  <c r="KXL69"/>
  <c r="KXK69"/>
  <c r="KXJ69"/>
  <c r="KXI69"/>
  <c r="KXH69"/>
  <c r="KXG69"/>
  <c r="KXF69"/>
  <c r="KXE69"/>
  <c r="KXD69"/>
  <c r="KXC69"/>
  <c r="KXB69"/>
  <c r="KXA69"/>
  <c r="KWZ69"/>
  <c r="KWY69"/>
  <c r="KWX69"/>
  <c r="KWW69"/>
  <c r="KWV69"/>
  <c r="KWU69"/>
  <c r="KWT69"/>
  <c r="KWS69"/>
  <c r="KWR69"/>
  <c r="KWQ69"/>
  <c r="KWP69"/>
  <c r="KWO69"/>
  <c r="KWN69"/>
  <c r="KWM69"/>
  <c r="KWL69"/>
  <c r="KWK69"/>
  <c r="KWJ69"/>
  <c r="KWI69"/>
  <c r="KWH69"/>
  <c r="KWG69"/>
  <c r="KWF69"/>
  <c r="KWE69"/>
  <c r="KWD69"/>
  <c r="KWC69"/>
  <c r="KWB69"/>
  <c r="KWA69"/>
  <c r="KVZ69"/>
  <c r="KVY69"/>
  <c r="KVX69"/>
  <c r="KVW69"/>
  <c r="KVV69"/>
  <c r="KVU69"/>
  <c r="KVT69"/>
  <c r="KVS69"/>
  <c r="KVR69"/>
  <c r="KVQ69"/>
  <c r="KVP69"/>
  <c r="KVO69"/>
  <c r="KVN69"/>
  <c r="KVM69"/>
  <c r="KVL69"/>
  <c r="KVK69"/>
  <c r="KVJ69"/>
  <c r="KVI69"/>
  <c r="KVH69"/>
  <c r="KVG69"/>
  <c r="KVF69"/>
  <c r="KVE69"/>
  <c r="KVD69"/>
  <c r="KVC69"/>
  <c r="KVB69"/>
  <c r="KVA69"/>
  <c r="KUZ69"/>
  <c r="KUY69"/>
  <c r="KUX69"/>
  <c r="KUW69"/>
  <c r="KUV69"/>
  <c r="KUU69"/>
  <c r="KUT69"/>
  <c r="KUS69"/>
  <c r="KUR69"/>
  <c r="KUQ69"/>
  <c r="KUP69"/>
  <c r="KUO69"/>
  <c r="KUN69"/>
  <c r="KUM69"/>
  <c r="KUL69"/>
  <c r="KUK69"/>
  <c r="KUJ69"/>
  <c r="KUI69"/>
  <c r="KUH69"/>
  <c r="KUG69"/>
  <c r="KUF69"/>
  <c r="KUE69"/>
  <c r="KUD69"/>
  <c r="KUC69"/>
  <c r="KUB69"/>
  <c r="KUA69"/>
  <c r="KTZ69"/>
  <c r="KTY69"/>
  <c r="KTX69"/>
  <c r="KTW69"/>
  <c r="KTV69"/>
  <c r="KTU69"/>
  <c r="KTT69"/>
  <c r="KTS69"/>
  <c r="KTR69"/>
  <c r="KTQ69"/>
  <c r="KTP69"/>
  <c r="KTO69"/>
  <c r="KTN69"/>
  <c r="KTM69"/>
  <c r="KTL69"/>
  <c r="KTK69"/>
  <c r="KTJ69"/>
  <c r="KTI69"/>
  <c r="KTH69"/>
  <c r="KTG69"/>
  <c r="KTF69"/>
  <c r="KTE69"/>
  <c r="KTD69"/>
  <c r="KTC69"/>
  <c r="KTB69"/>
  <c r="KTA69"/>
  <c r="KSZ69"/>
  <c r="KSY69"/>
  <c r="KSX69"/>
  <c r="KSW69"/>
  <c r="KSV69"/>
  <c r="KSU69"/>
  <c r="KST69"/>
  <c r="KSS69"/>
  <c r="KSR69"/>
  <c r="KSQ69"/>
  <c r="KSP69"/>
  <c r="KSO69"/>
  <c r="KSN69"/>
  <c r="KSM69"/>
  <c r="KSL69"/>
  <c r="KSK69"/>
  <c r="KSJ69"/>
  <c r="KSI69"/>
  <c r="KSH69"/>
  <c r="KSG69"/>
  <c r="KSF69"/>
  <c r="KSE69"/>
  <c r="KSD69"/>
  <c r="KSC69"/>
  <c r="KSB69"/>
  <c r="KSA69"/>
  <c r="KRZ69"/>
  <c r="KRY69"/>
  <c r="KRX69"/>
  <c r="KRW69"/>
  <c r="KRV69"/>
  <c r="KRU69"/>
  <c r="KRT69"/>
  <c r="KRS69"/>
  <c r="KRR69"/>
  <c r="KRQ69"/>
  <c r="KRP69"/>
  <c r="KRO69"/>
  <c r="KRN69"/>
  <c r="KRM69"/>
  <c r="KRL69"/>
  <c r="KRK69"/>
  <c r="KRJ69"/>
  <c r="KRI69"/>
  <c r="KRH69"/>
  <c r="KRG69"/>
  <c r="KRF69"/>
  <c r="KRE69"/>
  <c r="KRD69"/>
  <c r="KRC69"/>
  <c r="KRB69"/>
  <c r="KRA69"/>
  <c r="KQZ69"/>
  <c r="KQY69"/>
  <c r="KQX69"/>
  <c r="KQW69"/>
  <c r="KQV69"/>
  <c r="KQU69"/>
  <c r="KQT69"/>
  <c r="KQS69"/>
  <c r="KQR69"/>
  <c r="KQQ69"/>
  <c r="KQP69"/>
  <c r="KQO69"/>
  <c r="KQN69"/>
  <c r="KQM69"/>
  <c r="KQL69"/>
  <c r="KQK69"/>
  <c r="KQJ69"/>
  <c r="KQI69"/>
  <c r="KQH69"/>
  <c r="KQG69"/>
  <c r="KQF69"/>
  <c r="KQE69"/>
  <c r="KQD69"/>
  <c r="KQC69"/>
  <c r="KQB69"/>
  <c r="KQA69"/>
  <c r="KPZ69"/>
  <c r="KPY69"/>
  <c r="KPX69"/>
  <c r="KPW69"/>
  <c r="KPV69"/>
  <c r="KPU69"/>
  <c r="KPT69"/>
  <c r="KPS69"/>
  <c r="KPR69"/>
  <c r="KPQ69"/>
  <c r="KPP69"/>
  <c r="KPO69"/>
  <c r="KPN69"/>
  <c r="KPM69"/>
  <c r="KPL69"/>
  <c r="KPK69"/>
  <c r="KPJ69"/>
  <c r="KPI69"/>
  <c r="KPH69"/>
  <c r="KPG69"/>
  <c r="KPF69"/>
  <c r="KPE69"/>
  <c r="KPD69"/>
  <c r="KPC69"/>
  <c r="KPB69"/>
  <c r="KPA69"/>
  <c r="KOZ69"/>
  <c r="KOY69"/>
  <c r="KOX69"/>
  <c r="KOW69"/>
  <c r="KOV69"/>
  <c r="KOU69"/>
  <c r="KOT69"/>
  <c r="KOS69"/>
  <c r="KOR69"/>
  <c r="KOQ69"/>
  <c r="KOP69"/>
  <c r="KOO69"/>
  <c r="KON69"/>
  <c r="KOM69"/>
  <c r="KOL69"/>
  <c r="KOK69"/>
  <c r="KOJ69"/>
  <c r="KOI69"/>
  <c r="KOH69"/>
  <c r="KOG69"/>
  <c r="KOF69"/>
  <c r="KOE69"/>
  <c r="KOD69"/>
  <c r="KOC69"/>
  <c r="KOB69"/>
  <c r="KOA69"/>
  <c r="KNZ69"/>
  <c r="KNY69"/>
  <c r="KNX69"/>
  <c r="KNW69"/>
  <c r="KNV69"/>
  <c r="KNU69"/>
  <c r="KNT69"/>
  <c r="KNS69"/>
  <c r="KNR69"/>
  <c r="KNQ69"/>
  <c r="KNP69"/>
  <c r="KNO69"/>
  <c r="KNN69"/>
  <c r="KNM69"/>
  <c r="KNL69"/>
  <c r="KNK69"/>
  <c r="KNJ69"/>
  <c r="KNI69"/>
  <c r="KNH69"/>
  <c r="KNG69"/>
  <c r="KNF69"/>
  <c r="KNE69"/>
  <c r="KND69"/>
  <c r="KNC69"/>
  <c r="KNB69"/>
  <c r="KNA69"/>
  <c r="KMZ69"/>
  <c r="KMY69"/>
  <c r="KMX69"/>
  <c r="KMW69"/>
  <c r="KMV69"/>
  <c r="KMU69"/>
  <c r="KMT69"/>
  <c r="KMS69"/>
  <c r="KMR69"/>
  <c r="KMQ69"/>
  <c r="KMP69"/>
  <c r="KMO69"/>
  <c r="KMN69"/>
  <c r="KMM69"/>
  <c r="KML69"/>
  <c r="KMK69"/>
  <c r="KMJ69"/>
  <c r="KMI69"/>
  <c r="KMH69"/>
  <c r="KMG69"/>
  <c r="KMF69"/>
  <c r="KME69"/>
  <c r="KMD69"/>
  <c r="KMC69"/>
  <c r="KMB69"/>
  <c r="KMA69"/>
  <c r="KLZ69"/>
  <c r="KLY69"/>
  <c r="KLX69"/>
  <c r="KLW69"/>
  <c r="KLV69"/>
  <c r="KLU69"/>
  <c r="KLT69"/>
  <c r="KLS69"/>
  <c r="KLR69"/>
  <c r="KLQ69"/>
  <c r="KLP69"/>
  <c r="KLO69"/>
  <c r="KLN69"/>
  <c r="KLM69"/>
  <c r="KLL69"/>
  <c r="KLK69"/>
  <c r="KLJ69"/>
  <c r="KLI69"/>
  <c r="KLH69"/>
  <c r="KLG69"/>
  <c r="KLF69"/>
  <c r="KLE69"/>
  <c r="KLD69"/>
  <c r="KLC69"/>
  <c r="KLB69"/>
  <c r="KLA69"/>
  <c r="KKZ69"/>
  <c r="KKY69"/>
  <c r="KKX69"/>
  <c r="KKW69"/>
  <c r="KKV69"/>
  <c r="KKU69"/>
  <c r="KKT69"/>
  <c r="KKS69"/>
  <c r="KKR69"/>
  <c r="KKQ69"/>
  <c r="KKP69"/>
  <c r="KKO69"/>
  <c r="KKN69"/>
  <c r="KKM69"/>
  <c r="KKL69"/>
  <c r="KKK69"/>
  <c r="KKJ69"/>
  <c r="KKI69"/>
  <c r="KKH69"/>
  <c r="KKG69"/>
  <c r="KKF69"/>
  <c r="KKE69"/>
  <c r="KKD69"/>
  <c r="KKC69"/>
  <c r="KKB69"/>
  <c r="KKA69"/>
  <c r="KJZ69"/>
  <c r="KJY69"/>
  <c r="KJX69"/>
  <c r="KJW69"/>
  <c r="KJV69"/>
  <c r="KJU69"/>
  <c r="KJT69"/>
  <c r="KJS69"/>
  <c r="KJR69"/>
  <c r="KJQ69"/>
  <c r="KJP69"/>
  <c r="KJO69"/>
  <c r="KJN69"/>
  <c r="KJM69"/>
  <c r="KJL69"/>
  <c r="KJK69"/>
  <c r="KJJ69"/>
  <c r="KJI69"/>
  <c r="KJH69"/>
  <c r="KJG69"/>
  <c r="KJF69"/>
  <c r="KJE69"/>
  <c r="KJD69"/>
  <c r="KJC69"/>
  <c r="KJB69"/>
  <c r="KJA69"/>
  <c r="KIZ69"/>
  <c r="KIY69"/>
  <c r="KIX69"/>
  <c r="KIW69"/>
  <c r="KIV69"/>
  <c r="KIU69"/>
  <c r="KIT69"/>
  <c r="KIS69"/>
  <c r="KIR69"/>
  <c r="KIQ69"/>
  <c r="KIP69"/>
  <c r="KIO69"/>
  <c r="KIN69"/>
  <c r="KIM69"/>
  <c r="KIL69"/>
  <c r="KIK69"/>
  <c r="KIJ69"/>
  <c r="KII69"/>
  <c r="KIH69"/>
  <c r="KIG69"/>
  <c r="KIF69"/>
  <c r="KIE69"/>
  <c r="KID69"/>
  <c r="KIC69"/>
  <c r="KIB69"/>
  <c r="KIA69"/>
  <c r="KHZ69"/>
  <c r="KHY69"/>
  <c r="KHX69"/>
  <c r="KHW69"/>
  <c r="KHV69"/>
  <c r="KHU69"/>
  <c r="KHT69"/>
  <c r="KHS69"/>
  <c r="KHR69"/>
  <c r="KHQ69"/>
  <c r="KHP69"/>
  <c r="KHO69"/>
  <c r="KHN69"/>
  <c r="KHM69"/>
  <c r="KHL69"/>
  <c r="KHK69"/>
  <c r="KHJ69"/>
  <c r="KHI69"/>
  <c r="KHH69"/>
  <c r="KHG69"/>
  <c r="KHF69"/>
  <c r="KHE69"/>
  <c r="KHD69"/>
  <c r="KHC69"/>
  <c r="KHB69"/>
  <c r="KHA69"/>
  <c r="KGZ69"/>
  <c r="KGY69"/>
  <c r="KGX69"/>
  <c r="KGW69"/>
  <c r="KGV69"/>
  <c r="KGU69"/>
  <c r="KGT69"/>
  <c r="KGS69"/>
  <c r="KGR69"/>
  <c r="KGQ69"/>
  <c r="KGP69"/>
  <c r="KGO69"/>
  <c r="KGN69"/>
  <c r="KGM69"/>
  <c r="KGL69"/>
  <c r="KGK69"/>
  <c r="KGJ69"/>
  <c r="KGI69"/>
  <c r="KGH69"/>
  <c r="KGG69"/>
  <c r="KGF69"/>
  <c r="KGE69"/>
  <c r="KGD69"/>
  <c r="KGC69"/>
  <c r="KGB69"/>
  <c r="KGA69"/>
  <c r="KFZ69"/>
  <c r="KFY69"/>
  <c r="KFX69"/>
  <c r="KFW69"/>
  <c r="KFV69"/>
  <c r="KFU69"/>
  <c r="KFT69"/>
  <c r="KFS69"/>
  <c r="KFR69"/>
  <c r="KFQ69"/>
  <c r="KFP69"/>
  <c r="KFO69"/>
  <c r="KFN69"/>
  <c r="KFM69"/>
  <c r="KFL69"/>
  <c r="KFK69"/>
  <c r="KFJ69"/>
  <c r="KFI69"/>
  <c r="KFH69"/>
  <c r="KFG69"/>
  <c r="KFF69"/>
  <c r="KFE69"/>
  <c r="KFD69"/>
  <c r="KFC69"/>
  <c r="KFB69"/>
  <c r="KFA69"/>
  <c r="KEZ69"/>
  <c r="KEY69"/>
  <c r="KEX69"/>
  <c r="KEW69"/>
  <c r="KEV69"/>
  <c r="KEU69"/>
  <c r="KET69"/>
  <c r="KES69"/>
  <c r="KER69"/>
  <c r="KEQ69"/>
  <c r="KEP69"/>
  <c r="KEO69"/>
  <c r="KEN69"/>
  <c r="KEM69"/>
  <c r="KEL69"/>
  <c r="KEK69"/>
  <c r="KEJ69"/>
  <c r="KEI69"/>
  <c r="KEH69"/>
  <c r="KEG69"/>
  <c r="KEF69"/>
  <c r="KEE69"/>
  <c r="KED69"/>
  <c r="KEC69"/>
  <c r="KEB69"/>
  <c r="KEA69"/>
  <c r="KDZ69"/>
  <c r="KDY69"/>
  <c r="KDX69"/>
  <c r="KDW69"/>
  <c r="KDV69"/>
  <c r="KDU69"/>
  <c r="KDT69"/>
  <c r="KDS69"/>
  <c r="KDR69"/>
  <c r="KDQ69"/>
  <c r="KDP69"/>
  <c r="KDO69"/>
  <c r="KDN69"/>
  <c r="KDM69"/>
  <c r="KDL69"/>
  <c r="KDK69"/>
  <c r="KDJ69"/>
  <c r="KDI69"/>
  <c r="KDH69"/>
  <c r="KDG69"/>
  <c r="KDF69"/>
  <c r="KDE69"/>
  <c r="KDD69"/>
  <c r="KDC69"/>
  <c r="KDB69"/>
  <c r="KDA69"/>
  <c r="KCZ69"/>
  <c r="KCY69"/>
  <c r="KCX69"/>
  <c r="KCW69"/>
  <c r="KCV69"/>
  <c r="KCU69"/>
  <c r="KCT69"/>
  <c r="KCS69"/>
  <c r="KCR69"/>
  <c r="KCQ69"/>
  <c r="KCP69"/>
  <c r="KCO69"/>
  <c r="KCN69"/>
  <c r="KCM69"/>
  <c r="KCL69"/>
  <c r="KCK69"/>
  <c r="KCJ69"/>
  <c r="KCI69"/>
  <c r="KCH69"/>
  <c r="KCG69"/>
  <c r="KCF69"/>
  <c r="KCE69"/>
  <c r="KCD69"/>
  <c r="KCC69"/>
  <c r="KCB69"/>
  <c r="KCA69"/>
  <c r="KBZ69"/>
  <c r="KBY69"/>
  <c r="KBX69"/>
  <c r="KBW69"/>
  <c r="KBV69"/>
  <c r="KBU69"/>
  <c r="KBT69"/>
  <c r="KBS69"/>
  <c r="KBR69"/>
  <c r="KBQ69"/>
  <c r="KBP69"/>
  <c r="KBO69"/>
  <c r="KBN69"/>
  <c r="KBM69"/>
  <c r="KBL69"/>
  <c r="KBK69"/>
  <c r="KBJ69"/>
  <c r="KBI69"/>
  <c r="KBH69"/>
  <c r="KBG69"/>
  <c r="KBF69"/>
  <c r="KBE69"/>
  <c r="KBD69"/>
  <c r="KBC69"/>
  <c r="KBB69"/>
  <c r="KBA69"/>
  <c r="KAZ69"/>
  <c r="KAY69"/>
  <c r="KAX69"/>
  <c r="KAW69"/>
  <c r="KAV69"/>
  <c r="KAU69"/>
  <c r="KAT69"/>
  <c r="KAS69"/>
  <c r="KAR69"/>
  <c r="KAQ69"/>
  <c r="KAP69"/>
  <c r="KAO69"/>
  <c r="KAN69"/>
  <c r="KAM69"/>
  <c r="KAL69"/>
  <c r="KAK69"/>
  <c r="KAJ69"/>
  <c r="KAI69"/>
  <c r="KAH69"/>
  <c r="KAG69"/>
  <c r="KAF69"/>
  <c r="KAE69"/>
  <c r="KAD69"/>
  <c r="KAC69"/>
  <c r="KAB69"/>
  <c r="KAA69"/>
  <c r="JZZ69"/>
  <c r="JZY69"/>
  <c r="JZX69"/>
  <c r="JZW69"/>
  <c r="JZV69"/>
  <c r="JZU69"/>
  <c r="JZT69"/>
  <c r="JZS69"/>
  <c r="JZR69"/>
  <c r="JZQ69"/>
  <c r="JZP69"/>
  <c r="JZO69"/>
  <c r="JZN69"/>
  <c r="JZM69"/>
  <c r="JZL69"/>
  <c r="JZK69"/>
  <c r="JZJ69"/>
  <c r="JZI69"/>
  <c r="JZH69"/>
  <c r="JZG69"/>
  <c r="JZF69"/>
  <c r="JZE69"/>
  <c r="JZD69"/>
  <c r="JZC69"/>
  <c r="JZB69"/>
  <c r="JZA69"/>
  <c r="JYZ69"/>
  <c r="JYY69"/>
  <c r="JYX69"/>
  <c r="JYW69"/>
  <c r="JYV69"/>
  <c r="JYU69"/>
  <c r="JYT69"/>
  <c r="JYS69"/>
  <c r="JYR69"/>
  <c r="JYQ69"/>
  <c r="JYP69"/>
  <c r="JYO69"/>
  <c r="JYN69"/>
  <c r="JYM69"/>
  <c r="JYL69"/>
  <c r="JYK69"/>
  <c r="JYJ69"/>
  <c r="JYI69"/>
  <c r="JYH69"/>
  <c r="JYG69"/>
  <c r="JYF69"/>
  <c r="JYE69"/>
  <c r="JYD69"/>
  <c r="JYC69"/>
  <c r="JYB69"/>
  <c r="JYA69"/>
  <c r="JXZ69"/>
  <c r="JXY69"/>
  <c r="JXX69"/>
  <c r="JXW69"/>
  <c r="JXV69"/>
  <c r="JXU69"/>
  <c r="JXT69"/>
  <c r="JXS69"/>
  <c r="JXR69"/>
  <c r="JXQ69"/>
  <c r="JXP69"/>
  <c r="JXO69"/>
  <c r="JXN69"/>
  <c r="JXM69"/>
  <c r="JXL69"/>
  <c r="JXK69"/>
  <c r="JXJ69"/>
  <c r="JXI69"/>
  <c r="JXH69"/>
  <c r="JXG69"/>
  <c r="JXF69"/>
  <c r="JXE69"/>
  <c r="JXD69"/>
  <c r="JXC69"/>
  <c r="JXB69"/>
  <c r="JXA69"/>
  <c r="JWZ69"/>
  <c r="JWY69"/>
  <c r="JWX69"/>
  <c r="JWW69"/>
  <c r="JWV69"/>
  <c r="JWU69"/>
  <c r="JWT69"/>
  <c r="JWS69"/>
  <c r="JWR69"/>
  <c r="JWQ69"/>
  <c r="JWP69"/>
  <c r="JWO69"/>
  <c r="JWN69"/>
  <c r="JWM69"/>
  <c r="JWL69"/>
  <c r="JWK69"/>
  <c r="JWJ69"/>
  <c r="JWI69"/>
  <c r="JWH69"/>
  <c r="JWG69"/>
  <c r="JWF69"/>
  <c r="JWE69"/>
  <c r="JWD69"/>
  <c r="JWC69"/>
  <c r="JWB69"/>
  <c r="JWA69"/>
  <c r="JVZ69"/>
  <c r="JVY69"/>
  <c r="JVX69"/>
  <c r="JVW69"/>
  <c r="JVV69"/>
  <c r="JVU69"/>
  <c r="JVT69"/>
  <c r="JVS69"/>
  <c r="JVR69"/>
  <c r="JVQ69"/>
  <c r="JVP69"/>
  <c r="JVO69"/>
  <c r="JVN69"/>
  <c r="JVM69"/>
  <c r="JVL69"/>
  <c r="JVK69"/>
  <c r="JVJ69"/>
  <c r="JVI69"/>
  <c r="JVH69"/>
  <c r="JVG69"/>
  <c r="JVF69"/>
  <c r="JVE69"/>
  <c r="JVD69"/>
  <c r="JVC69"/>
  <c r="JVB69"/>
  <c r="JVA69"/>
  <c r="JUZ69"/>
  <c r="JUY69"/>
  <c r="JUX69"/>
  <c r="JUW69"/>
  <c r="JUV69"/>
  <c r="JUU69"/>
  <c r="JUT69"/>
  <c r="JUS69"/>
  <c r="JUR69"/>
  <c r="JUQ69"/>
  <c r="JUP69"/>
  <c r="JUO69"/>
  <c r="JUN69"/>
  <c r="JUM69"/>
  <c r="JUL69"/>
  <c r="JUK69"/>
  <c r="JUJ69"/>
  <c r="JUI69"/>
  <c r="JUH69"/>
  <c r="JUG69"/>
  <c r="JUF69"/>
  <c r="JUE69"/>
  <c r="JUD69"/>
  <c r="JUC69"/>
  <c r="JUB69"/>
  <c r="JUA69"/>
  <c r="JTZ69"/>
  <c r="JTY69"/>
  <c r="JTX69"/>
  <c r="JTW69"/>
  <c r="JTV69"/>
  <c r="JTU69"/>
  <c r="JTT69"/>
  <c r="JTS69"/>
  <c r="JTR69"/>
  <c r="JTQ69"/>
  <c r="JTP69"/>
  <c r="JTO69"/>
  <c r="JTN69"/>
  <c r="JTM69"/>
  <c r="JTL69"/>
  <c r="JTK69"/>
  <c r="JTJ69"/>
  <c r="JTI69"/>
  <c r="JTH69"/>
  <c r="JTG69"/>
  <c r="JTF69"/>
  <c r="JTE69"/>
  <c r="JTD69"/>
  <c r="JTC69"/>
  <c r="JTB69"/>
  <c r="JTA69"/>
  <c r="JSZ69"/>
  <c r="JSY69"/>
  <c r="JSX69"/>
  <c r="JSW69"/>
  <c r="JSV69"/>
  <c r="JSU69"/>
  <c r="JST69"/>
  <c r="JSS69"/>
  <c r="JSR69"/>
  <c r="JSQ69"/>
  <c r="JSP69"/>
  <c r="JSO69"/>
  <c r="JSN69"/>
  <c r="JSM69"/>
  <c r="JSL69"/>
  <c r="JSK69"/>
  <c r="JSJ69"/>
  <c r="JSI69"/>
  <c r="JSH69"/>
  <c r="JSG69"/>
  <c r="JSF69"/>
  <c r="JSE69"/>
  <c r="JSD69"/>
  <c r="JSC69"/>
  <c r="JSB69"/>
  <c r="JSA69"/>
  <c r="JRZ69"/>
  <c r="JRY69"/>
  <c r="JRX69"/>
  <c r="JRW69"/>
  <c r="JRV69"/>
  <c r="JRU69"/>
  <c r="JRT69"/>
  <c r="JRS69"/>
  <c r="JRR69"/>
  <c r="JRQ69"/>
  <c r="JRP69"/>
  <c r="JRO69"/>
  <c r="JRN69"/>
  <c r="JRM69"/>
  <c r="JRL69"/>
  <c r="JRK69"/>
  <c r="JRJ69"/>
  <c r="JRI69"/>
  <c r="JRH69"/>
  <c r="JRG69"/>
  <c r="JRF69"/>
  <c r="JRE69"/>
  <c r="JRD69"/>
  <c r="JRC69"/>
  <c r="JRB69"/>
  <c r="JRA69"/>
  <c r="JQZ69"/>
  <c r="JQY69"/>
  <c r="JQX69"/>
  <c r="JQW69"/>
  <c r="JQV69"/>
  <c r="JQU69"/>
  <c r="JQT69"/>
  <c r="JQS69"/>
  <c r="JQR69"/>
  <c r="JQQ69"/>
  <c r="JQP69"/>
  <c r="JQO69"/>
  <c r="JQN69"/>
  <c r="JQM69"/>
  <c r="JQL69"/>
  <c r="JQK69"/>
  <c r="JQJ69"/>
  <c r="JQI69"/>
  <c r="JQH69"/>
  <c r="JQG69"/>
  <c r="JQF69"/>
  <c r="JQE69"/>
  <c r="JQD69"/>
  <c r="JQC69"/>
  <c r="JQB69"/>
  <c r="JQA69"/>
  <c r="JPZ69"/>
  <c r="JPY69"/>
  <c r="JPX69"/>
  <c r="JPW69"/>
  <c r="JPV69"/>
  <c r="JPU69"/>
  <c r="JPT69"/>
  <c r="JPS69"/>
  <c r="JPR69"/>
  <c r="JPQ69"/>
  <c r="JPP69"/>
  <c r="JPO69"/>
  <c r="JPN69"/>
  <c r="JPM69"/>
  <c r="JPL69"/>
  <c r="JPK69"/>
  <c r="JPJ69"/>
  <c r="JPI69"/>
  <c r="JPH69"/>
  <c r="JPG69"/>
  <c r="JPF69"/>
  <c r="JPE69"/>
  <c r="JPD69"/>
  <c r="JPC69"/>
  <c r="JPB69"/>
  <c r="JPA69"/>
  <c r="JOZ69"/>
  <c r="JOY69"/>
  <c r="JOX69"/>
  <c r="JOW69"/>
  <c r="JOV69"/>
  <c r="JOU69"/>
  <c r="JOT69"/>
  <c r="JOS69"/>
  <c r="JOR69"/>
  <c r="JOQ69"/>
  <c r="JOP69"/>
  <c r="JOO69"/>
  <c r="JON69"/>
  <c r="JOM69"/>
  <c r="JOL69"/>
  <c r="JOK69"/>
  <c r="JOJ69"/>
  <c r="JOI69"/>
  <c r="JOH69"/>
  <c r="JOG69"/>
  <c r="JOF69"/>
  <c r="JOE69"/>
  <c r="JOD69"/>
  <c r="JOC69"/>
  <c r="JOB69"/>
  <c r="JOA69"/>
  <c r="JNZ69"/>
  <c r="JNY69"/>
  <c r="JNX69"/>
  <c r="JNW69"/>
  <c r="JNV69"/>
  <c r="JNU69"/>
  <c r="JNT69"/>
  <c r="JNS69"/>
  <c r="JNR69"/>
  <c r="JNQ69"/>
  <c r="JNP69"/>
  <c r="JNO69"/>
  <c r="JNN69"/>
  <c r="JNM69"/>
  <c r="JNL69"/>
  <c r="JNK69"/>
  <c r="JNJ69"/>
  <c r="JNI69"/>
  <c r="JNH69"/>
  <c r="JNG69"/>
  <c r="JNF69"/>
  <c r="JNE69"/>
  <c r="JND69"/>
  <c r="JNC69"/>
  <c r="JNB69"/>
  <c r="JNA69"/>
  <c r="JMZ69"/>
  <c r="JMY69"/>
  <c r="JMX69"/>
  <c r="JMW69"/>
  <c r="JMV69"/>
  <c r="JMU69"/>
  <c r="JMT69"/>
  <c r="JMS69"/>
  <c r="JMR69"/>
  <c r="JMQ69"/>
  <c r="JMP69"/>
  <c r="JMO69"/>
  <c r="JMN69"/>
  <c r="JMM69"/>
  <c r="JML69"/>
  <c r="JMK69"/>
  <c r="JMJ69"/>
  <c r="JMI69"/>
  <c r="JMH69"/>
  <c r="JMG69"/>
  <c r="JMF69"/>
  <c r="JME69"/>
  <c r="JMD69"/>
  <c r="JMC69"/>
  <c r="JMB69"/>
  <c r="JMA69"/>
  <c r="JLZ69"/>
  <c r="JLY69"/>
  <c r="JLX69"/>
  <c r="JLW69"/>
  <c r="JLV69"/>
  <c r="JLU69"/>
  <c r="JLT69"/>
  <c r="JLS69"/>
  <c r="JLR69"/>
  <c r="JLQ69"/>
  <c r="JLP69"/>
  <c r="JLO69"/>
  <c r="JLN69"/>
  <c r="JLM69"/>
  <c r="JLL69"/>
  <c r="JLK69"/>
  <c r="JLJ69"/>
  <c r="JLI69"/>
  <c r="JLH69"/>
  <c r="JLG69"/>
  <c r="JLF69"/>
  <c r="JLE69"/>
  <c r="JLD69"/>
  <c r="JLC69"/>
  <c r="JLB69"/>
  <c r="JLA69"/>
  <c r="JKZ69"/>
  <c r="JKY69"/>
  <c r="JKX69"/>
  <c r="JKW69"/>
  <c r="JKV69"/>
  <c r="JKU69"/>
  <c r="JKT69"/>
  <c r="JKS69"/>
  <c r="JKR69"/>
  <c r="JKQ69"/>
  <c r="JKP69"/>
  <c r="JKO69"/>
  <c r="JKN69"/>
  <c r="JKM69"/>
  <c r="JKL69"/>
  <c r="JKK69"/>
  <c r="JKJ69"/>
  <c r="JKI69"/>
  <c r="JKH69"/>
  <c r="JKG69"/>
  <c r="JKF69"/>
  <c r="JKE69"/>
  <c r="JKD69"/>
  <c r="JKC69"/>
  <c r="JKB69"/>
  <c r="JKA69"/>
  <c r="JJZ69"/>
  <c r="JJY69"/>
  <c r="JJX69"/>
  <c r="JJW69"/>
  <c r="JJV69"/>
  <c r="JJU69"/>
  <c r="JJT69"/>
  <c r="JJS69"/>
  <c r="JJR69"/>
  <c r="JJQ69"/>
  <c r="JJP69"/>
  <c r="JJO69"/>
  <c r="JJN69"/>
  <c r="JJM69"/>
  <c r="JJL69"/>
  <c r="JJK69"/>
  <c r="JJJ69"/>
  <c r="JJI69"/>
  <c r="JJH69"/>
  <c r="JJG69"/>
  <c r="JJF69"/>
  <c r="JJE69"/>
  <c r="JJD69"/>
  <c r="JJC69"/>
  <c r="JJB69"/>
  <c r="JJA69"/>
  <c r="JIZ69"/>
  <c r="JIY69"/>
  <c r="JIX69"/>
  <c r="JIW69"/>
  <c r="JIV69"/>
  <c r="JIU69"/>
  <c r="JIT69"/>
  <c r="JIS69"/>
  <c r="JIR69"/>
  <c r="JIQ69"/>
  <c r="JIP69"/>
  <c r="JIO69"/>
  <c r="JIN69"/>
  <c r="JIM69"/>
  <c r="JIL69"/>
  <c r="JIK69"/>
  <c r="JIJ69"/>
  <c r="JII69"/>
  <c r="JIH69"/>
  <c r="JIG69"/>
  <c r="JIF69"/>
  <c r="JIE69"/>
  <c r="JID69"/>
  <c r="JIC69"/>
  <c r="JIB69"/>
  <c r="JIA69"/>
  <c r="JHZ69"/>
  <c r="JHY69"/>
  <c r="JHX69"/>
  <c r="JHW69"/>
  <c r="JHV69"/>
  <c r="JHU69"/>
  <c r="JHT69"/>
  <c r="JHS69"/>
  <c r="JHR69"/>
  <c r="JHQ69"/>
  <c r="JHP69"/>
  <c r="JHO69"/>
  <c r="JHN69"/>
  <c r="JHM69"/>
  <c r="JHL69"/>
  <c r="JHK69"/>
  <c r="JHJ69"/>
  <c r="JHI69"/>
  <c r="JHH69"/>
  <c r="JHG69"/>
  <c r="JHF69"/>
  <c r="JHE69"/>
  <c r="JHD69"/>
  <c r="JHC69"/>
  <c r="JHB69"/>
  <c r="JHA69"/>
  <c r="JGZ69"/>
  <c r="JGY69"/>
  <c r="JGX69"/>
  <c r="JGW69"/>
  <c r="JGV69"/>
  <c r="JGU69"/>
  <c r="JGT69"/>
  <c r="JGS69"/>
  <c r="JGR69"/>
  <c r="JGQ69"/>
  <c r="JGP69"/>
  <c r="JGO69"/>
  <c r="JGN69"/>
  <c r="JGM69"/>
  <c r="JGL69"/>
  <c r="JGK69"/>
  <c r="JGJ69"/>
  <c r="JGI69"/>
  <c r="JGH69"/>
  <c r="JGG69"/>
  <c r="JGF69"/>
  <c r="JGE69"/>
  <c r="JGD69"/>
  <c r="JGC69"/>
  <c r="JGB69"/>
  <c r="JGA69"/>
  <c r="JFZ69"/>
  <c r="JFY69"/>
  <c r="JFX69"/>
  <c r="JFW69"/>
  <c r="JFV69"/>
  <c r="JFU69"/>
  <c r="JFT69"/>
  <c r="JFS69"/>
  <c r="JFR69"/>
  <c r="JFQ69"/>
  <c r="JFP69"/>
  <c r="JFO69"/>
  <c r="JFN69"/>
  <c r="JFM69"/>
  <c r="JFL69"/>
  <c r="JFK69"/>
  <c r="JFJ69"/>
  <c r="JFI69"/>
  <c r="JFH69"/>
  <c r="JFG69"/>
  <c r="JFF69"/>
  <c r="JFE69"/>
  <c r="JFD69"/>
  <c r="JFC69"/>
  <c r="JFB69"/>
  <c r="JFA69"/>
  <c r="JEZ69"/>
  <c r="JEY69"/>
  <c r="JEX69"/>
  <c r="JEW69"/>
  <c r="JEV69"/>
  <c r="JEU69"/>
  <c r="JET69"/>
  <c r="JES69"/>
  <c r="JER69"/>
  <c r="JEQ69"/>
  <c r="JEP69"/>
  <c r="JEO69"/>
  <c r="JEN69"/>
  <c r="JEM69"/>
  <c r="JEL69"/>
  <c r="JEK69"/>
  <c r="JEJ69"/>
  <c r="JEI69"/>
  <c r="JEH69"/>
  <c r="JEG69"/>
  <c r="JEF69"/>
  <c r="JEE69"/>
  <c r="JED69"/>
  <c r="JEC69"/>
  <c r="JEB69"/>
  <c r="JEA69"/>
  <c r="JDZ69"/>
  <c r="JDY69"/>
  <c r="JDX69"/>
  <c r="JDW69"/>
  <c r="JDV69"/>
  <c r="JDU69"/>
  <c r="JDT69"/>
  <c r="JDS69"/>
  <c r="JDR69"/>
  <c r="JDQ69"/>
  <c r="JDP69"/>
  <c r="JDO69"/>
  <c r="JDN69"/>
  <c r="JDM69"/>
  <c r="JDL69"/>
  <c r="JDK69"/>
  <c r="JDJ69"/>
  <c r="JDI69"/>
  <c r="JDH69"/>
  <c r="JDG69"/>
  <c r="JDF69"/>
  <c r="JDE69"/>
  <c r="JDD69"/>
  <c r="JDC69"/>
  <c r="JDB69"/>
  <c r="JDA69"/>
  <c r="JCZ69"/>
  <c r="JCY69"/>
  <c r="JCX69"/>
  <c r="JCW69"/>
  <c r="JCV69"/>
  <c r="JCU69"/>
  <c r="JCT69"/>
  <c r="JCS69"/>
  <c r="JCR69"/>
  <c r="JCQ69"/>
  <c r="JCP69"/>
  <c r="JCO69"/>
  <c r="JCN69"/>
  <c r="JCM69"/>
  <c r="JCL69"/>
  <c r="JCK69"/>
  <c r="JCJ69"/>
  <c r="JCI69"/>
  <c r="JCH69"/>
  <c r="JCG69"/>
  <c r="JCF69"/>
  <c r="JCE69"/>
  <c r="JCD69"/>
  <c r="JCC69"/>
  <c r="JCB69"/>
  <c r="JCA69"/>
  <c r="JBZ69"/>
  <c r="JBY69"/>
  <c r="JBX69"/>
  <c r="JBW69"/>
  <c r="JBV69"/>
  <c r="JBU69"/>
  <c r="JBT69"/>
  <c r="JBS69"/>
  <c r="JBR69"/>
  <c r="JBQ69"/>
  <c r="JBP69"/>
  <c r="JBO69"/>
  <c r="JBN69"/>
  <c r="JBM69"/>
  <c r="JBL69"/>
  <c r="JBK69"/>
  <c r="JBJ69"/>
  <c r="JBI69"/>
  <c r="JBH69"/>
  <c r="JBG69"/>
  <c r="JBF69"/>
  <c r="JBE69"/>
  <c r="JBD69"/>
  <c r="JBC69"/>
  <c r="JBB69"/>
  <c r="JBA69"/>
  <c r="JAZ69"/>
  <c r="JAY69"/>
  <c r="JAX69"/>
  <c r="JAW69"/>
  <c r="JAV69"/>
  <c r="JAU69"/>
  <c r="JAT69"/>
  <c r="JAS69"/>
  <c r="JAR69"/>
  <c r="JAQ69"/>
  <c r="JAP69"/>
  <c r="JAO69"/>
  <c r="JAN69"/>
  <c r="JAM69"/>
  <c r="JAL69"/>
  <c r="JAK69"/>
  <c r="JAJ69"/>
  <c r="JAI69"/>
  <c r="JAH69"/>
  <c r="JAG69"/>
  <c r="JAF69"/>
  <c r="JAE69"/>
  <c r="JAD69"/>
  <c r="JAC69"/>
  <c r="JAB69"/>
  <c r="JAA69"/>
  <c r="IZZ69"/>
  <c r="IZY69"/>
  <c r="IZX69"/>
  <c r="IZW69"/>
  <c r="IZV69"/>
  <c r="IZU69"/>
  <c r="IZT69"/>
  <c r="IZS69"/>
  <c r="IZR69"/>
  <c r="IZQ69"/>
  <c r="IZP69"/>
  <c r="IZO69"/>
  <c r="IZN69"/>
  <c r="IZM69"/>
  <c r="IZL69"/>
  <c r="IZK69"/>
  <c r="IZJ69"/>
  <c r="IZI69"/>
  <c r="IZH69"/>
  <c r="IZG69"/>
  <c r="IZF69"/>
  <c r="IZE69"/>
  <c r="IZD69"/>
  <c r="IZC69"/>
  <c r="IZB69"/>
  <c r="IZA69"/>
  <c r="IYZ69"/>
  <c r="IYY69"/>
  <c r="IYX69"/>
  <c r="IYW69"/>
  <c r="IYV69"/>
  <c r="IYU69"/>
  <c r="IYT69"/>
  <c r="IYS69"/>
  <c r="IYR69"/>
  <c r="IYQ69"/>
  <c r="IYP69"/>
  <c r="IYO69"/>
  <c r="IYN69"/>
  <c r="IYM69"/>
  <c r="IYL69"/>
  <c r="IYK69"/>
  <c r="IYJ69"/>
  <c r="IYI69"/>
  <c r="IYH69"/>
  <c r="IYG69"/>
  <c r="IYF69"/>
  <c r="IYE69"/>
  <c r="IYD69"/>
  <c r="IYC69"/>
  <c r="IYB69"/>
  <c r="IYA69"/>
  <c r="IXZ69"/>
  <c r="IXY69"/>
  <c r="IXX69"/>
  <c r="IXW69"/>
  <c r="IXV69"/>
  <c r="IXU69"/>
  <c r="IXT69"/>
  <c r="IXS69"/>
  <c r="IXR69"/>
  <c r="IXQ69"/>
  <c r="IXP69"/>
  <c r="IXO69"/>
  <c r="IXN69"/>
  <c r="IXM69"/>
  <c r="IXL69"/>
  <c r="IXK69"/>
  <c r="IXJ69"/>
  <c r="IXI69"/>
  <c r="IXH69"/>
  <c r="IXG69"/>
  <c r="IXF69"/>
  <c r="IXE69"/>
  <c r="IXD69"/>
  <c r="IXC69"/>
  <c r="IXB69"/>
  <c r="IXA69"/>
  <c r="IWZ69"/>
  <c r="IWY69"/>
  <c r="IWX69"/>
  <c r="IWW69"/>
  <c r="IWV69"/>
  <c r="IWU69"/>
  <c r="IWT69"/>
  <c r="IWS69"/>
  <c r="IWR69"/>
  <c r="IWQ69"/>
  <c r="IWP69"/>
  <c r="IWO69"/>
  <c r="IWN69"/>
  <c r="IWM69"/>
  <c r="IWL69"/>
  <c r="IWK69"/>
  <c r="IWJ69"/>
  <c r="IWI69"/>
  <c r="IWH69"/>
  <c r="IWG69"/>
  <c r="IWF69"/>
  <c r="IWE69"/>
  <c r="IWD69"/>
  <c r="IWC69"/>
  <c r="IWB69"/>
  <c r="IWA69"/>
  <c r="IVZ69"/>
  <c r="IVY69"/>
  <c r="IVX69"/>
  <c r="IVW69"/>
  <c r="IVV69"/>
  <c r="IVU69"/>
  <c r="IVT69"/>
  <c r="IVS69"/>
  <c r="IVR69"/>
  <c r="IVQ69"/>
  <c r="IVP69"/>
  <c r="IVO69"/>
  <c r="IVN69"/>
  <c r="IVM69"/>
  <c r="IVL69"/>
  <c r="IVK69"/>
  <c r="IVJ69"/>
  <c r="IVI69"/>
  <c r="IVH69"/>
  <c r="IVG69"/>
  <c r="IVF69"/>
  <c r="IVE69"/>
  <c r="IVD69"/>
  <c r="IVC69"/>
  <c r="IVB69"/>
  <c r="IVA69"/>
  <c r="IUZ69"/>
  <c r="IUY69"/>
  <c r="IUX69"/>
  <c r="IUW69"/>
  <c r="IUV69"/>
  <c r="IUU69"/>
  <c r="IUT69"/>
  <c r="IUS69"/>
  <c r="IUR69"/>
  <c r="IUQ69"/>
  <c r="IUP69"/>
  <c r="IUO69"/>
  <c r="IUN69"/>
  <c r="IUM69"/>
  <c r="IUL69"/>
  <c r="IUK69"/>
  <c r="IUJ69"/>
  <c r="IUI69"/>
  <c r="IUH69"/>
  <c r="IUG69"/>
  <c r="IUF69"/>
  <c r="IUE69"/>
  <c r="IUD69"/>
  <c r="IUC69"/>
  <c r="IUB69"/>
  <c r="IUA69"/>
  <c r="ITZ69"/>
  <c r="ITY69"/>
  <c r="ITX69"/>
  <c r="ITW69"/>
  <c r="ITV69"/>
  <c r="ITU69"/>
  <c r="ITT69"/>
  <c r="ITS69"/>
  <c r="ITR69"/>
  <c r="ITQ69"/>
  <c r="ITP69"/>
  <c r="ITO69"/>
  <c r="ITN69"/>
  <c r="ITM69"/>
  <c r="ITL69"/>
  <c r="ITK69"/>
  <c r="ITJ69"/>
  <c r="ITI69"/>
  <c r="ITH69"/>
  <c r="ITG69"/>
  <c r="ITF69"/>
  <c r="ITE69"/>
  <c r="ITD69"/>
  <c r="ITC69"/>
  <c r="ITB69"/>
  <c r="ITA69"/>
  <c r="ISZ69"/>
  <c r="ISY69"/>
  <c r="ISX69"/>
  <c r="ISW69"/>
  <c r="ISV69"/>
  <c r="ISU69"/>
  <c r="IST69"/>
  <c r="ISS69"/>
  <c r="ISR69"/>
  <c r="ISQ69"/>
  <c r="ISP69"/>
  <c r="ISO69"/>
  <c r="ISN69"/>
  <c r="ISM69"/>
  <c r="ISL69"/>
  <c r="ISK69"/>
  <c r="ISJ69"/>
  <c r="ISI69"/>
  <c r="ISH69"/>
  <c r="ISG69"/>
  <c r="ISF69"/>
  <c r="ISE69"/>
  <c r="ISD69"/>
  <c r="ISC69"/>
  <c r="ISB69"/>
  <c r="ISA69"/>
  <c r="IRZ69"/>
  <c r="IRY69"/>
  <c r="IRX69"/>
  <c r="IRW69"/>
  <c r="IRV69"/>
  <c r="IRU69"/>
  <c r="IRT69"/>
  <c r="IRS69"/>
  <c r="IRR69"/>
  <c r="IRQ69"/>
  <c r="IRP69"/>
  <c r="IRO69"/>
  <c r="IRN69"/>
  <c r="IRM69"/>
  <c r="IRL69"/>
  <c r="IRK69"/>
  <c r="IRJ69"/>
  <c r="IRI69"/>
  <c r="IRH69"/>
  <c r="IRG69"/>
  <c r="IRF69"/>
  <c r="IRE69"/>
  <c r="IRD69"/>
  <c r="IRC69"/>
  <c r="IRB69"/>
  <c r="IRA69"/>
  <c r="IQZ69"/>
  <c r="IQY69"/>
  <c r="IQX69"/>
  <c r="IQW69"/>
  <c r="IQV69"/>
  <c r="IQU69"/>
  <c r="IQT69"/>
  <c r="IQS69"/>
  <c r="IQR69"/>
  <c r="IQQ69"/>
  <c r="IQP69"/>
  <c r="IQO69"/>
  <c r="IQN69"/>
  <c r="IQM69"/>
  <c r="IQL69"/>
  <c r="IQK69"/>
  <c r="IQJ69"/>
  <c r="IQI69"/>
  <c r="IQH69"/>
  <c r="IQG69"/>
  <c r="IQF69"/>
  <c r="IQE69"/>
  <c r="IQD69"/>
  <c r="IQC69"/>
  <c r="IQB69"/>
  <c r="IQA69"/>
  <c r="IPZ69"/>
  <c r="IPY69"/>
  <c r="IPX69"/>
  <c r="IPW69"/>
  <c r="IPV69"/>
  <c r="IPU69"/>
  <c r="IPT69"/>
  <c r="IPS69"/>
  <c r="IPR69"/>
  <c r="IPQ69"/>
  <c r="IPP69"/>
  <c r="IPO69"/>
  <c r="IPN69"/>
  <c r="IPM69"/>
  <c r="IPL69"/>
  <c r="IPK69"/>
  <c r="IPJ69"/>
  <c r="IPI69"/>
  <c r="IPH69"/>
  <c r="IPG69"/>
  <c r="IPF69"/>
  <c r="IPE69"/>
  <c r="IPD69"/>
  <c r="IPC69"/>
  <c r="IPB69"/>
  <c r="IPA69"/>
  <c r="IOZ69"/>
  <c r="IOY69"/>
  <c r="IOX69"/>
  <c r="IOW69"/>
  <c r="IOV69"/>
  <c r="IOU69"/>
  <c r="IOT69"/>
  <c r="IOS69"/>
  <c r="IOR69"/>
  <c r="IOQ69"/>
  <c r="IOP69"/>
  <c r="IOO69"/>
  <c r="ION69"/>
  <c r="IOM69"/>
  <c r="IOL69"/>
  <c r="IOK69"/>
  <c r="IOJ69"/>
  <c r="IOI69"/>
  <c r="IOH69"/>
  <c r="IOG69"/>
  <c r="IOF69"/>
  <c r="IOE69"/>
  <c r="IOD69"/>
  <c r="IOC69"/>
  <c r="IOB69"/>
  <c r="IOA69"/>
  <c r="INZ69"/>
  <c r="INY69"/>
  <c r="INX69"/>
  <c r="INW69"/>
  <c r="INV69"/>
  <c r="INU69"/>
  <c r="INT69"/>
  <c r="INS69"/>
  <c r="INR69"/>
  <c r="INQ69"/>
  <c r="INP69"/>
  <c r="INO69"/>
  <c r="INN69"/>
  <c r="INM69"/>
  <c r="INL69"/>
  <c r="INK69"/>
  <c r="INJ69"/>
  <c r="INI69"/>
  <c r="INH69"/>
  <c r="ING69"/>
  <c r="INF69"/>
  <c r="INE69"/>
  <c r="IND69"/>
  <c r="INC69"/>
  <c r="INB69"/>
  <c r="INA69"/>
  <c r="IMZ69"/>
  <c r="IMY69"/>
  <c r="IMX69"/>
  <c r="IMW69"/>
  <c r="IMV69"/>
  <c r="IMU69"/>
  <c r="IMT69"/>
  <c r="IMS69"/>
  <c r="IMR69"/>
  <c r="IMQ69"/>
  <c r="IMP69"/>
  <c r="IMO69"/>
  <c r="IMN69"/>
  <c r="IMM69"/>
  <c r="IML69"/>
  <c r="IMK69"/>
  <c r="IMJ69"/>
  <c r="IMI69"/>
  <c r="IMH69"/>
  <c r="IMG69"/>
  <c r="IMF69"/>
  <c r="IME69"/>
  <c r="IMD69"/>
  <c r="IMC69"/>
  <c r="IMB69"/>
  <c r="IMA69"/>
  <c r="ILZ69"/>
  <c r="ILY69"/>
  <c r="ILX69"/>
  <c r="ILW69"/>
  <c r="ILV69"/>
  <c r="ILU69"/>
  <c r="ILT69"/>
  <c r="ILS69"/>
  <c r="ILR69"/>
  <c r="ILQ69"/>
  <c r="ILP69"/>
  <c r="ILO69"/>
  <c r="ILN69"/>
  <c r="ILM69"/>
  <c r="ILL69"/>
  <c r="ILK69"/>
  <c r="ILJ69"/>
  <c r="ILI69"/>
  <c r="ILH69"/>
  <c r="ILG69"/>
  <c r="ILF69"/>
  <c r="ILE69"/>
  <c r="ILD69"/>
  <c r="ILC69"/>
  <c r="ILB69"/>
  <c r="ILA69"/>
  <c r="IKZ69"/>
  <c r="IKY69"/>
  <c r="IKX69"/>
  <c r="IKW69"/>
  <c r="IKV69"/>
  <c r="IKU69"/>
  <c r="IKT69"/>
  <c r="IKS69"/>
  <c r="IKR69"/>
  <c r="IKQ69"/>
  <c r="IKP69"/>
  <c r="IKO69"/>
  <c r="IKN69"/>
  <c r="IKM69"/>
  <c r="IKL69"/>
  <c r="IKK69"/>
  <c r="IKJ69"/>
  <c r="IKI69"/>
  <c r="IKH69"/>
  <c r="IKG69"/>
  <c r="IKF69"/>
  <c r="IKE69"/>
  <c r="IKD69"/>
  <c r="IKC69"/>
  <c r="IKB69"/>
  <c r="IKA69"/>
  <c r="IJZ69"/>
  <c r="IJY69"/>
  <c r="IJX69"/>
  <c r="IJW69"/>
  <c r="IJV69"/>
  <c r="IJU69"/>
  <c r="IJT69"/>
  <c r="IJS69"/>
  <c r="IJR69"/>
  <c r="IJQ69"/>
  <c r="IJP69"/>
  <c r="IJO69"/>
  <c r="IJN69"/>
  <c r="IJM69"/>
  <c r="IJL69"/>
  <c r="IJK69"/>
  <c r="IJJ69"/>
  <c r="IJI69"/>
  <c r="IJH69"/>
  <c r="IJG69"/>
  <c r="IJF69"/>
  <c r="IJE69"/>
  <c r="IJD69"/>
  <c r="IJC69"/>
  <c r="IJB69"/>
  <c r="IJA69"/>
  <c r="IIZ69"/>
  <c r="IIY69"/>
  <c r="IIX69"/>
  <c r="IIW69"/>
  <c r="IIV69"/>
  <c r="IIU69"/>
  <c r="IIT69"/>
  <c r="IIS69"/>
  <c r="IIR69"/>
  <c r="IIQ69"/>
  <c r="IIP69"/>
  <c r="IIO69"/>
  <c r="IIN69"/>
  <c r="IIM69"/>
  <c r="IIL69"/>
  <c r="IIK69"/>
  <c r="IIJ69"/>
  <c r="III69"/>
  <c r="IIH69"/>
  <c r="IIG69"/>
  <c r="IIF69"/>
  <c r="IIE69"/>
  <c r="IID69"/>
  <c r="IIC69"/>
  <c r="IIB69"/>
  <c r="IIA69"/>
  <c r="IHZ69"/>
  <c r="IHY69"/>
  <c r="IHX69"/>
  <c r="IHW69"/>
  <c r="IHV69"/>
  <c r="IHU69"/>
  <c r="IHT69"/>
  <c r="IHS69"/>
  <c r="IHR69"/>
  <c r="IHQ69"/>
  <c r="IHP69"/>
  <c r="IHO69"/>
  <c r="IHN69"/>
  <c r="IHM69"/>
  <c r="IHL69"/>
  <c r="IHK69"/>
  <c r="IHJ69"/>
  <c r="IHI69"/>
  <c r="IHH69"/>
  <c r="IHG69"/>
  <c r="IHF69"/>
  <c r="IHE69"/>
  <c r="IHD69"/>
  <c r="IHC69"/>
  <c r="IHB69"/>
  <c r="IHA69"/>
  <c r="IGZ69"/>
  <c r="IGY69"/>
  <c r="IGX69"/>
  <c r="IGW69"/>
  <c r="IGV69"/>
  <c r="IGU69"/>
  <c r="IGT69"/>
  <c r="IGS69"/>
  <c r="IGR69"/>
  <c r="IGQ69"/>
  <c r="IGP69"/>
  <c r="IGO69"/>
  <c r="IGN69"/>
  <c r="IGM69"/>
  <c r="IGL69"/>
  <c r="IGK69"/>
  <c r="IGJ69"/>
  <c r="IGI69"/>
  <c r="IGH69"/>
  <c r="IGG69"/>
  <c r="IGF69"/>
  <c r="IGE69"/>
  <c r="IGD69"/>
  <c r="IGC69"/>
  <c r="IGB69"/>
  <c r="IGA69"/>
  <c r="IFZ69"/>
  <c r="IFY69"/>
  <c r="IFX69"/>
  <c r="IFW69"/>
  <c r="IFV69"/>
  <c r="IFU69"/>
  <c r="IFT69"/>
  <c r="IFS69"/>
  <c r="IFR69"/>
  <c r="IFQ69"/>
  <c r="IFP69"/>
  <c r="IFO69"/>
  <c r="IFN69"/>
  <c r="IFM69"/>
  <c r="IFL69"/>
  <c r="IFK69"/>
  <c r="IFJ69"/>
  <c r="IFI69"/>
  <c r="IFH69"/>
  <c r="IFG69"/>
  <c r="IFF69"/>
  <c r="IFE69"/>
  <c r="IFD69"/>
  <c r="IFC69"/>
  <c r="IFB69"/>
  <c r="IFA69"/>
  <c r="IEZ69"/>
  <c r="IEY69"/>
  <c r="IEX69"/>
  <c r="IEW69"/>
  <c r="IEV69"/>
  <c r="IEU69"/>
  <c r="IET69"/>
  <c r="IES69"/>
  <c r="IER69"/>
  <c r="IEQ69"/>
  <c r="IEP69"/>
  <c r="IEO69"/>
  <c r="IEN69"/>
  <c r="IEM69"/>
  <c r="IEL69"/>
  <c r="IEK69"/>
  <c r="IEJ69"/>
  <c r="IEI69"/>
  <c r="IEH69"/>
  <c r="IEG69"/>
  <c r="IEF69"/>
  <c r="IEE69"/>
  <c r="IED69"/>
  <c r="IEC69"/>
  <c r="IEB69"/>
  <c r="IEA69"/>
  <c r="IDZ69"/>
  <c r="IDY69"/>
  <c r="IDX69"/>
  <c r="IDW69"/>
  <c r="IDV69"/>
  <c r="IDU69"/>
  <c r="IDT69"/>
  <c r="IDS69"/>
  <c r="IDR69"/>
  <c r="IDQ69"/>
  <c r="IDP69"/>
  <c r="IDO69"/>
  <c r="IDN69"/>
  <c r="IDM69"/>
  <c r="IDL69"/>
  <c r="IDK69"/>
  <c r="IDJ69"/>
  <c r="IDI69"/>
  <c r="IDH69"/>
  <c r="IDG69"/>
  <c r="IDF69"/>
  <c r="IDE69"/>
  <c r="IDD69"/>
  <c r="IDC69"/>
  <c r="IDB69"/>
  <c r="IDA69"/>
  <c r="ICZ69"/>
  <c r="ICY69"/>
  <c r="ICX69"/>
  <c r="ICW69"/>
  <c r="ICV69"/>
  <c r="ICU69"/>
  <c r="ICT69"/>
  <c r="ICS69"/>
  <c r="ICR69"/>
  <c r="ICQ69"/>
  <c r="ICP69"/>
  <c r="ICO69"/>
  <c r="ICN69"/>
  <c r="ICM69"/>
  <c r="ICL69"/>
  <c r="ICK69"/>
  <c r="ICJ69"/>
  <c r="ICI69"/>
  <c r="ICH69"/>
  <c r="ICG69"/>
  <c r="ICF69"/>
  <c r="ICE69"/>
  <c r="ICD69"/>
  <c r="ICC69"/>
  <c r="ICB69"/>
  <c r="ICA69"/>
  <c r="IBZ69"/>
  <c r="IBY69"/>
  <c r="IBX69"/>
  <c r="IBW69"/>
  <c r="IBV69"/>
  <c r="IBU69"/>
  <c r="IBT69"/>
  <c r="IBS69"/>
  <c r="IBR69"/>
  <c r="IBQ69"/>
  <c r="IBP69"/>
  <c r="IBO69"/>
  <c r="IBN69"/>
  <c r="IBM69"/>
  <c r="IBL69"/>
  <c r="IBK69"/>
  <c r="IBJ69"/>
  <c r="IBI69"/>
  <c r="IBH69"/>
  <c r="IBG69"/>
  <c r="IBF69"/>
  <c r="IBE69"/>
  <c r="IBD69"/>
  <c r="IBC69"/>
  <c r="IBB69"/>
  <c r="IBA69"/>
  <c r="IAZ69"/>
  <c r="IAY69"/>
  <c r="IAX69"/>
  <c r="IAW69"/>
  <c r="IAV69"/>
  <c r="IAU69"/>
  <c r="IAT69"/>
  <c r="IAS69"/>
  <c r="IAR69"/>
  <c r="IAQ69"/>
  <c r="IAP69"/>
  <c r="IAO69"/>
  <c r="IAN69"/>
  <c r="IAM69"/>
  <c r="IAL69"/>
  <c r="IAK69"/>
  <c r="IAJ69"/>
  <c r="IAI69"/>
  <c r="IAH69"/>
  <c r="IAG69"/>
  <c r="IAF69"/>
  <c r="IAE69"/>
  <c r="IAD69"/>
  <c r="IAC69"/>
  <c r="IAB69"/>
  <c r="IAA69"/>
  <c r="HZZ69"/>
  <c r="HZY69"/>
  <c r="HZX69"/>
  <c r="HZW69"/>
  <c r="HZV69"/>
  <c r="HZU69"/>
  <c r="HZT69"/>
  <c r="HZS69"/>
  <c r="HZR69"/>
  <c r="HZQ69"/>
  <c r="HZP69"/>
  <c r="HZO69"/>
  <c r="HZN69"/>
  <c r="HZM69"/>
  <c r="HZL69"/>
  <c r="HZK69"/>
  <c r="HZJ69"/>
  <c r="HZI69"/>
  <c r="HZH69"/>
  <c r="HZG69"/>
  <c r="HZF69"/>
  <c r="HZE69"/>
  <c r="HZD69"/>
  <c r="HZC69"/>
  <c r="HZB69"/>
  <c r="HZA69"/>
  <c r="HYZ69"/>
  <c r="HYY69"/>
  <c r="HYX69"/>
  <c r="HYW69"/>
  <c r="HYV69"/>
  <c r="HYU69"/>
  <c r="HYT69"/>
  <c r="HYS69"/>
  <c r="HYR69"/>
  <c r="HYQ69"/>
  <c r="HYP69"/>
  <c r="HYO69"/>
  <c r="HYN69"/>
  <c r="HYM69"/>
  <c r="HYL69"/>
  <c r="HYK69"/>
  <c r="HYJ69"/>
  <c r="HYI69"/>
  <c r="HYH69"/>
  <c r="HYG69"/>
  <c r="HYF69"/>
  <c r="HYE69"/>
  <c r="HYD69"/>
  <c r="HYC69"/>
  <c r="HYB69"/>
  <c r="HYA69"/>
  <c r="HXZ69"/>
  <c r="HXY69"/>
  <c r="HXX69"/>
  <c r="HXW69"/>
  <c r="HXV69"/>
  <c r="HXU69"/>
  <c r="HXT69"/>
  <c r="HXS69"/>
  <c r="HXR69"/>
  <c r="HXQ69"/>
  <c r="HXP69"/>
  <c r="HXO69"/>
  <c r="HXN69"/>
  <c r="HXM69"/>
  <c r="HXL69"/>
  <c r="HXK69"/>
  <c r="HXJ69"/>
  <c r="HXI69"/>
  <c r="HXH69"/>
  <c r="HXG69"/>
  <c r="HXF69"/>
  <c r="HXE69"/>
  <c r="HXD69"/>
  <c r="HXC69"/>
  <c r="HXB69"/>
  <c r="HXA69"/>
  <c r="HWZ69"/>
  <c r="HWY69"/>
  <c r="HWX69"/>
  <c r="HWW69"/>
  <c r="HWV69"/>
  <c r="HWU69"/>
  <c r="HWT69"/>
  <c r="HWS69"/>
  <c r="HWR69"/>
  <c r="HWQ69"/>
  <c r="HWP69"/>
  <c r="HWO69"/>
  <c r="HWN69"/>
  <c r="HWM69"/>
  <c r="HWL69"/>
  <c r="HWK69"/>
  <c r="HWJ69"/>
  <c r="HWI69"/>
  <c r="HWH69"/>
  <c r="HWG69"/>
  <c r="HWF69"/>
  <c r="HWE69"/>
  <c r="HWD69"/>
  <c r="HWC69"/>
  <c r="HWB69"/>
  <c r="HWA69"/>
  <c r="HVZ69"/>
  <c r="HVY69"/>
  <c r="HVX69"/>
  <c r="HVW69"/>
  <c r="HVV69"/>
  <c r="HVU69"/>
  <c r="HVT69"/>
  <c r="HVS69"/>
  <c r="HVR69"/>
  <c r="HVQ69"/>
  <c r="HVP69"/>
  <c r="HVO69"/>
  <c r="HVN69"/>
  <c r="HVM69"/>
  <c r="HVL69"/>
  <c r="HVK69"/>
  <c r="HVJ69"/>
  <c r="HVI69"/>
  <c r="HVH69"/>
  <c r="HVG69"/>
  <c r="HVF69"/>
  <c r="HVE69"/>
  <c r="HVD69"/>
  <c r="HVC69"/>
  <c r="HVB69"/>
  <c r="HVA69"/>
  <c r="HUZ69"/>
  <c r="HUY69"/>
  <c r="HUX69"/>
  <c r="HUW69"/>
  <c r="HUV69"/>
  <c r="HUU69"/>
  <c r="HUT69"/>
  <c r="HUS69"/>
  <c r="HUR69"/>
  <c r="HUQ69"/>
  <c r="HUP69"/>
  <c r="HUO69"/>
  <c r="HUN69"/>
  <c r="HUM69"/>
  <c r="HUL69"/>
  <c r="HUK69"/>
  <c r="HUJ69"/>
  <c r="HUI69"/>
  <c r="HUH69"/>
  <c r="HUG69"/>
  <c r="HUF69"/>
  <c r="HUE69"/>
  <c r="HUD69"/>
  <c r="HUC69"/>
  <c r="HUB69"/>
  <c r="HUA69"/>
  <c r="HTZ69"/>
  <c r="HTY69"/>
  <c r="HTX69"/>
  <c r="HTW69"/>
  <c r="HTV69"/>
  <c r="HTU69"/>
  <c r="HTT69"/>
  <c r="HTS69"/>
  <c r="HTR69"/>
  <c r="HTQ69"/>
  <c r="HTP69"/>
  <c r="HTO69"/>
  <c r="HTN69"/>
  <c r="HTM69"/>
  <c r="HTL69"/>
  <c r="HTK69"/>
  <c r="HTJ69"/>
  <c r="HTI69"/>
  <c r="HTH69"/>
  <c r="HTG69"/>
  <c r="HTF69"/>
  <c r="HTE69"/>
  <c r="HTD69"/>
  <c r="HTC69"/>
  <c r="HTB69"/>
  <c r="HTA69"/>
  <c r="HSZ69"/>
  <c r="HSY69"/>
  <c r="HSX69"/>
  <c r="HSW69"/>
  <c r="HSV69"/>
  <c r="HSU69"/>
  <c r="HST69"/>
  <c r="HSS69"/>
  <c r="HSR69"/>
  <c r="HSQ69"/>
  <c r="HSP69"/>
  <c r="HSO69"/>
  <c r="HSN69"/>
  <c r="HSM69"/>
  <c r="HSL69"/>
  <c r="HSK69"/>
  <c r="HSJ69"/>
  <c r="HSI69"/>
  <c r="HSH69"/>
  <c r="HSG69"/>
  <c r="HSF69"/>
  <c r="HSE69"/>
  <c r="HSD69"/>
  <c r="HSC69"/>
  <c r="HSB69"/>
  <c r="HSA69"/>
  <c r="HRZ69"/>
  <c r="HRY69"/>
  <c r="HRX69"/>
  <c r="HRW69"/>
  <c r="HRV69"/>
  <c r="HRU69"/>
  <c r="HRT69"/>
  <c r="HRS69"/>
  <c r="HRR69"/>
  <c r="HRQ69"/>
  <c r="HRP69"/>
  <c r="HRO69"/>
  <c r="HRN69"/>
  <c r="HRM69"/>
  <c r="HRL69"/>
  <c r="HRK69"/>
  <c r="HRJ69"/>
  <c r="HRI69"/>
  <c r="HRH69"/>
  <c r="HRG69"/>
  <c r="HRF69"/>
  <c r="HRE69"/>
  <c r="HRD69"/>
  <c r="HRC69"/>
  <c r="HRB69"/>
  <c r="HRA69"/>
  <c r="HQZ69"/>
  <c r="HQY69"/>
  <c r="HQX69"/>
  <c r="HQW69"/>
  <c r="HQV69"/>
  <c r="HQU69"/>
  <c r="HQT69"/>
  <c r="HQS69"/>
  <c r="HQR69"/>
  <c r="HQQ69"/>
  <c r="HQP69"/>
  <c r="HQO69"/>
  <c r="HQN69"/>
  <c r="HQM69"/>
  <c r="HQL69"/>
  <c r="HQK69"/>
  <c r="HQJ69"/>
  <c r="HQI69"/>
  <c r="HQH69"/>
  <c r="HQG69"/>
  <c r="HQF69"/>
  <c r="HQE69"/>
  <c r="HQD69"/>
  <c r="HQC69"/>
  <c r="HQB69"/>
  <c r="HQA69"/>
  <c r="HPZ69"/>
  <c r="HPY69"/>
  <c r="HPX69"/>
  <c r="HPW69"/>
  <c r="HPV69"/>
  <c r="HPU69"/>
  <c r="HPT69"/>
  <c r="HPS69"/>
  <c r="HPR69"/>
  <c r="HPQ69"/>
  <c r="HPP69"/>
  <c r="HPO69"/>
  <c r="HPN69"/>
  <c r="HPM69"/>
  <c r="HPL69"/>
  <c r="HPK69"/>
  <c r="HPJ69"/>
  <c r="HPI69"/>
  <c r="HPH69"/>
  <c r="HPG69"/>
  <c r="HPF69"/>
  <c r="HPE69"/>
  <c r="HPD69"/>
  <c r="HPC69"/>
  <c r="HPB69"/>
  <c r="HPA69"/>
  <c r="HOZ69"/>
  <c r="HOY69"/>
  <c r="HOX69"/>
  <c r="HOW69"/>
  <c r="HOV69"/>
  <c r="HOU69"/>
  <c r="HOT69"/>
  <c r="HOS69"/>
  <c r="HOR69"/>
  <c r="HOQ69"/>
  <c r="HOP69"/>
  <c r="HOO69"/>
  <c r="HON69"/>
  <c r="HOM69"/>
  <c r="HOL69"/>
  <c r="HOK69"/>
  <c r="HOJ69"/>
  <c r="HOI69"/>
  <c r="HOH69"/>
  <c r="HOG69"/>
  <c r="HOF69"/>
  <c r="HOE69"/>
  <c r="HOD69"/>
  <c r="HOC69"/>
  <c r="HOB69"/>
  <c r="HOA69"/>
  <c r="HNZ69"/>
  <c r="HNY69"/>
  <c r="HNX69"/>
  <c r="HNW69"/>
  <c r="HNV69"/>
  <c r="HNU69"/>
  <c r="HNT69"/>
  <c r="HNS69"/>
  <c r="HNR69"/>
  <c r="HNQ69"/>
  <c r="HNP69"/>
  <c r="HNO69"/>
  <c r="HNN69"/>
  <c r="HNM69"/>
  <c r="HNL69"/>
  <c r="HNK69"/>
  <c r="HNJ69"/>
  <c r="HNI69"/>
  <c r="HNH69"/>
  <c r="HNG69"/>
  <c r="HNF69"/>
  <c r="HNE69"/>
  <c r="HND69"/>
  <c r="HNC69"/>
  <c r="HNB69"/>
  <c r="HNA69"/>
  <c r="HMZ69"/>
  <c r="HMY69"/>
  <c r="HMX69"/>
  <c r="HMW69"/>
  <c r="HMV69"/>
  <c r="HMU69"/>
  <c r="HMT69"/>
  <c r="HMS69"/>
  <c r="HMR69"/>
  <c r="HMQ69"/>
  <c r="HMP69"/>
  <c r="HMO69"/>
  <c r="HMN69"/>
  <c r="HMM69"/>
  <c r="HML69"/>
  <c r="HMK69"/>
  <c r="HMJ69"/>
  <c r="HMI69"/>
  <c r="HMH69"/>
  <c r="HMG69"/>
  <c r="HMF69"/>
  <c r="HME69"/>
  <c r="HMD69"/>
  <c r="HMC69"/>
  <c r="HMB69"/>
  <c r="HMA69"/>
  <c r="HLZ69"/>
  <c r="HLY69"/>
  <c r="HLX69"/>
  <c r="HLW69"/>
  <c r="HLV69"/>
  <c r="HLU69"/>
  <c r="HLT69"/>
  <c r="HLS69"/>
  <c r="HLR69"/>
  <c r="HLQ69"/>
  <c r="HLP69"/>
  <c r="HLO69"/>
  <c r="HLN69"/>
  <c r="HLM69"/>
  <c r="HLL69"/>
  <c r="HLK69"/>
  <c r="HLJ69"/>
  <c r="HLI69"/>
  <c r="HLH69"/>
  <c r="HLG69"/>
  <c r="HLF69"/>
  <c r="HLE69"/>
  <c r="HLD69"/>
  <c r="HLC69"/>
  <c r="HLB69"/>
  <c r="HLA69"/>
  <c r="HKZ69"/>
  <c r="HKY69"/>
  <c r="HKX69"/>
  <c r="HKW69"/>
  <c r="HKV69"/>
  <c r="HKU69"/>
  <c r="HKT69"/>
  <c r="HKS69"/>
  <c r="HKR69"/>
  <c r="HKQ69"/>
  <c r="HKP69"/>
  <c r="HKO69"/>
  <c r="HKN69"/>
  <c r="HKM69"/>
  <c r="HKL69"/>
  <c r="HKK69"/>
  <c r="HKJ69"/>
  <c r="HKI69"/>
  <c r="HKH69"/>
  <c r="HKG69"/>
  <c r="HKF69"/>
  <c r="HKE69"/>
  <c r="HKD69"/>
  <c r="HKC69"/>
  <c r="HKB69"/>
  <c r="HKA69"/>
  <c r="HJZ69"/>
  <c r="HJY69"/>
  <c r="HJX69"/>
  <c r="HJW69"/>
  <c r="HJV69"/>
  <c r="HJU69"/>
  <c r="HJT69"/>
  <c r="HJS69"/>
  <c r="HJR69"/>
  <c r="HJQ69"/>
  <c r="HJP69"/>
  <c r="HJO69"/>
  <c r="HJN69"/>
  <c r="HJM69"/>
  <c r="HJL69"/>
  <c r="HJK69"/>
  <c r="HJJ69"/>
  <c r="HJI69"/>
  <c r="HJH69"/>
  <c r="HJG69"/>
  <c r="HJF69"/>
  <c r="HJE69"/>
  <c r="HJD69"/>
  <c r="HJC69"/>
  <c r="HJB69"/>
  <c r="HJA69"/>
  <c r="HIZ69"/>
  <c r="HIY69"/>
  <c r="HIX69"/>
  <c r="HIW69"/>
  <c r="HIV69"/>
  <c r="HIU69"/>
  <c r="HIT69"/>
  <c r="HIS69"/>
  <c r="HIR69"/>
  <c r="HIQ69"/>
  <c r="HIP69"/>
  <c r="HIO69"/>
  <c r="HIN69"/>
  <c r="HIM69"/>
  <c r="HIL69"/>
  <c r="HIK69"/>
  <c r="HIJ69"/>
  <c r="HII69"/>
  <c r="HIH69"/>
  <c r="HIG69"/>
  <c r="HIF69"/>
  <c r="HIE69"/>
  <c r="HID69"/>
  <c r="HIC69"/>
  <c r="HIB69"/>
  <c r="HIA69"/>
  <c r="HHZ69"/>
  <c r="HHY69"/>
  <c r="HHX69"/>
  <c r="HHW69"/>
  <c r="HHV69"/>
  <c r="HHU69"/>
  <c r="HHT69"/>
  <c r="HHS69"/>
  <c r="HHR69"/>
  <c r="HHQ69"/>
  <c r="HHP69"/>
  <c r="HHO69"/>
  <c r="HHN69"/>
  <c r="HHM69"/>
  <c r="HHL69"/>
  <c r="HHK69"/>
  <c r="HHJ69"/>
  <c r="HHI69"/>
  <c r="HHH69"/>
  <c r="HHG69"/>
  <c r="HHF69"/>
  <c r="HHE69"/>
  <c r="HHD69"/>
  <c r="HHC69"/>
  <c r="HHB69"/>
  <c r="HHA69"/>
  <c r="HGZ69"/>
  <c r="HGY69"/>
  <c r="HGX69"/>
  <c r="HGW69"/>
  <c r="HGV69"/>
  <c r="HGU69"/>
  <c r="HGT69"/>
  <c r="HGS69"/>
  <c r="HGR69"/>
  <c r="HGQ69"/>
  <c r="HGP69"/>
  <c r="HGO69"/>
  <c r="HGN69"/>
  <c r="HGM69"/>
  <c r="HGL69"/>
  <c r="HGK69"/>
  <c r="HGJ69"/>
  <c r="HGI69"/>
  <c r="HGH69"/>
  <c r="HGG69"/>
  <c r="HGF69"/>
  <c r="HGE69"/>
  <c r="HGD69"/>
  <c r="HGC69"/>
  <c r="HGB69"/>
  <c r="HGA69"/>
  <c r="HFZ69"/>
  <c r="HFY69"/>
  <c r="HFX69"/>
  <c r="HFW69"/>
  <c r="HFV69"/>
  <c r="HFU69"/>
  <c r="HFT69"/>
  <c r="HFS69"/>
  <c r="HFR69"/>
  <c r="HFQ69"/>
  <c r="HFP69"/>
  <c r="HFO69"/>
  <c r="HFN69"/>
  <c r="HFM69"/>
  <c r="HFL69"/>
  <c r="HFK69"/>
  <c r="HFJ69"/>
  <c r="HFI69"/>
  <c r="HFH69"/>
  <c r="HFG69"/>
  <c r="HFF69"/>
  <c r="HFE69"/>
  <c r="HFD69"/>
  <c r="HFC69"/>
  <c r="HFB69"/>
  <c r="HFA69"/>
  <c r="HEZ69"/>
  <c r="HEY69"/>
  <c r="HEX69"/>
  <c r="HEW69"/>
  <c r="HEV69"/>
  <c r="HEU69"/>
  <c r="HET69"/>
  <c r="HES69"/>
  <c r="HER69"/>
  <c r="HEQ69"/>
  <c r="HEP69"/>
  <c r="HEO69"/>
  <c r="HEN69"/>
  <c r="HEM69"/>
  <c r="HEL69"/>
  <c r="HEK69"/>
  <c r="HEJ69"/>
  <c r="HEI69"/>
  <c r="HEH69"/>
  <c r="HEG69"/>
  <c r="HEF69"/>
  <c r="HEE69"/>
  <c r="HED69"/>
  <c r="HEC69"/>
  <c r="HEB69"/>
  <c r="HEA69"/>
  <c r="HDZ69"/>
  <c r="HDY69"/>
  <c r="HDX69"/>
  <c r="HDW69"/>
  <c r="HDV69"/>
  <c r="HDU69"/>
  <c r="HDT69"/>
  <c r="HDS69"/>
  <c r="HDR69"/>
  <c r="HDQ69"/>
  <c r="HDP69"/>
  <c r="HDO69"/>
  <c r="HDN69"/>
  <c r="HDM69"/>
  <c r="HDL69"/>
  <c r="HDK69"/>
  <c r="HDJ69"/>
  <c r="HDI69"/>
  <c r="HDH69"/>
  <c r="HDG69"/>
  <c r="HDF69"/>
  <c r="HDE69"/>
  <c r="HDD69"/>
  <c r="HDC69"/>
  <c r="HDB69"/>
  <c r="HDA69"/>
  <c r="HCZ69"/>
  <c r="HCY69"/>
  <c r="HCX69"/>
  <c r="HCW69"/>
  <c r="HCV69"/>
  <c r="HCU69"/>
  <c r="HCT69"/>
  <c r="HCS69"/>
  <c r="HCR69"/>
  <c r="HCQ69"/>
  <c r="HCP69"/>
  <c r="HCO69"/>
  <c r="HCN69"/>
  <c r="HCM69"/>
  <c r="HCL69"/>
  <c r="HCK69"/>
  <c r="HCJ69"/>
  <c r="HCI69"/>
  <c r="HCH69"/>
  <c r="HCG69"/>
  <c r="HCF69"/>
  <c r="HCE69"/>
  <c r="HCD69"/>
  <c r="HCC69"/>
  <c r="HCB69"/>
  <c r="HCA69"/>
  <c r="HBZ69"/>
  <c r="HBY69"/>
  <c r="HBX69"/>
  <c r="HBW69"/>
  <c r="HBV69"/>
  <c r="HBU69"/>
  <c r="HBT69"/>
  <c r="HBS69"/>
  <c r="HBR69"/>
  <c r="HBQ69"/>
  <c r="HBP69"/>
  <c r="HBO69"/>
  <c r="HBN69"/>
  <c r="HBM69"/>
  <c r="HBL69"/>
  <c r="HBK69"/>
  <c r="HBJ69"/>
  <c r="HBI69"/>
  <c r="HBH69"/>
  <c r="HBG69"/>
  <c r="HBF69"/>
  <c r="HBE69"/>
  <c r="HBD69"/>
  <c r="HBC69"/>
  <c r="HBB69"/>
  <c r="HBA69"/>
  <c r="HAZ69"/>
  <c r="HAY69"/>
  <c r="HAX69"/>
  <c r="HAW69"/>
  <c r="HAV69"/>
  <c r="HAU69"/>
  <c r="HAT69"/>
  <c r="HAS69"/>
  <c r="HAR69"/>
  <c r="HAQ69"/>
  <c r="HAP69"/>
  <c r="HAO69"/>
  <c r="HAN69"/>
  <c r="HAM69"/>
  <c r="HAL69"/>
  <c r="HAK69"/>
  <c r="HAJ69"/>
  <c r="HAI69"/>
  <c r="HAH69"/>
  <c r="HAG69"/>
  <c r="HAF69"/>
  <c r="HAE69"/>
  <c r="HAD69"/>
  <c r="HAC69"/>
  <c r="HAB69"/>
  <c r="HAA69"/>
  <c r="GZZ69"/>
  <c r="GZY69"/>
  <c r="GZX69"/>
  <c r="GZW69"/>
  <c r="GZV69"/>
  <c r="GZU69"/>
  <c r="GZT69"/>
  <c r="GZS69"/>
  <c r="GZR69"/>
  <c r="GZQ69"/>
  <c r="GZP69"/>
  <c r="GZO69"/>
  <c r="GZN69"/>
  <c r="GZM69"/>
  <c r="GZL69"/>
  <c r="GZK69"/>
  <c r="GZJ69"/>
  <c r="GZI69"/>
  <c r="GZH69"/>
  <c r="GZG69"/>
  <c r="GZF69"/>
  <c r="GZE69"/>
  <c r="GZD69"/>
  <c r="GZC69"/>
  <c r="GZB69"/>
  <c r="GZA69"/>
  <c r="GYZ69"/>
  <c r="GYY69"/>
  <c r="GYX69"/>
  <c r="GYW69"/>
  <c r="GYV69"/>
  <c r="GYU69"/>
  <c r="GYT69"/>
  <c r="GYS69"/>
  <c r="GYR69"/>
  <c r="GYQ69"/>
  <c r="GYP69"/>
  <c r="GYO69"/>
  <c r="GYN69"/>
  <c r="GYM69"/>
  <c r="GYL69"/>
  <c r="GYK69"/>
  <c r="GYJ69"/>
  <c r="GYI69"/>
  <c r="GYH69"/>
  <c r="GYG69"/>
  <c r="GYF69"/>
  <c r="GYE69"/>
  <c r="GYD69"/>
  <c r="GYC69"/>
  <c r="GYB69"/>
  <c r="GYA69"/>
  <c r="GXZ69"/>
  <c r="GXY69"/>
  <c r="GXX69"/>
  <c r="GXW69"/>
  <c r="GXV69"/>
  <c r="GXU69"/>
  <c r="GXT69"/>
  <c r="GXS69"/>
  <c r="GXR69"/>
  <c r="GXQ69"/>
  <c r="GXP69"/>
  <c r="GXO69"/>
  <c r="GXN69"/>
  <c r="GXM69"/>
  <c r="GXL69"/>
  <c r="GXK69"/>
  <c r="GXJ69"/>
  <c r="GXI69"/>
  <c r="GXH69"/>
  <c r="GXG69"/>
  <c r="GXF69"/>
  <c r="GXE69"/>
  <c r="GXD69"/>
  <c r="GXC69"/>
  <c r="GXB69"/>
  <c r="GXA69"/>
  <c r="GWZ69"/>
  <c r="GWY69"/>
  <c r="GWX69"/>
  <c r="GWW69"/>
  <c r="GWV69"/>
  <c r="GWU69"/>
  <c r="GWT69"/>
  <c r="GWS69"/>
  <c r="GWR69"/>
  <c r="GWQ69"/>
  <c r="GWP69"/>
  <c r="GWO69"/>
  <c r="GWN69"/>
  <c r="GWM69"/>
  <c r="GWL69"/>
  <c r="GWK69"/>
  <c r="GWJ69"/>
  <c r="GWI69"/>
  <c r="GWH69"/>
  <c r="GWG69"/>
  <c r="GWF69"/>
  <c r="GWE69"/>
  <c r="GWD69"/>
  <c r="GWC69"/>
  <c r="GWB69"/>
  <c r="GWA69"/>
  <c r="GVZ69"/>
  <c r="GVY69"/>
  <c r="GVX69"/>
  <c r="GVW69"/>
  <c r="GVV69"/>
  <c r="GVU69"/>
  <c r="GVT69"/>
  <c r="GVS69"/>
  <c r="GVR69"/>
  <c r="GVQ69"/>
  <c r="GVP69"/>
  <c r="GVO69"/>
  <c r="GVN69"/>
  <c r="GVM69"/>
  <c r="GVL69"/>
  <c r="GVK69"/>
  <c r="GVJ69"/>
  <c r="GVI69"/>
  <c r="GVH69"/>
  <c r="GVG69"/>
  <c r="GVF69"/>
  <c r="GVE69"/>
  <c r="GVD69"/>
  <c r="GVC69"/>
  <c r="GVB69"/>
  <c r="GVA69"/>
  <c r="GUZ69"/>
  <c r="GUY69"/>
  <c r="GUX69"/>
  <c r="GUW69"/>
  <c r="GUV69"/>
  <c r="GUU69"/>
  <c r="GUT69"/>
  <c r="GUS69"/>
  <c r="GUR69"/>
  <c r="GUQ69"/>
  <c r="GUP69"/>
  <c r="GUO69"/>
  <c r="GUN69"/>
  <c r="GUM69"/>
  <c r="GUL69"/>
  <c r="GUK69"/>
  <c r="GUJ69"/>
  <c r="GUI69"/>
  <c r="GUH69"/>
  <c r="GUG69"/>
  <c r="GUF69"/>
  <c r="GUE69"/>
  <c r="GUD69"/>
  <c r="GUC69"/>
  <c r="GUB69"/>
  <c r="GUA69"/>
  <c r="GTZ69"/>
  <c r="GTY69"/>
  <c r="GTX69"/>
  <c r="GTW69"/>
  <c r="GTV69"/>
  <c r="GTU69"/>
  <c r="GTT69"/>
  <c r="GTS69"/>
  <c r="GTR69"/>
  <c r="GTQ69"/>
  <c r="GTP69"/>
  <c r="GTO69"/>
  <c r="GTN69"/>
  <c r="GTM69"/>
  <c r="GTL69"/>
  <c r="GTK69"/>
  <c r="GTJ69"/>
  <c r="GTI69"/>
  <c r="GTH69"/>
  <c r="GTG69"/>
  <c r="GTF69"/>
  <c r="GTE69"/>
  <c r="GTD69"/>
  <c r="GTC69"/>
  <c r="GTB69"/>
  <c r="GTA69"/>
  <c r="GSZ69"/>
  <c r="GSY69"/>
  <c r="GSX69"/>
  <c r="GSW69"/>
  <c r="GSV69"/>
  <c r="GSU69"/>
  <c r="GST69"/>
  <c r="GSS69"/>
  <c r="GSR69"/>
  <c r="GSQ69"/>
  <c r="GSP69"/>
  <c r="GSO69"/>
  <c r="GSN69"/>
  <c r="GSM69"/>
  <c r="GSL69"/>
  <c r="GSK69"/>
  <c r="GSJ69"/>
  <c r="GSI69"/>
  <c r="GSH69"/>
  <c r="GSG69"/>
  <c r="GSF69"/>
  <c r="GSE69"/>
  <c r="GSD69"/>
  <c r="GSC69"/>
  <c r="GSB69"/>
  <c r="GSA69"/>
  <c r="GRZ69"/>
  <c r="GRY69"/>
  <c r="GRX69"/>
  <c r="GRW69"/>
  <c r="GRV69"/>
  <c r="GRU69"/>
  <c r="GRT69"/>
  <c r="GRS69"/>
  <c r="GRR69"/>
  <c r="GRQ69"/>
  <c r="GRP69"/>
  <c r="GRO69"/>
  <c r="GRN69"/>
  <c r="GRM69"/>
  <c r="GRL69"/>
  <c r="GRK69"/>
  <c r="GRJ69"/>
  <c r="GRI69"/>
  <c r="GRH69"/>
  <c r="GRG69"/>
  <c r="GRF69"/>
  <c r="GRE69"/>
  <c r="GRD69"/>
  <c r="GRC69"/>
  <c r="GRB69"/>
  <c r="GRA69"/>
  <c r="GQZ69"/>
  <c r="GQY69"/>
  <c r="GQX69"/>
  <c r="GQW69"/>
  <c r="GQV69"/>
  <c r="GQU69"/>
  <c r="GQT69"/>
  <c r="GQS69"/>
  <c r="GQR69"/>
  <c r="GQQ69"/>
  <c r="GQP69"/>
  <c r="GQO69"/>
  <c r="GQN69"/>
  <c r="GQM69"/>
  <c r="GQL69"/>
  <c r="GQK69"/>
  <c r="GQJ69"/>
  <c r="GQI69"/>
  <c r="GQH69"/>
  <c r="GQG69"/>
  <c r="GQF69"/>
  <c r="GQE69"/>
  <c r="GQD69"/>
  <c r="GQC69"/>
  <c r="GQB69"/>
  <c r="GQA69"/>
  <c r="GPZ69"/>
  <c r="GPY69"/>
  <c r="GPX69"/>
  <c r="GPW69"/>
  <c r="GPV69"/>
  <c r="GPU69"/>
  <c r="GPT69"/>
  <c r="GPS69"/>
  <c r="GPR69"/>
  <c r="GPQ69"/>
  <c r="GPP69"/>
  <c r="GPO69"/>
  <c r="GPN69"/>
  <c r="GPM69"/>
  <c r="GPL69"/>
  <c r="GPK69"/>
  <c r="GPJ69"/>
  <c r="GPI69"/>
  <c r="GPH69"/>
  <c r="GPG69"/>
  <c r="GPF69"/>
  <c r="GPE69"/>
  <c r="GPD69"/>
  <c r="GPC69"/>
  <c r="GPB69"/>
  <c r="GPA69"/>
  <c r="GOZ69"/>
  <c r="GOY69"/>
  <c r="GOX69"/>
  <c r="GOW69"/>
  <c r="GOV69"/>
  <c r="GOU69"/>
  <c r="GOT69"/>
  <c r="GOS69"/>
  <c r="GOR69"/>
  <c r="GOQ69"/>
  <c r="GOP69"/>
  <c r="GOO69"/>
  <c r="GON69"/>
  <c r="GOM69"/>
  <c r="GOL69"/>
  <c r="GOK69"/>
  <c r="GOJ69"/>
  <c r="GOI69"/>
  <c r="GOH69"/>
  <c r="GOG69"/>
  <c r="GOF69"/>
  <c r="GOE69"/>
  <c r="GOD69"/>
  <c r="GOC69"/>
  <c r="GOB69"/>
  <c r="GOA69"/>
  <c r="GNZ69"/>
  <c r="GNY69"/>
  <c r="GNX69"/>
  <c r="GNW69"/>
  <c r="GNV69"/>
  <c r="GNU69"/>
  <c r="GNT69"/>
  <c r="GNS69"/>
  <c r="GNR69"/>
  <c r="GNQ69"/>
  <c r="GNP69"/>
  <c r="GNO69"/>
  <c r="GNN69"/>
  <c r="GNM69"/>
  <c r="GNL69"/>
  <c r="GNK69"/>
  <c r="GNJ69"/>
  <c r="GNI69"/>
  <c r="GNH69"/>
  <c r="GNG69"/>
  <c r="GNF69"/>
  <c r="GNE69"/>
  <c r="GND69"/>
  <c r="GNC69"/>
  <c r="GNB69"/>
  <c r="GNA69"/>
  <c r="GMZ69"/>
  <c r="GMY69"/>
  <c r="GMX69"/>
  <c r="GMW69"/>
  <c r="GMV69"/>
  <c r="GMU69"/>
  <c r="GMT69"/>
  <c r="GMS69"/>
  <c r="GMR69"/>
  <c r="GMQ69"/>
  <c r="GMP69"/>
  <c r="GMO69"/>
  <c r="GMN69"/>
  <c r="GMM69"/>
  <c r="GML69"/>
  <c r="GMK69"/>
  <c r="GMJ69"/>
  <c r="GMI69"/>
  <c r="GMH69"/>
  <c r="GMG69"/>
  <c r="GMF69"/>
  <c r="GME69"/>
  <c r="GMD69"/>
  <c r="GMC69"/>
  <c r="GMB69"/>
  <c r="GMA69"/>
  <c r="GLZ69"/>
  <c r="GLY69"/>
  <c r="GLX69"/>
  <c r="GLW69"/>
  <c r="GLV69"/>
  <c r="GLU69"/>
  <c r="GLT69"/>
  <c r="GLS69"/>
  <c r="GLR69"/>
  <c r="GLQ69"/>
  <c r="GLP69"/>
  <c r="GLO69"/>
  <c r="GLN69"/>
  <c r="GLM69"/>
  <c r="GLL69"/>
  <c r="GLK69"/>
  <c r="GLJ69"/>
  <c r="GLI69"/>
  <c r="GLH69"/>
  <c r="GLG69"/>
  <c r="GLF69"/>
  <c r="GLE69"/>
  <c r="GLD69"/>
  <c r="GLC69"/>
  <c r="GLB69"/>
  <c r="GLA69"/>
  <c r="GKZ69"/>
  <c r="GKY69"/>
  <c r="GKX69"/>
  <c r="GKW69"/>
  <c r="GKV69"/>
  <c r="GKU69"/>
  <c r="GKT69"/>
  <c r="GKS69"/>
  <c r="GKR69"/>
  <c r="GKQ69"/>
  <c r="GKP69"/>
  <c r="GKO69"/>
  <c r="GKN69"/>
  <c r="GKM69"/>
  <c r="GKL69"/>
  <c r="GKK69"/>
  <c r="GKJ69"/>
  <c r="GKI69"/>
  <c r="GKH69"/>
  <c r="GKG69"/>
  <c r="GKF69"/>
  <c r="GKE69"/>
  <c r="GKD69"/>
  <c r="GKC69"/>
  <c r="GKB69"/>
  <c r="GKA69"/>
  <c r="GJZ69"/>
  <c r="GJY69"/>
  <c r="GJX69"/>
  <c r="GJW69"/>
  <c r="GJV69"/>
  <c r="GJU69"/>
  <c r="GJT69"/>
  <c r="GJS69"/>
  <c r="GJR69"/>
  <c r="GJQ69"/>
  <c r="GJP69"/>
  <c r="GJO69"/>
  <c r="GJN69"/>
  <c r="GJM69"/>
  <c r="GJL69"/>
  <c r="GJK69"/>
  <c r="GJJ69"/>
  <c r="GJI69"/>
  <c r="GJH69"/>
  <c r="GJG69"/>
  <c r="GJF69"/>
  <c r="GJE69"/>
  <c r="GJD69"/>
  <c r="GJC69"/>
  <c r="GJB69"/>
  <c r="GJA69"/>
  <c r="GIZ69"/>
  <c r="GIY69"/>
  <c r="GIX69"/>
  <c r="GIW69"/>
  <c r="GIV69"/>
  <c r="GIU69"/>
  <c r="GIT69"/>
  <c r="GIS69"/>
  <c r="GIR69"/>
  <c r="GIQ69"/>
  <c r="GIP69"/>
  <c r="GIO69"/>
  <c r="GIN69"/>
  <c r="GIM69"/>
  <c r="GIL69"/>
  <c r="GIK69"/>
  <c r="GIJ69"/>
  <c r="GII69"/>
  <c r="GIH69"/>
  <c r="GIG69"/>
  <c r="GIF69"/>
  <c r="GIE69"/>
  <c r="GID69"/>
  <c r="GIC69"/>
  <c r="GIB69"/>
  <c r="GIA69"/>
  <c r="GHZ69"/>
  <c r="GHY69"/>
  <c r="GHX69"/>
  <c r="GHW69"/>
  <c r="GHV69"/>
  <c r="GHU69"/>
  <c r="GHT69"/>
  <c r="GHS69"/>
  <c r="GHR69"/>
  <c r="GHQ69"/>
  <c r="GHP69"/>
  <c r="GHO69"/>
  <c r="GHN69"/>
  <c r="GHM69"/>
  <c r="GHL69"/>
  <c r="GHK69"/>
  <c r="GHJ69"/>
  <c r="GHI69"/>
  <c r="GHH69"/>
  <c r="GHG69"/>
  <c r="GHF69"/>
  <c r="GHE69"/>
  <c r="GHD69"/>
  <c r="GHC69"/>
  <c r="GHB69"/>
  <c r="GHA69"/>
  <c r="GGZ69"/>
  <c r="GGY69"/>
  <c r="GGX69"/>
  <c r="GGW69"/>
  <c r="GGV69"/>
  <c r="GGU69"/>
  <c r="GGT69"/>
  <c r="GGS69"/>
  <c r="GGR69"/>
  <c r="GGQ69"/>
  <c r="GGP69"/>
  <c r="GGO69"/>
  <c r="GGN69"/>
  <c r="GGM69"/>
  <c r="GGL69"/>
  <c r="GGK69"/>
  <c r="GGJ69"/>
  <c r="GGI69"/>
  <c r="GGH69"/>
  <c r="GGG69"/>
  <c r="GGF69"/>
  <c r="GGE69"/>
  <c r="GGD69"/>
  <c r="GGC69"/>
  <c r="GGB69"/>
  <c r="GGA69"/>
  <c r="GFZ69"/>
  <c r="GFY69"/>
  <c r="GFX69"/>
  <c r="GFW69"/>
  <c r="GFV69"/>
  <c r="GFU69"/>
  <c r="GFT69"/>
  <c r="GFS69"/>
  <c r="GFR69"/>
  <c r="GFQ69"/>
  <c r="GFP69"/>
  <c r="GFO69"/>
  <c r="GFN69"/>
  <c r="GFM69"/>
  <c r="GFL69"/>
  <c r="GFK69"/>
  <c r="GFJ69"/>
  <c r="GFI69"/>
  <c r="GFH69"/>
  <c r="GFG69"/>
  <c r="GFF69"/>
  <c r="GFE69"/>
  <c r="GFD69"/>
  <c r="GFC69"/>
  <c r="GFB69"/>
  <c r="GFA69"/>
  <c r="GEZ69"/>
  <c r="GEY69"/>
  <c r="GEX69"/>
  <c r="GEW69"/>
  <c r="GEV69"/>
  <c r="GEU69"/>
  <c r="GET69"/>
  <c r="GES69"/>
  <c r="GER69"/>
  <c r="GEQ69"/>
  <c r="GEP69"/>
  <c r="GEO69"/>
  <c r="GEN69"/>
  <c r="GEM69"/>
  <c r="GEL69"/>
  <c r="GEK69"/>
  <c r="GEJ69"/>
  <c r="GEI69"/>
  <c r="GEH69"/>
  <c r="GEG69"/>
  <c r="GEF69"/>
  <c r="GEE69"/>
  <c r="GED69"/>
  <c r="GEC69"/>
  <c r="GEB69"/>
  <c r="GEA69"/>
  <c r="GDZ69"/>
  <c r="GDY69"/>
  <c r="GDX69"/>
  <c r="GDW69"/>
  <c r="GDV69"/>
  <c r="GDU69"/>
  <c r="GDT69"/>
  <c r="GDS69"/>
  <c r="GDR69"/>
  <c r="GDQ69"/>
  <c r="GDP69"/>
  <c r="GDO69"/>
  <c r="GDN69"/>
  <c r="GDM69"/>
  <c r="GDL69"/>
  <c r="GDK69"/>
  <c r="GDJ69"/>
  <c r="GDI69"/>
  <c r="GDH69"/>
  <c r="GDG69"/>
  <c r="GDF69"/>
  <c r="GDE69"/>
  <c r="GDD69"/>
  <c r="GDC69"/>
  <c r="GDB69"/>
  <c r="GDA69"/>
  <c r="GCZ69"/>
  <c r="GCY69"/>
  <c r="GCX69"/>
  <c r="GCW69"/>
  <c r="GCV69"/>
  <c r="GCU69"/>
  <c r="GCT69"/>
  <c r="GCS69"/>
  <c r="GCR69"/>
  <c r="GCQ69"/>
  <c r="GCP69"/>
  <c r="GCO69"/>
  <c r="GCN69"/>
  <c r="GCM69"/>
  <c r="GCL69"/>
  <c r="GCK69"/>
  <c r="GCJ69"/>
  <c r="GCI69"/>
  <c r="GCH69"/>
  <c r="GCG69"/>
  <c r="GCF69"/>
  <c r="GCE69"/>
  <c r="GCD69"/>
  <c r="GCC69"/>
  <c r="GCB69"/>
  <c r="GCA69"/>
  <c r="GBZ69"/>
  <c r="GBY69"/>
  <c r="GBX69"/>
  <c r="GBW69"/>
  <c r="GBV69"/>
  <c r="GBU69"/>
  <c r="GBT69"/>
  <c r="GBS69"/>
  <c r="GBR69"/>
  <c r="GBQ69"/>
  <c r="GBP69"/>
  <c r="GBO69"/>
  <c r="GBN69"/>
  <c r="GBM69"/>
  <c r="GBL69"/>
  <c r="GBK69"/>
  <c r="GBJ69"/>
  <c r="GBI69"/>
  <c r="GBH69"/>
  <c r="GBG69"/>
  <c r="GBF69"/>
  <c r="GBE69"/>
  <c r="GBD69"/>
  <c r="GBC69"/>
  <c r="GBB69"/>
  <c r="GBA69"/>
  <c r="GAZ69"/>
  <c r="GAY69"/>
  <c r="GAX69"/>
  <c r="GAW69"/>
  <c r="GAV69"/>
  <c r="GAU69"/>
  <c r="GAT69"/>
  <c r="GAS69"/>
  <c r="GAR69"/>
  <c r="GAQ69"/>
  <c r="GAP69"/>
  <c r="GAO69"/>
  <c r="GAN69"/>
  <c r="GAM69"/>
  <c r="GAL69"/>
  <c r="GAK69"/>
  <c r="GAJ69"/>
  <c r="GAI69"/>
  <c r="GAH69"/>
  <c r="GAG69"/>
  <c r="GAF69"/>
  <c r="GAE69"/>
  <c r="GAD69"/>
  <c r="GAC69"/>
  <c r="GAB69"/>
  <c r="GAA69"/>
  <c r="FZZ69"/>
  <c r="FZY69"/>
  <c r="FZX69"/>
  <c r="FZW69"/>
  <c r="FZV69"/>
  <c r="FZU69"/>
  <c r="FZT69"/>
  <c r="FZS69"/>
  <c r="FZR69"/>
  <c r="FZQ69"/>
  <c r="FZP69"/>
  <c r="FZO69"/>
  <c r="FZN69"/>
  <c r="FZM69"/>
  <c r="FZL69"/>
  <c r="FZK69"/>
  <c r="FZJ69"/>
  <c r="FZI69"/>
  <c r="FZH69"/>
  <c r="FZG69"/>
  <c r="FZF69"/>
  <c r="FZE69"/>
  <c r="FZD69"/>
  <c r="FZC69"/>
  <c r="FZB69"/>
  <c r="FZA69"/>
  <c r="FYZ69"/>
  <c r="FYY69"/>
  <c r="FYX69"/>
  <c r="FYW69"/>
  <c r="FYV69"/>
  <c r="FYU69"/>
  <c r="FYT69"/>
  <c r="FYS69"/>
  <c r="FYR69"/>
  <c r="FYQ69"/>
  <c r="FYP69"/>
  <c r="FYO69"/>
  <c r="FYN69"/>
  <c r="FYM69"/>
  <c r="FYL69"/>
  <c r="FYK69"/>
  <c r="FYJ69"/>
  <c r="FYI69"/>
  <c r="FYH69"/>
  <c r="FYG69"/>
  <c r="FYF69"/>
  <c r="FYE69"/>
  <c r="FYD69"/>
  <c r="FYC69"/>
  <c r="FYB69"/>
  <c r="FYA69"/>
  <c r="FXZ69"/>
  <c r="FXY69"/>
  <c r="FXX69"/>
  <c r="FXW69"/>
  <c r="FXV69"/>
  <c r="FXU69"/>
  <c r="FXT69"/>
  <c r="FXS69"/>
  <c r="FXR69"/>
  <c r="FXQ69"/>
  <c r="FXP69"/>
  <c r="FXO69"/>
  <c r="FXN69"/>
  <c r="FXM69"/>
  <c r="FXL69"/>
  <c r="FXK69"/>
  <c r="FXJ69"/>
  <c r="FXI69"/>
  <c r="FXH69"/>
  <c r="FXG69"/>
  <c r="FXF69"/>
  <c r="FXE69"/>
  <c r="FXD69"/>
  <c r="FXC69"/>
  <c r="FXB69"/>
  <c r="FXA69"/>
  <c r="FWZ69"/>
  <c r="FWY69"/>
  <c r="FWX69"/>
  <c r="FWW69"/>
  <c r="FWV69"/>
  <c r="FWU69"/>
  <c r="FWT69"/>
  <c r="FWS69"/>
  <c r="FWR69"/>
  <c r="FWQ69"/>
  <c r="FWP69"/>
  <c r="FWO69"/>
  <c r="FWN69"/>
  <c r="FWM69"/>
  <c r="FWL69"/>
  <c r="FWK69"/>
  <c r="FWJ69"/>
  <c r="FWI69"/>
  <c r="FWH69"/>
  <c r="FWG69"/>
  <c r="FWF69"/>
  <c r="FWE69"/>
  <c r="FWD69"/>
  <c r="FWC69"/>
  <c r="FWB69"/>
  <c r="FWA69"/>
  <c r="FVZ69"/>
  <c r="FVY69"/>
  <c r="FVX69"/>
  <c r="FVW69"/>
  <c r="FVV69"/>
  <c r="FVU69"/>
  <c r="FVT69"/>
  <c r="FVS69"/>
  <c r="FVR69"/>
  <c r="FVQ69"/>
  <c r="FVP69"/>
  <c r="FVO69"/>
  <c r="FVN69"/>
  <c r="FVM69"/>
  <c r="FVL69"/>
  <c r="FVK69"/>
  <c r="FVJ69"/>
  <c r="FVI69"/>
  <c r="FVH69"/>
  <c r="FVG69"/>
  <c r="FVF69"/>
  <c r="FVE69"/>
  <c r="FVD69"/>
  <c r="FVC69"/>
  <c r="FVB69"/>
  <c r="FVA69"/>
  <c r="FUZ69"/>
  <c r="FUY69"/>
  <c r="FUX69"/>
  <c r="FUW69"/>
  <c r="FUV69"/>
  <c r="FUU69"/>
  <c r="FUT69"/>
  <c r="FUS69"/>
  <c r="FUR69"/>
  <c r="FUQ69"/>
  <c r="FUP69"/>
  <c r="FUO69"/>
  <c r="FUN69"/>
  <c r="FUM69"/>
  <c r="FUL69"/>
  <c r="FUK69"/>
  <c r="FUJ69"/>
  <c r="FUI69"/>
  <c r="FUH69"/>
  <c r="FUG69"/>
  <c r="FUF69"/>
  <c r="FUE69"/>
  <c r="FUD69"/>
  <c r="FUC69"/>
  <c r="FUB69"/>
  <c r="FUA69"/>
  <c r="FTZ69"/>
  <c r="FTY69"/>
  <c r="FTX69"/>
  <c r="FTW69"/>
  <c r="FTV69"/>
  <c r="FTU69"/>
  <c r="FTT69"/>
  <c r="FTS69"/>
  <c r="FTR69"/>
  <c r="FTQ69"/>
  <c r="FTP69"/>
  <c r="FTO69"/>
  <c r="FTN69"/>
  <c r="FTM69"/>
  <c r="FTL69"/>
  <c r="FTK69"/>
  <c r="FTJ69"/>
  <c r="FTI69"/>
  <c r="FTH69"/>
  <c r="FTG69"/>
  <c r="FTF69"/>
  <c r="FTE69"/>
  <c r="FTD69"/>
  <c r="FTC69"/>
  <c r="FTB69"/>
  <c r="FTA69"/>
  <c r="FSZ69"/>
  <c r="FSY69"/>
  <c r="FSX69"/>
  <c r="FSW69"/>
  <c r="FSV69"/>
  <c r="FSU69"/>
  <c r="FST69"/>
  <c r="FSS69"/>
  <c r="FSR69"/>
  <c r="FSQ69"/>
  <c r="FSP69"/>
  <c r="FSO69"/>
  <c r="FSN69"/>
  <c r="FSM69"/>
  <c r="FSL69"/>
  <c r="FSK69"/>
  <c r="FSJ69"/>
  <c r="FSI69"/>
  <c r="FSH69"/>
  <c r="FSG69"/>
  <c r="FSF69"/>
  <c r="FSE69"/>
  <c r="FSD69"/>
  <c r="FSC69"/>
  <c r="FSB69"/>
  <c r="FSA69"/>
  <c r="FRZ69"/>
  <c r="FRY69"/>
  <c r="FRX69"/>
  <c r="FRW69"/>
  <c r="FRV69"/>
  <c r="FRU69"/>
  <c r="FRT69"/>
  <c r="FRS69"/>
  <c r="FRR69"/>
  <c r="FRQ69"/>
  <c r="FRP69"/>
  <c r="FRO69"/>
  <c r="FRN69"/>
  <c r="FRM69"/>
  <c r="FRL69"/>
  <c r="FRK69"/>
  <c r="FRJ69"/>
  <c r="FRI69"/>
  <c r="FRH69"/>
  <c r="FRG69"/>
  <c r="FRF69"/>
  <c r="FRE69"/>
  <c r="FRD69"/>
  <c r="FRC69"/>
  <c r="FRB69"/>
  <c r="FRA69"/>
  <c r="FQZ69"/>
  <c r="FQY69"/>
  <c r="FQX69"/>
  <c r="FQW69"/>
  <c r="FQV69"/>
  <c r="FQU69"/>
  <c r="FQT69"/>
  <c r="FQS69"/>
  <c r="FQR69"/>
  <c r="FQQ69"/>
  <c r="FQP69"/>
  <c r="FQO69"/>
  <c r="FQN69"/>
  <c r="FQM69"/>
  <c r="FQL69"/>
  <c r="FQK69"/>
  <c r="FQJ69"/>
  <c r="FQI69"/>
  <c r="FQH69"/>
  <c r="FQG69"/>
  <c r="FQF69"/>
  <c r="FQE69"/>
  <c r="FQD69"/>
  <c r="FQC69"/>
  <c r="FQB69"/>
  <c r="FQA69"/>
  <c r="FPZ69"/>
  <c r="FPY69"/>
  <c r="FPX69"/>
  <c r="FPW69"/>
  <c r="FPV69"/>
  <c r="FPU69"/>
  <c r="FPT69"/>
  <c r="FPS69"/>
  <c r="FPR69"/>
  <c r="FPQ69"/>
  <c r="FPP69"/>
  <c r="FPO69"/>
  <c r="FPN69"/>
  <c r="FPM69"/>
  <c r="FPL69"/>
  <c r="FPK69"/>
  <c r="FPJ69"/>
  <c r="FPI69"/>
  <c r="FPH69"/>
  <c r="FPG69"/>
  <c r="FPF69"/>
  <c r="FPE69"/>
  <c r="FPD69"/>
  <c r="FPC69"/>
  <c r="FPB69"/>
  <c r="FPA69"/>
  <c r="FOZ69"/>
  <c r="FOY69"/>
  <c r="FOX69"/>
  <c r="FOW69"/>
  <c r="FOV69"/>
  <c r="FOU69"/>
  <c r="FOT69"/>
  <c r="FOS69"/>
  <c r="FOR69"/>
  <c r="FOQ69"/>
  <c r="FOP69"/>
  <c r="FOO69"/>
  <c r="FON69"/>
  <c r="FOM69"/>
  <c r="FOL69"/>
  <c r="FOK69"/>
  <c r="FOJ69"/>
  <c r="FOI69"/>
  <c r="FOH69"/>
  <c r="FOG69"/>
  <c r="FOF69"/>
  <c r="FOE69"/>
  <c r="FOD69"/>
  <c r="FOC69"/>
  <c r="FOB69"/>
  <c r="FOA69"/>
  <c r="FNZ69"/>
  <c r="FNY69"/>
  <c r="FNX69"/>
  <c r="FNW69"/>
  <c r="FNV69"/>
  <c r="FNU69"/>
  <c r="FNT69"/>
  <c r="FNS69"/>
  <c r="FNR69"/>
  <c r="FNQ69"/>
  <c r="FNP69"/>
  <c r="FNO69"/>
  <c r="FNN69"/>
  <c r="FNM69"/>
  <c r="FNL69"/>
  <c r="FNK69"/>
  <c r="FNJ69"/>
  <c r="FNI69"/>
  <c r="FNH69"/>
  <c r="FNG69"/>
  <c r="FNF69"/>
  <c r="FNE69"/>
  <c r="FND69"/>
  <c r="FNC69"/>
  <c r="FNB69"/>
  <c r="FNA69"/>
  <c r="FMZ69"/>
  <c r="FMY69"/>
  <c r="FMX69"/>
  <c r="FMW69"/>
  <c r="FMV69"/>
  <c r="FMU69"/>
  <c r="FMT69"/>
  <c r="FMS69"/>
  <c r="FMR69"/>
  <c r="FMQ69"/>
  <c r="FMP69"/>
  <c r="FMO69"/>
  <c r="FMN69"/>
  <c r="FMM69"/>
  <c r="FML69"/>
  <c r="FMK69"/>
  <c r="FMJ69"/>
  <c r="FMI69"/>
  <c r="FMH69"/>
  <c r="FMG69"/>
  <c r="FMF69"/>
  <c r="FME69"/>
  <c r="FMD69"/>
  <c r="FMC69"/>
  <c r="FMB69"/>
  <c r="FMA69"/>
  <c r="FLZ69"/>
  <c r="FLY69"/>
  <c r="FLX69"/>
  <c r="FLW69"/>
  <c r="FLV69"/>
  <c r="FLU69"/>
  <c r="FLT69"/>
  <c r="FLS69"/>
  <c r="FLR69"/>
  <c r="FLQ69"/>
  <c r="FLP69"/>
  <c r="FLO69"/>
  <c r="FLN69"/>
  <c r="FLM69"/>
  <c r="FLL69"/>
  <c r="FLK69"/>
  <c r="FLJ69"/>
  <c r="FLI69"/>
  <c r="FLH69"/>
  <c r="FLG69"/>
  <c r="FLF69"/>
  <c r="FLE69"/>
  <c r="FLD69"/>
  <c r="FLC69"/>
  <c r="FLB69"/>
  <c r="FLA69"/>
  <c r="FKZ69"/>
  <c r="FKY69"/>
  <c r="FKX69"/>
  <c r="FKW69"/>
  <c r="FKV69"/>
  <c r="FKU69"/>
  <c r="FKT69"/>
  <c r="FKS69"/>
  <c r="FKR69"/>
  <c r="FKQ69"/>
  <c r="FKP69"/>
  <c r="FKO69"/>
  <c r="FKN69"/>
  <c r="FKM69"/>
  <c r="FKL69"/>
  <c r="FKK69"/>
  <c r="FKJ69"/>
  <c r="FKI69"/>
  <c r="FKH69"/>
  <c r="FKG69"/>
  <c r="FKF69"/>
  <c r="FKE69"/>
  <c r="FKD69"/>
  <c r="FKC69"/>
  <c r="FKB69"/>
  <c r="FKA69"/>
  <c r="FJZ69"/>
  <c r="FJY69"/>
  <c r="FJX69"/>
  <c r="FJW69"/>
  <c r="FJV69"/>
  <c r="FJU69"/>
  <c r="FJT69"/>
  <c r="FJS69"/>
  <c r="FJR69"/>
  <c r="FJQ69"/>
  <c r="FJP69"/>
  <c r="FJO69"/>
  <c r="FJN69"/>
  <c r="FJM69"/>
  <c r="FJL69"/>
  <c r="FJK69"/>
  <c r="FJJ69"/>
  <c r="FJI69"/>
  <c r="FJH69"/>
  <c r="FJG69"/>
  <c r="FJF69"/>
  <c r="FJE69"/>
  <c r="FJD69"/>
  <c r="FJC69"/>
  <c r="FJB69"/>
  <c r="FJA69"/>
  <c r="FIZ69"/>
  <c r="FIY69"/>
  <c r="FIX69"/>
  <c r="FIW69"/>
  <c r="FIV69"/>
  <c r="FIU69"/>
  <c r="FIT69"/>
  <c r="FIS69"/>
  <c r="FIR69"/>
  <c r="FIQ69"/>
  <c r="FIP69"/>
  <c r="FIO69"/>
  <c r="FIN69"/>
  <c r="FIM69"/>
  <c r="FIL69"/>
  <c r="FIK69"/>
  <c r="FIJ69"/>
  <c r="FII69"/>
  <c r="FIH69"/>
  <c r="FIG69"/>
  <c r="FIF69"/>
  <c r="FIE69"/>
  <c r="FID69"/>
  <c r="FIC69"/>
  <c r="FIB69"/>
  <c r="FIA69"/>
  <c r="FHZ69"/>
  <c r="FHY69"/>
  <c r="FHX69"/>
  <c r="FHW69"/>
  <c r="FHV69"/>
  <c r="FHU69"/>
  <c r="FHT69"/>
  <c r="FHS69"/>
  <c r="FHR69"/>
  <c r="FHQ69"/>
  <c r="FHP69"/>
  <c r="FHO69"/>
  <c r="FHN69"/>
  <c r="FHM69"/>
  <c r="FHL69"/>
  <c r="FHK69"/>
  <c r="FHJ69"/>
  <c r="FHI69"/>
  <c r="FHH69"/>
  <c r="FHG69"/>
  <c r="FHF69"/>
  <c r="FHE69"/>
  <c r="FHD69"/>
  <c r="FHC69"/>
  <c r="FHB69"/>
  <c r="FHA69"/>
  <c r="FGZ69"/>
  <c r="FGY69"/>
  <c r="FGX69"/>
  <c r="FGW69"/>
  <c r="FGV69"/>
  <c r="FGU69"/>
  <c r="FGT69"/>
  <c r="FGS69"/>
  <c r="FGR69"/>
  <c r="FGQ69"/>
  <c r="FGP69"/>
  <c r="FGO69"/>
  <c r="FGN69"/>
  <c r="FGM69"/>
  <c r="FGL69"/>
  <c r="FGK69"/>
  <c r="FGJ69"/>
  <c r="FGI69"/>
  <c r="FGH69"/>
  <c r="FGG69"/>
  <c r="FGF69"/>
  <c r="FGE69"/>
  <c r="FGD69"/>
  <c r="FGC69"/>
  <c r="FGB69"/>
  <c r="FGA69"/>
  <c r="FFZ69"/>
  <c r="FFY69"/>
  <c r="FFX69"/>
  <c r="FFW69"/>
  <c r="FFV69"/>
  <c r="FFU69"/>
  <c r="FFT69"/>
  <c r="FFS69"/>
  <c r="FFR69"/>
  <c r="FFQ69"/>
  <c r="FFP69"/>
  <c r="FFO69"/>
  <c r="FFN69"/>
  <c r="FFM69"/>
  <c r="FFL69"/>
  <c r="FFK69"/>
  <c r="FFJ69"/>
  <c r="FFI69"/>
  <c r="FFH69"/>
  <c r="FFG69"/>
  <c r="FFF69"/>
  <c r="FFE69"/>
  <c r="FFD69"/>
  <c r="FFC69"/>
  <c r="FFB69"/>
  <c r="FFA69"/>
  <c r="FEZ69"/>
  <c r="FEY69"/>
  <c r="FEX69"/>
  <c r="FEW69"/>
  <c r="FEV69"/>
  <c r="FEU69"/>
  <c r="FET69"/>
  <c r="FES69"/>
  <c r="FER69"/>
  <c r="FEQ69"/>
  <c r="FEP69"/>
  <c r="FEO69"/>
  <c r="FEN69"/>
  <c r="FEM69"/>
  <c r="FEL69"/>
  <c r="FEK69"/>
  <c r="FEJ69"/>
  <c r="FEI69"/>
  <c r="FEH69"/>
  <c r="FEG69"/>
  <c r="FEF69"/>
  <c r="FEE69"/>
  <c r="FED69"/>
  <c r="FEC69"/>
  <c r="FEB69"/>
  <c r="FEA69"/>
  <c r="FDZ69"/>
  <c r="FDY69"/>
  <c r="FDX69"/>
  <c r="FDW69"/>
  <c r="FDV69"/>
  <c r="FDU69"/>
  <c r="FDT69"/>
  <c r="FDS69"/>
  <c r="FDR69"/>
  <c r="FDQ69"/>
  <c r="FDP69"/>
  <c r="FDO69"/>
  <c r="FDN69"/>
  <c r="FDM69"/>
  <c r="FDL69"/>
  <c r="FDK69"/>
  <c r="FDJ69"/>
  <c r="FDI69"/>
  <c r="FDH69"/>
  <c r="FDG69"/>
  <c r="FDF69"/>
  <c r="FDE69"/>
  <c r="FDD69"/>
  <c r="FDC69"/>
  <c r="FDB69"/>
  <c r="FDA69"/>
  <c r="FCZ69"/>
  <c r="FCY69"/>
  <c r="FCX69"/>
  <c r="FCW69"/>
  <c r="FCV69"/>
  <c r="FCU69"/>
  <c r="FCT69"/>
  <c r="FCS69"/>
  <c r="FCR69"/>
  <c r="FCQ69"/>
  <c r="FCP69"/>
  <c r="FCO69"/>
  <c r="FCN69"/>
  <c r="FCM69"/>
  <c r="FCL69"/>
  <c r="FCK69"/>
  <c r="FCJ69"/>
  <c r="FCI69"/>
  <c r="FCH69"/>
  <c r="FCG69"/>
  <c r="FCF69"/>
  <c r="FCE69"/>
  <c r="FCD69"/>
  <c r="FCC69"/>
  <c r="FCB69"/>
  <c r="FCA69"/>
  <c r="FBZ69"/>
  <c r="FBY69"/>
  <c r="FBX69"/>
  <c r="FBW69"/>
  <c r="FBV69"/>
  <c r="FBU69"/>
  <c r="FBT69"/>
  <c r="FBS69"/>
  <c r="FBR69"/>
  <c r="FBQ69"/>
  <c r="FBP69"/>
  <c r="FBO69"/>
  <c r="FBN69"/>
  <c r="FBM69"/>
  <c r="FBL69"/>
  <c r="FBK69"/>
  <c r="FBJ69"/>
  <c r="FBI69"/>
  <c r="FBH69"/>
  <c r="FBG69"/>
  <c r="FBF69"/>
  <c r="FBE69"/>
  <c r="FBD69"/>
  <c r="FBC69"/>
  <c r="FBB69"/>
  <c r="FBA69"/>
  <c r="FAZ69"/>
  <c r="FAY69"/>
  <c r="FAX69"/>
  <c r="FAW69"/>
  <c r="FAV69"/>
  <c r="FAU69"/>
  <c r="FAT69"/>
  <c r="FAS69"/>
  <c r="FAR69"/>
  <c r="FAQ69"/>
  <c r="FAP69"/>
  <c r="FAO69"/>
  <c r="FAN69"/>
  <c r="FAM69"/>
  <c r="FAL69"/>
  <c r="FAK69"/>
  <c r="FAJ69"/>
  <c r="FAI69"/>
  <c r="FAH69"/>
  <c r="FAG69"/>
  <c r="FAF69"/>
  <c r="FAE69"/>
  <c r="FAD69"/>
  <c r="FAC69"/>
  <c r="FAB69"/>
  <c r="FAA69"/>
  <c r="EZZ69"/>
  <c r="EZY69"/>
  <c r="EZX69"/>
  <c r="EZW69"/>
  <c r="EZV69"/>
  <c r="EZU69"/>
  <c r="EZT69"/>
  <c r="EZS69"/>
  <c r="EZR69"/>
  <c r="EZQ69"/>
  <c r="EZP69"/>
  <c r="EZO69"/>
  <c r="EZN69"/>
  <c r="EZM69"/>
  <c r="EZL69"/>
  <c r="EZK69"/>
  <c r="EZJ69"/>
  <c r="EZI69"/>
  <c r="EZH69"/>
  <c r="EZG69"/>
  <c r="EZF69"/>
  <c r="EZE69"/>
  <c r="EZD69"/>
  <c r="EZC69"/>
  <c r="EZB69"/>
  <c r="EZA69"/>
  <c r="EYZ69"/>
  <c r="EYY69"/>
  <c r="EYX69"/>
  <c r="EYW69"/>
  <c r="EYV69"/>
  <c r="EYU69"/>
  <c r="EYT69"/>
  <c r="EYS69"/>
  <c r="EYR69"/>
  <c r="EYQ69"/>
  <c r="EYP69"/>
  <c r="EYO69"/>
  <c r="EYN69"/>
  <c r="EYM69"/>
  <c r="EYL69"/>
  <c r="EYK69"/>
  <c r="EYJ69"/>
  <c r="EYI69"/>
  <c r="EYH69"/>
  <c r="EYG69"/>
  <c r="EYF69"/>
  <c r="EYE69"/>
  <c r="EYD69"/>
  <c r="EYC69"/>
  <c r="EYB69"/>
  <c r="EYA69"/>
  <c r="EXZ69"/>
  <c r="EXY69"/>
  <c r="EXX69"/>
  <c r="EXW69"/>
  <c r="EXV69"/>
  <c r="EXU69"/>
  <c r="EXT69"/>
  <c r="EXS69"/>
  <c r="EXR69"/>
  <c r="EXQ69"/>
  <c r="EXP69"/>
  <c r="EXO69"/>
  <c r="EXN69"/>
  <c r="EXM69"/>
  <c r="EXL69"/>
  <c r="EXK69"/>
  <c r="EXJ69"/>
  <c r="EXI69"/>
  <c r="EXH69"/>
  <c r="EXG69"/>
  <c r="EXF69"/>
  <c r="EXE69"/>
  <c r="EXD69"/>
  <c r="EXC69"/>
  <c r="EXB69"/>
  <c r="EXA69"/>
  <c r="EWZ69"/>
  <c r="EWY69"/>
  <c r="EWX69"/>
  <c r="EWW69"/>
  <c r="EWV69"/>
  <c r="EWU69"/>
  <c r="EWT69"/>
  <c r="EWS69"/>
  <c r="EWR69"/>
  <c r="EWQ69"/>
  <c r="EWP69"/>
  <c r="EWO69"/>
  <c r="EWN69"/>
  <c r="EWM69"/>
  <c r="EWL69"/>
  <c r="EWK69"/>
  <c r="EWJ69"/>
  <c r="EWI69"/>
  <c r="EWH69"/>
  <c r="EWG69"/>
  <c r="EWF69"/>
  <c r="EWE69"/>
  <c r="EWD69"/>
  <c r="EWC69"/>
  <c r="EWB69"/>
  <c r="EWA69"/>
  <c r="EVZ69"/>
  <c r="EVY69"/>
  <c r="EVX69"/>
  <c r="EVW69"/>
  <c r="EVV69"/>
  <c r="EVU69"/>
  <c r="EVT69"/>
  <c r="EVS69"/>
  <c r="EVR69"/>
  <c r="EVQ69"/>
  <c r="EVP69"/>
  <c r="EVO69"/>
  <c r="EVN69"/>
  <c r="EVM69"/>
  <c r="EVL69"/>
  <c r="EVK69"/>
  <c r="EVJ69"/>
  <c r="EVI69"/>
  <c r="EVH69"/>
  <c r="EVG69"/>
  <c r="EVF69"/>
  <c r="EVE69"/>
  <c r="EVD69"/>
  <c r="EVC69"/>
  <c r="EVB69"/>
  <c r="EVA69"/>
  <c r="EUZ69"/>
  <c r="EUY69"/>
  <c r="EUX69"/>
  <c r="EUW69"/>
  <c r="EUV69"/>
  <c r="EUU69"/>
  <c r="EUT69"/>
  <c r="EUS69"/>
  <c r="EUR69"/>
  <c r="EUQ69"/>
  <c r="EUP69"/>
  <c r="EUO69"/>
  <c r="EUN69"/>
  <c r="EUM69"/>
  <c r="EUL69"/>
  <c r="EUK69"/>
  <c r="EUJ69"/>
  <c r="EUI69"/>
  <c r="EUH69"/>
  <c r="EUG69"/>
  <c r="EUF69"/>
  <c r="EUE69"/>
  <c r="EUD69"/>
  <c r="EUC69"/>
  <c r="EUB69"/>
  <c r="EUA69"/>
  <c r="ETZ69"/>
  <c r="ETY69"/>
  <c r="ETX69"/>
  <c r="ETW69"/>
  <c r="ETV69"/>
  <c r="ETU69"/>
  <c r="ETT69"/>
  <c r="ETS69"/>
  <c r="ETR69"/>
  <c r="ETQ69"/>
  <c r="ETP69"/>
  <c r="ETO69"/>
  <c r="ETN69"/>
  <c r="ETM69"/>
  <c r="ETL69"/>
  <c r="ETK69"/>
  <c r="ETJ69"/>
  <c r="ETI69"/>
  <c r="ETH69"/>
  <c r="ETG69"/>
  <c r="ETF69"/>
  <c r="ETE69"/>
  <c r="ETD69"/>
  <c r="ETC69"/>
  <c r="ETB69"/>
  <c r="ETA69"/>
  <c r="ESZ69"/>
  <c r="ESY69"/>
  <c r="ESX69"/>
  <c r="ESW69"/>
  <c r="ESV69"/>
  <c r="ESU69"/>
  <c r="EST69"/>
  <c r="ESS69"/>
  <c r="ESR69"/>
  <c r="ESQ69"/>
  <c r="ESP69"/>
  <c r="ESO69"/>
  <c r="ESN69"/>
  <c r="ESM69"/>
  <c r="ESL69"/>
  <c r="ESK69"/>
  <c r="ESJ69"/>
  <c r="ESI69"/>
  <c r="ESH69"/>
  <c r="ESG69"/>
  <c r="ESF69"/>
  <c r="ESE69"/>
  <c r="ESD69"/>
  <c r="ESC69"/>
  <c r="ESB69"/>
  <c r="ESA69"/>
  <c r="ERZ69"/>
  <c r="ERY69"/>
  <c r="ERX69"/>
  <c r="ERW69"/>
  <c r="ERV69"/>
  <c r="ERU69"/>
  <c r="ERT69"/>
  <c r="ERS69"/>
  <c r="ERR69"/>
  <c r="ERQ69"/>
  <c r="ERP69"/>
  <c r="ERO69"/>
  <c r="ERN69"/>
  <c r="ERM69"/>
  <c r="ERL69"/>
  <c r="ERK69"/>
  <c r="ERJ69"/>
  <c r="ERI69"/>
  <c r="ERH69"/>
  <c r="ERG69"/>
  <c r="ERF69"/>
  <c r="ERE69"/>
  <c r="ERD69"/>
  <c r="ERC69"/>
  <c r="ERB69"/>
  <c r="ERA69"/>
  <c r="EQZ69"/>
  <c r="EQY69"/>
  <c r="EQX69"/>
  <c r="EQW69"/>
  <c r="EQV69"/>
  <c r="EQU69"/>
  <c r="EQT69"/>
  <c r="EQS69"/>
  <c r="EQR69"/>
  <c r="EQQ69"/>
  <c r="EQP69"/>
  <c r="EQO69"/>
  <c r="EQN69"/>
  <c r="EQM69"/>
  <c r="EQL69"/>
  <c r="EQK69"/>
  <c r="EQJ69"/>
  <c r="EQI69"/>
  <c r="EQH69"/>
  <c r="EQG69"/>
  <c r="EQF69"/>
  <c r="EQE69"/>
  <c r="EQD69"/>
  <c r="EQC69"/>
  <c r="EQB69"/>
  <c r="EQA69"/>
  <c r="EPZ69"/>
  <c r="EPY69"/>
  <c r="EPX69"/>
  <c r="EPW69"/>
  <c r="EPV69"/>
  <c r="EPU69"/>
  <c r="EPT69"/>
  <c r="EPS69"/>
  <c r="EPR69"/>
  <c r="EPQ69"/>
  <c r="EPP69"/>
  <c r="EPO69"/>
  <c r="EPN69"/>
  <c r="EPM69"/>
  <c r="EPL69"/>
  <c r="EPK69"/>
  <c r="EPJ69"/>
  <c r="EPI69"/>
  <c r="EPH69"/>
  <c r="EPG69"/>
  <c r="EPF69"/>
  <c r="EPE69"/>
  <c r="EPD69"/>
  <c r="EPC69"/>
  <c r="EPB69"/>
  <c r="EPA69"/>
  <c r="EOZ69"/>
  <c r="EOY69"/>
  <c r="EOX69"/>
  <c r="EOW69"/>
  <c r="EOV69"/>
  <c r="EOU69"/>
  <c r="EOT69"/>
  <c r="EOS69"/>
  <c r="EOR69"/>
  <c r="EOQ69"/>
  <c r="EOP69"/>
  <c r="EOO69"/>
  <c r="EON69"/>
  <c r="EOM69"/>
  <c r="EOL69"/>
  <c r="EOK69"/>
  <c r="EOJ69"/>
  <c r="EOI69"/>
  <c r="EOH69"/>
  <c r="EOG69"/>
  <c r="EOF69"/>
  <c r="EOE69"/>
  <c r="EOD69"/>
  <c r="EOC69"/>
  <c r="EOB69"/>
  <c r="EOA69"/>
  <c r="ENZ69"/>
  <c r="ENY69"/>
  <c r="ENX69"/>
  <c r="ENW69"/>
  <c r="ENV69"/>
  <c r="ENU69"/>
  <c r="ENT69"/>
  <c r="ENS69"/>
  <c r="ENR69"/>
  <c r="ENQ69"/>
  <c r="ENP69"/>
  <c r="ENO69"/>
  <c r="ENN69"/>
  <c r="ENM69"/>
  <c r="ENL69"/>
  <c r="ENK69"/>
  <c r="ENJ69"/>
  <c r="ENI69"/>
  <c r="ENH69"/>
  <c r="ENG69"/>
  <c r="ENF69"/>
  <c r="ENE69"/>
  <c r="END69"/>
  <c r="ENC69"/>
  <c r="ENB69"/>
  <c r="ENA69"/>
  <c r="EMZ69"/>
  <c r="EMY69"/>
  <c r="EMX69"/>
  <c r="EMW69"/>
  <c r="EMV69"/>
  <c r="EMU69"/>
  <c r="EMT69"/>
  <c r="EMS69"/>
  <c r="EMR69"/>
  <c r="EMQ69"/>
  <c r="EMP69"/>
  <c r="EMO69"/>
  <c r="EMN69"/>
  <c r="EMM69"/>
  <c r="EML69"/>
  <c r="EMK69"/>
  <c r="EMJ69"/>
  <c r="EMI69"/>
  <c r="EMH69"/>
  <c r="EMG69"/>
  <c r="EMF69"/>
  <c r="EME69"/>
  <c r="EMD69"/>
  <c r="EMC69"/>
  <c r="EMB69"/>
  <c r="EMA69"/>
  <c r="ELZ69"/>
  <c r="ELY69"/>
  <c r="ELX69"/>
  <c r="ELW69"/>
  <c r="ELV69"/>
  <c r="ELU69"/>
  <c r="ELT69"/>
  <c r="ELS69"/>
  <c r="ELR69"/>
  <c r="ELQ69"/>
  <c r="ELP69"/>
  <c r="ELO69"/>
  <c r="ELN69"/>
  <c r="ELM69"/>
  <c r="ELL69"/>
  <c r="ELK69"/>
  <c r="ELJ69"/>
  <c r="ELI69"/>
  <c r="ELH69"/>
  <c r="ELG69"/>
  <c r="ELF69"/>
  <c r="ELE69"/>
  <c r="ELD69"/>
  <c r="ELC69"/>
  <c r="ELB69"/>
  <c r="ELA69"/>
  <c r="EKZ69"/>
  <c r="EKY69"/>
  <c r="EKX69"/>
  <c r="EKW69"/>
  <c r="EKV69"/>
  <c r="EKU69"/>
  <c r="EKT69"/>
  <c r="EKS69"/>
  <c r="EKR69"/>
  <c r="EKQ69"/>
  <c r="EKP69"/>
  <c r="EKO69"/>
  <c r="EKN69"/>
  <c r="EKM69"/>
  <c r="EKL69"/>
  <c r="EKK69"/>
  <c r="EKJ69"/>
  <c r="EKI69"/>
  <c r="EKH69"/>
  <c r="EKG69"/>
  <c r="EKF69"/>
  <c r="EKE69"/>
  <c r="EKD69"/>
  <c r="EKC69"/>
  <c r="EKB69"/>
  <c r="EKA69"/>
  <c r="EJZ69"/>
  <c r="EJY69"/>
  <c r="EJX69"/>
  <c r="EJW69"/>
  <c r="EJV69"/>
  <c r="EJU69"/>
  <c r="EJT69"/>
  <c r="EJS69"/>
  <c r="EJR69"/>
  <c r="EJQ69"/>
  <c r="EJP69"/>
  <c r="EJO69"/>
  <c r="EJN69"/>
  <c r="EJM69"/>
  <c r="EJL69"/>
  <c r="EJK69"/>
  <c r="EJJ69"/>
  <c r="EJI69"/>
  <c r="EJH69"/>
  <c r="EJG69"/>
  <c r="EJF69"/>
  <c r="EJE69"/>
  <c r="EJD69"/>
  <c r="EJC69"/>
  <c r="EJB69"/>
  <c r="EJA69"/>
  <c r="EIZ69"/>
  <c r="EIY69"/>
  <c r="EIX69"/>
  <c r="EIW69"/>
  <c r="EIV69"/>
  <c r="EIU69"/>
  <c r="EIT69"/>
  <c r="EIS69"/>
  <c r="EIR69"/>
  <c r="EIQ69"/>
  <c r="EIP69"/>
  <c r="EIO69"/>
  <c r="EIN69"/>
  <c r="EIM69"/>
  <c r="EIL69"/>
  <c r="EIK69"/>
  <c r="EIJ69"/>
  <c r="EII69"/>
  <c r="EIH69"/>
  <c r="EIG69"/>
  <c r="EIF69"/>
  <c r="EIE69"/>
  <c r="EID69"/>
  <c r="EIC69"/>
  <c r="EIB69"/>
  <c r="EIA69"/>
  <c r="EHZ69"/>
  <c r="EHY69"/>
  <c r="EHX69"/>
  <c r="EHW69"/>
  <c r="EHV69"/>
  <c r="EHU69"/>
  <c r="EHT69"/>
  <c r="EHS69"/>
  <c r="EHR69"/>
  <c r="EHQ69"/>
  <c r="EHP69"/>
  <c r="EHO69"/>
  <c r="EHN69"/>
  <c r="EHM69"/>
  <c r="EHL69"/>
  <c r="EHK69"/>
  <c r="EHJ69"/>
  <c r="EHI69"/>
  <c r="EHH69"/>
  <c r="EHG69"/>
  <c r="EHF69"/>
  <c r="EHE69"/>
  <c r="EHD69"/>
  <c r="EHC69"/>
  <c r="EHB69"/>
  <c r="EHA69"/>
  <c r="EGZ69"/>
  <c r="EGY69"/>
  <c r="EGX69"/>
  <c r="EGW69"/>
  <c r="EGV69"/>
  <c r="EGU69"/>
  <c r="EGT69"/>
  <c r="EGS69"/>
  <c r="EGR69"/>
  <c r="EGQ69"/>
  <c r="EGP69"/>
  <c r="EGO69"/>
  <c r="EGN69"/>
  <c r="EGM69"/>
  <c r="EGL69"/>
  <c r="EGK69"/>
  <c r="EGJ69"/>
  <c r="EGI69"/>
  <c r="EGH69"/>
  <c r="EGG69"/>
  <c r="EGF69"/>
  <c r="EGE69"/>
  <c r="EGD69"/>
  <c r="EGC69"/>
  <c r="EGB69"/>
  <c r="EGA69"/>
  <c r="EFZ69"/>
  <c r="EFY69"/>
  <c r="EFX69"/>
  <c r="EFW69"/>
  <c r="EFV69"/>
  <c r="EFU69"/>
  <c r="EFT69"/>
  <c r="EFS69"/>
  <c r="EFR69"/>
  <c r="EFQ69"/>
  <c r="EFP69"/>
  <c r="EFO69"/>
  <c r="EFN69"/>
  <c r="EFM69"/>
  <c r="EFL69"/>
  <c r="EFK69"/>
  <c r="EFJ69"/>
  <c r="EFI69"/>
  <c r="EFH69"/>
  <c r="EFG69"/>
  <c r="EFF69"/>
  <c r="EFE69"/>
  <c r="EFD69"/>
  <c r="EFC69"/>
  <c r="EFB69"/>
  <c r="EFA69"/>
  <c r="EEZ69"/>
  <c r="EEY69"/>
  <c r="EEX69"/>
  <c r="EEW69"/>
  <c r="EEV69"/>
  <c r="EEU69"/>
  <c r="EET69"/>
  <c r="EES69"/>
  <c r="EER69"/>
  <c r="EEQ69"/>
  <c r="EEP69"/>
  <c r="EEO69"/>
  <c r="EEN69"/>
  <c r="EEM69"/>
  <c r="EEL69"/>
  <c r="EEK69"/>
  <c r="EEJ69"/>
  <c r="EEI69"/>
  <c r="EEH69"/>
  <c r="EEG69"/>
  <c r="EEF69"/>
  <c r="EEE69"/>
  <c r="EED69"/>
  <c r="EEC69"/>
  <c r="EEB69"/>
  <c r="EEA69"/>
  <c r="EDZ69"/>
  <c r="EDY69"/>
  <c r="EDX69"/>
  <c r="EDW69"/>
  <c r="EDV69"/>
  <c r="EDU69"/>
  <c r="EDT69"/>
  <c r="EDS69"/>
  <c r="EDR69"/>
  <c r="EDQ69"/>
  <c r="EDP69"/>
  <c r="EDO69"/>
  <c r="EDN69"/>
  <c r="EDM69"/>
  <c r="EDL69"/>
  <c r="EDK69"/>
  <c r="EDJ69"/>
  <c r="EDI69"/>
  <c r="EDH69"/>
  <c r="EDG69"/>
  <c r="EDF69"/>
  <c r="EDE69"/>
  <c r="EDD69"/>
  <c r="EDC69"/>
  <c r="EDB69"/>
  <c r="EDA69"/>
  <c r="ECZ69"/>
  <c r="ECY69"/>
  <c r="ECX69"/>
  <c r="ECW69"/>
  <c r="ECV69"/>
  <c r="ECU69"/>
  <c r="ECT69"/>
  <c r="ECS69"/>
  <c r="ECR69"/>
  <c r="ECQ69"/>
  <c r="ECP69"/>
  <c r="ECO69"/>
  <c r="ECN69"/>
  <c r="ECM69"/>
  <c r="ECL69"/>
  <c r="ECK69"/>
  <c r="ECJ69"/>
  <c r="ECI69"/>
  <c r="ECH69"/>
  <c r="ECG69"/>
  <c r="ECF69"/>
  <c r="ECE69"/>
  <c r="ECD69"/>
  <c r="ECC69"/>
  <c r="ECB69"/>
  <c r="ECA69"/>
  <c r="EBZ69"/>
  <c r="EBY69"/>
  <c r="EBX69"/>
  <c r="EBW69"/>
  <c r="EBV69"/>
  <c r="EBU69"/>
  <c r="EBT69"/>
  <c r="EBS69"/>
  <c r="EBR69"/>
  <c r="EBQ69"/>
  <c r="EBP69"/>
  <c r="EBO69"/>
  <c r="EBN69"/>
  <c r="EBM69"/>
  <c r="EBL69"/>
  <c r="EBK69"/>
  <c r="EBJ69"/>
  <c r="EBI69"/>
  <c r="EBH69"/>
  <c r="EBG69"/>
  <c r="EBF69"/>
  <c r="EBE69"/>
  <c r="EBD69"/>
  <c r="EBC69"/>
  <c r="EBB69"/>
  <c r="EBA69"/>
  <c r="EAZ69"/>
  <c r="EAY69"/>
  <c r="EAX69"/>
  <c r="EAW69"/>
  <c r="EAV69"/>
  <c r="EAU69"/>
  <c r="EAT69"/>
  <c r="EAS69"/>
  <c r="EAR69"/>
  <c r="EAQ69"/>
  <c r="EAP69"/>
  <c r="EAO69"/>
  <c r="EAN69"/>
  <c r="EAM69"/>
  <c r="EAL69"/>
  <c r="EAK69"/>
  <c r="EAJ69"/>
  <c r="EAI69"/>
  <c r="EAH69"/>
  <c r="EAG69"/>
  <c r="EAF69"/>
  <c r="EAE69"/>
  <c r="EAD69"/>
  <c r="EAC69"/>
  <c r="EAB69"/>
  <c r="EAA69"/>
  <c r="DZZ69"/>
  <c r="DZY69"/>
  <c r="DZX69"/>
  <c r="DZW69"/>
  <c r="DZV69"/>
  <c r="DZU69"/>
  <c r="DZT69"/>
  <c r="DZS69"/>
  <c r="DZR69"/>
  <c r="DZQ69"/>
  <c r="DZP69"/>
  <c r="DZO69"/>
  <c r="DZN69"/>
  <c r="DZM69"/>
  <c r="DZL69"/>
  <c r="DZK69"/>
  <c r="DZJ69"/>
  <c r="DZI69"/>
  <c r="DZH69"/>
  <c r="DZG69"/>
  <c r="DZF69"/>
  <c r="DZE69"/>
  <c r="DZD69"/>
  <c r="DZC69"/>
  <c r="DZB69"/>
  <c r="DZA69"/>
  <c r="DYZ69"/>
  <c r="DYY69"/>
  <c r="DYX69"/>
  <c r="DYW69"/>
  <c r="DYV69"/>
  <c r="DYU69"/>
  <c r="DYT69"/>
  <c r="DYS69"/>
  <c r="DYR69"/>
  <c r="DYQ69"/>
  <c r="DYP69"/>
  <c r="DYO69"/>
  <c r="DYN69"/>
  <c r="DYM69"/>
  <c r="DYL69"/>
  <c r="DYK69"/>
  <c r="DYJ69"/>
  <c r="DYI69"/>
  <c r="DYH69"/>
  <c r="DYG69"/>
  <c r="DYF69"/>
  <c r="DYE69"/>
  <c r="DYD69"/>
  <c r="DYC69"/>
  <c r="DYB69"/>
  <c r="DYA69"/>
  <c r="DXZ69"/>
  <c r="DXY69"/>
  <c r="DXX69"/>
  <c r="DXW69"/>
  <c r="DXV69"/>
  <c r="DXU69"/>
  <c r="DXT69"/>
  <c r="DXS69"/>
  <c r="DXR69"/>
  <c r="DXQ69"/>
  <c r="DXP69"/>
  <c r="DXO69"/>
  <c r="DXN69"/>
  <c r="DXM69"/>
  <c r="DXL69"/>
  <c r="DXK69"/>
  <c r="DXJ69"/>
  <c r="DXI69"/>
  <c r="DXH69"/>
  <c r="DXG69"/>
  <c r="DXF69"/>
  <c r="DXE69"/>
  <c r="DXD69"/>
  <c r="DXC69"/>
  <c r="DXB69"/>
  <c r="DXA69"/>
  <c r="DWZ69"/>
  <c r="DWY69"/>
  <c r="DWX69"/>
  <c r="DWW69"/>
  <c r="DWV69"/>
  <c r="DWU69"/>
  <c r="DWT69"/>
  <c r="DWS69"/>
  <c r="DWR69"/>
  <c r="DWQ69"/>
  <c r="DWP69"/>
  <c r="DWO69"/>
  <c r="DWN69"/>
  <c r="DWM69"/>
  <c r="DWL69"/>
  <c r="DWK69"/>
  <c r="DWJ69"/>
  <c r="DWI69"/>
  <c r="DWH69"/>
  <c r="DWG69"/>
  <c r="DWF69"/>
  <c r="DWE69"/>
  <c r="DWD69"/>
  <c r="DWC69"/>
  <c r="DWB69"/>
  <c r="DWA69"/>
  <c r="DVZ69"/>
  <c r="DVY69"/>
  <c r="DVX69"/>
  <c r="DVW69"/>
  <c r="DVV69"/>
  <c r="DVU69"/>
  <c r="DVT69"/>
  <c r="DVS69"/>
  <c r="DVR69"/>
  <c r="DVQ69"/>
  <c r="DVP69"/>
  <c r="DVO69"/>
  <c r="DVN69"/>
  <c r="DVM69"/>
  <c r="DVL69"/>
  <c r="DVK69"/>
  <c r="DVJ69"/>
  <c r="DVI69"/>
  <c r="DVH69"/>
  <c r="DVG69"/>
  <c r="DVF69"/>
  <c r="DVE69"/>
  <c r="DVD69"/>
  <c r="DVC69"/>
  <c r="DVB69"/>
  <c r="DVA69"/>
  <c r="DUZ69"/>
  <c r="DUY69"/>
  <c r="DUX69"/>
  <c r="DUW69"/>
  <c r="DUV69"/>
  <c r="DUU69"/>
  <c r="DUT69"/>
  <c r="DUS69"/>
  <c r="DUR69"/>
  <c r="DUQ69"/>
  <c r="DUP69"/>
  <c r="DUO69"/>
  <c r="DUN69"/>
  <c r="DUM69"/>
  <c r="DUL69"/>
  <c r="DUK69"/>
  <c r="DUJ69"/>
  <c r="DUI69"/>
  <c r="DUH69"/>
  <c r="DUG69"/>
  <c r="DUF69"/>
  <c r="DUE69"/>
  <c r="DUD69"/>
  <c r="DUC69"/>
  <c r="DUB69"/>
  <c r="DUA69"/>
  <c r="DTZ69"/>
  <c r="DTY69"/>
  <c r="DTX69"/>
  <c r="DTW69"/>
  <c r="DTV69"/>
  <c r="DTU69"/>
  <c r="DTT69"/>
  <c r="DTS69"/>
  <c r="DTR69"/>
  <c r="DTQ69"/>
  <c r="DTP69"/>
  <c r="DTO69"/>
  <c r="DTN69"/>
  <c r="DTM69"/>
  <c r="DTL69"/>
  <c r="DTK69"/>
  <c r="DTJ69"/>
  <c r="DTI69"/>
  <c r="DTH69"/>
  <c r="DTG69"/>
  <c r="DTF69"/>
  <c r="DTE69"/>
  <c r="DTD69"/>
  <c r="DTC69"/>
  <c r="DTB69"/>
  <c r="DTA69"/>
  <c r="DSZ69"/>
  <c r="DSY69"/>
  <c r="DSX69"/>
  <c r="DSW69"/>
  <c r="DSV69"/>
  <c r="DSU69"/>
  <c r="DST69"/>
  <c r="DSS69"/>
  <c r="DSR69"/>
  <c r="DSQ69"/>
  <c r="DSP69"/>
  <c r="DSO69"/>
  <c r="DSN69"/>
  <c r="DSM69"/>
  <c r="DSL69"/>
  <c r="DSK69"/>
  <c r="DSJ69"/>
  <c r="DSI69"/>
  <c r="DSH69"/>
  <c r="DSG69"/>
  <c r="DSF69"/>
  <c r="DSE69"/>
  <c r="DSD69"/>
  <c r="DSC69"/>
  <c r="DSB69"/>
  <c r="DSA69"/>
  <c r="DRZ69"/>
  <c r="DRY69"/>
  <c r="DRX69"/>
  <c r="DRW69"/>
  <c r="DRV69"/>
  <c r="DRU69"/>
  <c r="DRT69"/>
  <c r="DRS69"/>
  <c r="DRR69"/>
  <c r="DRQ69"/>
  <c r="DRP69"/>
  <c r="DRO69"/>
  <c r="DRN69"/>
  <c r="DRM69"/>
  <c r="DRL69"/>
  <c r="DRK69"/>
  <c r="DRJ69"/>
  <c r="DRI69"/>
  <c r="DRH69"/>
  <c r="DRG69"/>
  <c r="DRF69"/>
  <c r="DRE69"/>
  <c r="DRD69"/>
  <c r="DRC69"/>
  <c r="DRB69"/>
  <c r="DRA69"/>
  <c r="DQZ69"/>
  <c r="DQY69"/>
  <c r="DQX69"/>
  <c r="DQW69"/>
  <c r="DQV69"/>
  <c r="DQU69"/>
  <c r="DQT69"/>
  <c r="DQS69"/>
  <c r="DQR69"/>
  <c r="DQQ69"/>
  <c r="DQP69"/>
  <c r="DQO69"/>
  <c r="DQN69"/>
  <c r="DQM69"/>
  <c r="DQL69"/>
  <c r="DQK69"/>
  <c r="DQJ69"/>
  <c r="DQI69"/>
  <c r="DQH69"/>
  <c r="DQG69"/>
  <c r="DQF69"/>
  <c r="DQE69"/>
  <c r="DQD69"/>
  <c r="DQC69"/>
  <c r="DQB69"/>
  <c r="DQA69"/>
  <c r="DPZ69"/>
  <c r="DPY69"/>
  <c r="DPX69"/>
  <c r="DPW69"/>
  <c r="DPV69"/>
  <c r="DPU69"/>
  <c r="DPT69"/>
  <c r="DPS69"/>
  <c r="DPR69"/>
  <c r="DPQ69"/>
  <c r="DPP69"/>
  <c r="DPO69"/>
  <c r="DPN69"/>
  <c r="DPM69"/>
  <c r="DPL69"/>
  <c r="DPK69"/>
  <c r="DPJ69"/>
  <c r="DPI69"/>
  <c r="DPH69"/>
  <c r="DPG69"/>
  <c r="DPF69"/>
  <c r="DPE69"/>
  <c r="DPD69"/>
  <c r="DPC69"/>
  <c r="DPB69"/>
  <c r="DPA69"/>
  <c r="DOZ69"/>
  <c r="DOY69"/>
  <c r="DOX69"/>
  <c r="DOW69"/>
  <c r="DOV69"/>
  <c r="DOU69"/>
  <c r="DOT69"/>
  <c r="DOS69"/>
  <c r="DOR69"/>
  <c r="DOQ69"/>
  <c r="DOP69"/>
  <c r="DOO69"/>
  <c r="DON69"/>
  <c r="DOM69"/>
  <c r="DOL69"/>
  <c r="DOK69"/>
  <c r="DOJ69"/>
  <c r="DOI69"/>
  <c r="DOH69"/>
  <c r="DOG69"/>
  <c r="DOF69"/>
  <c r="DOE69"/>
  <c r="DOD69"/>
  <c r="DOC69"/>
  <c r="DOB69"/>
  <c r="DOA69"/>
  <c r="DNZ69"/>
  <c r="DNY69"/>
  <c r="DNX69"/>
  <c r="DNW69"/>
  <c r="DNV69"/>
  <c r="DNU69"/>
  <c r="DNT69"/>
  <c r="DNS69"/>
  <c r="DNR69"/>
  <c r="DNQ69"/>
  <c r="DNP69"/>
  <c r="DNO69"/>
  <c r="DNN69"/>
  <c r="DNM69"/>
  <c r="DNL69"/>
  <c r="DNK69"/>
  <c r="DNJ69"/>
  <c r="DNI69"/>
  <c r="DNH69"/>
  <c r="DNG69"/>
  <c r="DNF69"/>
  <c r="DNE69"/>
  <c r="DND69"/>
  <c r="DNC69"/>
  <c r="DNB69"/>
  <c r="DNA69"/>
  <c r="DMZ69"/>
  <c r="DMY69"/>
  <c r="DMX69"/>
  <c r="DMW69"/>
  <c r="DMV69"/>
  <c r="DMU69"/>
  <c r="DMT69"/>
  <c r="DMS69"/>
  <c r="DMR69"/>
  <c r="DMQ69"/>
  <c r="DMP69"/>
  <c r="DMO69"/>
  <c r="DMN69"/>
  <c r="DMM69"/>
  <c r="DML69"/>
  <c r="DMK69"/>
  <c r="DMJ69"/>
  <c r="DMI69"/>
  <c r="DMH69"/>
  <c r="DMG69"/>
  <c r="DMF69"/>
  <c r="DME69"/>
  <c r="DMD69"/>
  <c r="DMC69"/>
  <c r="DMB69"/>
  <c r="DMA69"/>
  <c r="DLZ69"/>
  <c r="DLY69"/>
  <c r="DLX69"/>
  <c r="DLW69"/>
  <c r="DLV69"/>
  <c r="DLU69"/>
  <c r="DLT69"/>
  <c r="DLS69"/>
  <c r="DLR69"/>
  <c r="DLQ69"/>
  <c r="DLP69"/>
  <c r="DLO69"/>
  <c r="DLN69"/>
  <c r="DLM69"/>
  <c r="DLL69"/>
  <c r="DLK69"/>
  <c r="DLJ69"/>
  <c r="DLI69"/>
  <c r="DLH69"/>
  <c r="DLG69"/>
  <c r="DLF69"/>
  <c r="DLE69"/>
  <c r="DLD69"/>
  <c r="DLC69"/>
  <c r="DLB69"/>
  <c r="DLA69"/>
  <c r="DKZ69"/>
  <c r="DKY69"/>
  <c r="DKX69"/>
  <c r="DKW69"/>
  <c r="DKV69"/>
  <c r="DKU69"/>
  <c r="DKT69"/>
  <c r="DKS69"/>
  <c r="DKR69"/>
  <c r="DKQ69"/>
  <c r="DKP69"/>
  <c r="DKO69"/>
  <c r="DKN69"/>
  <c r="DKM69"/>
  <c r="DKL69"/>
  <c r="DKK69"/>
  <c r="DKJ69"/>
  <c r="DKI69"/>
  <c r="DKH69"/>
  <c r="DKG69"/>
  <c r="DKF69"/>
  <c r="DKE69"/>
  <c r="DKD69"/>
  <c r="DKC69"/>
  <c r="DKB69"/>
  <c r="DKA69"/>
  <c r="DJZ69"/>
  <c r="DJY69"/>
  <c r="DJX69"/>
  <c r="DJW69"/>
  <c r="DJV69"/>
  <c r="DJU69"/>
  <c r="DJT69"/>
  <c r="DJS69"/>
  <c r="DJR69"/>
  <c r="DJQ69"/>
  <c r="DJP69"/>
  <c r="DJO69"/>
  <c r="DJN69"/>
  <c r="DJM69"/>
  <c r="DJL69"/>
  <c r="DJK69"/>
  <c r="DJJ69"/>
  <c r="DJI69"/>
  <c r="DJH69"/>
  <c r="DJG69"/>
  <c r="DJF69"/>
  <c r="DJE69"/>
  <c r="DJD69"/>
  <c r="DJC69"/>
  <c r="DJB69"/>
  <c r="DJA69"/>
  <c r="DIZ69"/>
  <c r="DIY69"/>
  <c r="DIX69"/>
  <c r="DIW69"/>
  <c r="DIV69"/>
  <c r="DIU69"/>
  <c r="DIT69"/>
  <c r="DIS69"/>
  <c r="DIR69"/>
  <c r="DIQ69"/>
  <c r="DIP69"/>
  <c r="DIO69"/>
  <c r="DIN69"/>
  <c r="DIM69"/>
  <c r="DIL69"/>
  <c r="DIK69"/>
  <c r="DIJ69"/>
  <c r="DII69"/>
  <c r="DIH69"/>
  <c r="DIG69"/>
  <c r="DIF69"/>
  <c r="DIE69"/>
  <c r="DID69"/>
  <c r="DIC69"/>
  <c r="DIB69"/>
  <c r="DIA69"/>
  <c r="DHZ69"/>
  <c r="DHY69"/>
  <c r="DHX69"/>
  <c r="DHW69"/>
  <c r="DHV69"/>
  <c r="DHU69"/>
  <c r="DHT69"/>
  <c r="DHS69"/>
  <c r="DHR69"/>
  <c r="DHQ69"/>
  <c r="DHP69"/>
  <c r="DHO69"/>
  <c r="DHN69"/>
  <c r="DHM69"/>
  <c r="DHL69"/>
  <c r="DHK69"/>
  <c r="DHJ69"/>
  <c r="DHI69"/>
  <c r="DHH69"/>
  <c r="DHG69"/>
  <c r="DHF69"/>
  <c r="DHE69"/>
  <c r="DHD69"/>
  <c r="DHC69"/>
  <c r="DHB69"/>
  <c r="DHA69"/>
  <c r="DGZ69"/>
  <c r="DGY69"/>
  <c r="DGX69"/>
  <c r="DGW69"/>
  <c r="DGV69"/>
  <c r="DGU69"/>
  <c r="DGT69"/>
  <c r="DGS69"/>
  <c r="DGR69"/>
  <c r="DGQ69"/>
  <c r="DGP69"/>
  <c r="DGO69"/>
  <c r="DGN69"/>
  <c r="DGM69"/>
  <c r="DGL69"/>
  <c r="DGK69"/>
  <c r="DGJ69"/>
  <c r="DGI69"/>
  <c r="DGH69"/>
  <c r="DGG69"/>
  <c r="DGF69"/>
  <c r="DGE69"/>
  <c r="DGD69"/>
  <c r="DGC69"/>
  <c r="DGB69"/>
  <c r="DGA69"/>
  <c r="DFZ69"/>
  <c r="DFY69"/>
  <c r="DFX69"/>
  <c r="DFW69"/>
  <c r="DFV69"/>
  <c r="DFU69"/>
  <c r="DFT69"/>
  <c r="DFS69"/>
  <c r="DFR69"/>
  <c r="DFQ69"/>
  <c r="DFP69"/>
  <c r="DFO69"/>
  <c r="DFN69"/>
  <c r="DFM69"/>
  <c r="DFL69"/>
  <c r="DFK69"/>
  <c r="DFJ69"/>
  <c r="DFI69"/>
  <c r="DFH69"/>
  <c r="DFG69"/>
  <c r="DFF69"/>
  <c r="DFE69"/>
  <c r="DFD69"/>
  <c r="DFC69"/>
  <c r="DFB69"/>
  <c r="DFA69"/>
  <c r="DEZ69"/>
  <c r="DEY69"/>
  <c r="DEX69"/>
  <c r="DEW69"/>
  <c r="DEV69"/>
  <c r="DEU69"/>
  <c r="DET69"/>
  <c r="DES69"/>
  <c r="DER69"/>
  <c r="DEQ69"/>
  <c r="DEP69"/>
  <c r="DEO69"/>
  <c r="DEN69"/>
  <c r="DEM69"/>
  <c r="DEL69"/>
  <c r="DEK69"/>
  <c r="DEJ69"/>
  <c r="DEI69"/>
  <c r="DEH69"/>
  <c r="DEG69"/>
  <c r="DEF69"/>
  <c r="DEE69"/>
  <c r="DED69"/>
  <c r="DEC69"/>
  <c r="DEB69"/>
  <c r="DEA69"/>
  <c r="DDZ69"/>
  <c r="DDY69"/>
  <c r="DDX69"/>
  <c r="DDW69"/>
  <c r="DDV69"/>
  <c r="DDU69"/>
  <c r="DDT69"/>
  <c r="DDS69"/>
  <c r="DDR69"/>
  <c r="DDQ69"/>
  <c r="DDP69"/>
  <c r="DDO69"/>
  <c r="DDN69"/>
  <c r="DDM69"/>
  <c r="DDL69"/>
  <c r="DDK69"/>
  <c r="DDJ69"/>
  <c r="DDI69"/>
  <c r="DDH69"/>
  <c r="DDG69"/>
  <c r="DDF69"/>
  <c r="DDE69"/>
  <c r="DDD69"/>
  <c r="DDC69"/>
  <c r="DDB69"/>
  <c r="DDA69"/>
  <c r="DCZ69"/>
  <c r="DCY69"/>
  <c r="DCX69"/>
  <c r="DCW69"/>
  <c r="DCV69"/>
  <c r="DCU69"/>
  <c r="DCT69"/>
  <c r="DCS69"/>
  <c r="DCR69"/>
  <c r="DCQ69"/>
  <c r="DCP69"/>
  <c r="DCO69"/>
  <c r="DCN69"/>
  <c r="DCM69"/>
  <c r="DCL69"/>
  <c r="DCK69"/>
  <c r="DCJ69"/>
  <c r="DCI69"/>
  <c r="DCH69"/>
  <c r="DCG69"/>
  <c r="DCF69"/>
  <c r="DCE69"/>
  <c r="DCD69"/>
  <c r="DCC69"/>
  <c r="DCB69"/>
  <c r="DCA69"/>
  <c r="DBZ69"/>
  <c r="DBY69"/>
  <c r="DBX69"/>
  <c r="DBW69"/>
  <c r="DBV69"/>
  <c r="DBU69"/>
  <c r="DBT69"/>
  <c r="DBS69"/>
  <c r="DBR69"/>
  <c r="DBQ69"/>
  <c r="DBP69"/>
  <c r="DBO69"/>
  <c r="DBN69"/>
  <c r="DBM69"/>
  <c r="DBL69"/>
  <c r="DBK69"/>
  <c r="DBJ69"/>
  <c r="DBI69"/>
  <c r="DBH69"/>
  <c r="DBG69"/>
  <c r="DBF69"/>
  <c r="DBE69"/>
  <c r="DBD69"/>
  <c r="DBC69"/>
  <c r="DBB69"/>
  <c r="DBA69"/>
  <c r="DAZ69"/>
  <c r="DAY69"/>
  <c r="DAX69"/>
  <c r="DAW69"/>
  <c r="DAV69"/>
  <c r="DAU69"/>
  <c r="DAT69"/>
  <c r="DAS69"/>
  <c r="DAR69"/>
  <c r="DAQ69"/>
  <c r="DAP69"/>
  <c r="DAO69"/>
  <c r="DAN69"/>
  <c r="DAM69"/>
  <c r="DAL69"/>
  <c r="DAK69"/>
  <c r="DAJ69"/>
  <c r="DAI69"/>
  <c r="DAH69"/>
  <c r="DAG69"/>
  <c r="DAF69"/>
  <c r="DAE69"/>
  <c r="DAD69"/>
  <c r="DAC69"/>
  <c r="DAB69"/>
  <c r="DAA69"/>
  <c r="CZZ69"/>
  <c r="CZY69"/>
  <c r="CZX69"/>
  <c r="CZW69"/>
  <c r="CZV69"/>
  <c r="CZU69"/>
  <c r="CZT69"/>
  <c r="CZS69"/>
  <c r="CZR69"/>
  <c r="CZQ69"/>
  <c r="CZP69"/>
  <c r="CZO69"/>
  <c r="CZN69"/>
  <c r="CZM69"/>
  <c r="CZL69"/>
  <c r="CZK69"/>
  <c r="CZJ69"/>
  <c r="CZI69"/>
  <c r="CZH69"/>
  <c r="CZG69"/>
  <c r="CZF69"/>
  <c r="CZE69"/>
  <c r="CZD69"/>
  <c r="CZC69"/>
  <c r="CZB69"/>
  <c r="CZA69"/>
  <c r="CYZ69"/>
  <c r="CYY69"/>
  <c r="CYX69"/>
  <c r="CYW69"/>
  <c r="CYV69"/>
  <c r="CYU69"/>
  <c r="CYT69"/>
  <c r="CYS69"/>
  <c r="CYR69"/>
  <c r="CYQ69"/>
  <c r="CYP69"/>
  <c r="CYO69"/>
  <c r="CYN69"/>
  <c r="CYM69"/>
  <c r="CYL69"/>
  <c r="CYK69"/>
  <c r="CYJ69"/>
  <c r="CYI69"/>
  <c r="CYH69"/>
  <c r="CYG69"/>
  <c r="CYF69"/>
  <c r="CYE69"/>
  <c r="CYD69"/>
  <c r="CYC69"/>
  <c r="CYB69"/>
  <c r="CYA69"/>
  <c r="CXZ69"/>
  <c r="CXY69"/>
  <c r="CXX69"/>
  <c r="CXW69"/>
  <c r="CXV69"/>
  <c r="CXU69"/>
  <c r="CXT69"/>
  <c r="CXS69"/>
  <c r="CXR69"/>
  <c r="CXQ69"/>
  <c r="CXP69"/>
  <c r="CXO69"/>
  <c r="CXN69"/>
  <c r="CXM69"/>
  <c r="CXL69"/>
  <c r="CXK69"/>
  <c r="CXJ69"/>
  <c r="CXI69"/>
  <c r="CXH69"/>
  <c r="CXG69"/>
  <c r="CXF69"/>
  <c r="CXE69"/>
  <c r="CXD69"/>
  <c r="CXC69"/>
  <c r="CXB69"/>
  <c r="CXA69"/>
  <c r="CWZ69"/>
  <c r="CWY69"/>
  <c r="CWX69"/>
  <c r="CWW69"/>
  <c r="CWV69"/>
  <c r="CWU69"/>
  <c r="CWT69"/>
  <c r="CWS69"/>
  <c r="CWR69"/>
  <c r="CWQ69"/>
  <c r="CWP69"/>
  <c r="CWO69"/>
  <c r="CWN69"/>
  <c r="CWM69"/>
  <c r="CWL69"/>
  <c r="CWK69"/>
  <c r="CWJ69"/>
  <c r="CWI69"/>
  <c r="CWH69"/>
  <c r="CWG69"/>
  <c r="CWF69"/>
  <c r="CWE69"/>
  <c r="CWD69"/>
  <c r="CWC69"/>
  <c r="CWB69"/>
  <c r="CWA69"/>
  <c r="CVZ69"/>
  <c r="CVY69"/>
  <c r="CVX69"/>
  <c r="CVW69"/>
  <c r="CVV69"/>
  <c r="CVU69"/>
  <c r="CVT69"/>
  <c r="CVS69"/>
  <c r="CVR69"/>
  <c r="CVQ69"/>
  <c r="CVP69"/>
  <c r="CVO69"/>
  <c r="CVN69"/>
  <c r="CVM69"/>
  <c r="CVL69"/>
  <c r="CVK69"/>
  <c r="CVJ69"/>
  <c r="CVI69"/>
  <c r="CVH69"/>
  <c r="CVG69"/>
  <c r="CVF69"/>
  <c r="CVE69"/>
  <c r="CVD69"/>
  <c r="CVC69"/>
  <c r="CVB69"/>
  <c r="CVA69"/>
  <c r="CUZ69"/>
  <c r="CUY69"/>
  <c r="CUX69"/>
  <c r="CUW69"/>
  <c r="CUV69"/>
  <c r="CUU69"/>
  <c r="CUT69"/>
  <c r="CUS69"/>
  <c r="CUR69"/>
  <c r="CUQ69"/>
  <c r="CUP69"/>
  <c r="CUO69"/>
  <c r="CUN69"/>
  <c r="CUM69"/>
  <c r="CUL69"/>
  <c r="CUK69"/>
  <c r="CUJ69"/>
  <c r="CUI69"/>
  <c r="CUH69"/>
  <c r="CUG69"/>
  <c r="CUF69"/>
  <c r="CUE69"/>
  <c r="CUD69"/>
  <c r="CUC69"/>
  <c r="CUB69"/>
  <c r="CUA69"/>
  <c r="CTZ69"/>
  <c r="CTY69"/>
  <c r="CTX69"/>
  <c r="CTW69"/>
  <c r="CTV69"/>
  <c r="CTU69"/>
  <c r="CTT69"/>
  <c r="CTS69"/>
  <c r="CTR69"/>
  <c r="CTQ69"/>
  <c r="CTP69"/>
  <c r="CTO69"/>
  <c r="CTN69"/>
  <c r="CTM69"/>
  <c r="CTL69"/>
  <c r="CTK69"/>
  <c r="CTJ69"/>
  <c r="CTI69"/>
  <c r="CTH69"/>
  <c r="CTG69"/>
  <c r="CTF69"/>
  <c r="CTE69"/>
  <c r="CTD69"/>
  <c r="CTC69"/>
  <c r="CTB69"/>
  <c r="CTA69"/>
  <c r="CSZ69"/>
  <c r="CSY69"/>
  <c r="CSX69"/>
  <c r="CSW69"/>
  <c r="CSV69"/>
  <c r="CSU69"/>
  <c r="CST69"/>
  <c r="CSS69"/>
  <c r="CSR69"/>
  <c r="CSQ69"/>
  <c r="CSP69"/>
  <c r="CSO69"/>
  <c r="CSN69"/>
  <c r="CSM69"/>
  <c r="CSL69"/>
  <c r="CSK69"/>
  <c r="CSJ69"/>
  <c r="CSI69"/>
  <c r="CSH69"/>
  <c r="CSG69"/>
  <c r="CSF69"/>
  <c r="CSE69"/>
  <c r="CSD69"/>
  <c r="CSC69"/>
  <c r="CSB69"/>
  <c r="CSA69"/>
  <c r="CRZ69"/>
  <c r="CRY69"/>
  <c r="CRX69"/>
  <c r="CRW69"/>
  <c r="CRV69"/>
  <c r="CRU69"/>
  <c r="CRT69"/>
  <c r="CRS69"/>
  <c r="CRR69"/>
  <c r="CRQ69"/>
  <c r="CRP69"/>
  <c r="CRO69"/>
  <c r="CRN69"/>
  <c r="CRM69"/>
  <c r="CRL69"/>
  <c r="CRK69"/>
  <c r="CRJ69"/>
  <c r="CRI69"/>
  <c r="CRH69"/>
  <c r="CRG69"/>
  <c r="CRF69"/>
  <c r="CRE69"/>
  <c r="CRD69"/>
  <c r="CRC69"/>
  <c r="CRB69"/>
  <c r="CRA69"/>
  <c r="CQZ69"/>
  <c r="CQY69"/>
  <c r="CQX69"/>
  <c r="CQW69"/>
  <c r="CQV69"/>
  <c r="CQU69"/>
  <c r="CQT69"/>
  <c r="CQS69"/>
  <c r="CQR69"/>
  <c r="CQQ69"/>
  <c r="CQP69"/>
  <c r="CQO69"/>
  <c r="CQN69"/>
  <c r="CQM69"/>
  <c r="CQL69"/>
  <c r="CQK69"/>
  <c r="CQJ69"/>
  <c r="CQI69"/>
  <c r="CQH69"/>
  <c r="CQG69"/>
  <c r="CQF69"/>
  <c r="CQE69"/>
  <c r="CQD69"/>
  <c r="CQC69"/>
  <c r="CQB69"/>
  <c r="CQA69"/>
  <c r="CPZ69"/>
  <c r="CPY69"/>
  <c r="CPX69"/>
  <c r="CPW69"/>
  <c r="CPV69"/>
  <c r="CPU69"/>
  <c r="CPT69"/>
  <c r="CPS69"/>
  <c r="CPR69"/>
  <c r="CPQ69"/>
  <c r="CPP69"/>
  <c r="CPO69"/>
  <c r="CPN69"/>
  <c r="CPM69"/>
  <c r="CPL69"/>
  <c r="CPK69"/>
  <c r="CPJ69"/>
  <c r="CPI69"/>
  <c r="CPH69"/>
  <c r="CPG69"/>
  <c r="CPF69"/>
  <c r="CPE69"/>
  <c r="CPD69"/>
  <c r="CPC69"/>
  <c r="CPB69"/>
  <c r="CPA69"/>
  <c r="COZ69"/>
  <c r="COY69"/>
  <c r="COX69"/>
  <c r="COW69"/>
  <c r="COV69"/>
  <c r="COU69"/>
  <c r="COT69"/>
  <c r="COS69"/>
  <c r="COR69"/>
  <c r="COQ69"/>
  <c r="COP69"/>
  <c r="COO69"/>
  <c r="CON69"/>
  <c r="COM69"/>
  <c r="COL69"/>
  <c r="COK69"/>
  <c r="COJ69"/>
  <c r="COI69"/>
  <c r="COH69"/>
  <c r="COG69"/>
  <c r="COF69"/>
  <c r="COE69"/>
  <c r="COD69"/>
  <c r="COC69"/>
  <c r="COB69"/>
  <c r="COA69"/>
  <c r="CNZ69"/>
  <c r="CNY69"/>
  <c r="CNX69"/>
  <c r="CNW69"/>
  <c r="CNV69"/>
  <c r="CNU69"/>
  <c r="CNT69"/>
  <c r="CNS69"/>
  <c r="CNR69"/>
  <c r="CNQ69"/>
  <c r="CNP69"/>
  <c r="CNO69"/>
  <c r="CNN69"/>
  <c r="CNM69"/>
  <c r="CNL69"/>
  <c r="CNK69"/>
  <c r="CNJ69"/>
  <c r="CNI69"/>
  <c r="CNH69"/>
  <c r="CNG69"/>
  <c r="CNF69"/>
  <c r="CNE69"/>
  <c r="CND69"/>
  <c r="CNC69"/>
  <c r="CNB69"/>
  <c r="CNA69"/>
  <c r="CMZ69"/>
  <c r="CMY69"/>
  <c r="CMX69"/>
  <c r="CMW69"/>
  <c r="CMV69"/>
  <c r="CMU69"/>
  <c r="CMT69"/>
  <c r="CMS69"/>
  <c r="CMR69"/>
  <c r="CMQ69"/>
  <c r="CMP69"/>
  <c r="CMO69"/>
  <c r="CMN69"/>
  <c r="CMM69"/>
  <c r="CML69"/>
  <c r="CMK69"/>
  <c r="CMJ69"/>
  <c r="CMI69"/>
  <c r="CMH69"/>
  <c r="CMG69"/>
  <c r="CMF69"/>
  <c r="CME69"/>
  <c r="CMD69"/>
  <c r="CMC69"/>
  <c r="CMB69"/>
  <c r="CMA69"/>
  <c r="CLZ69"/>
  <c r="CLY69"/>
  <c r="CLX69"/>
  <c r="CLW69"/>
  <c r="CLV69"/>
  <c r="CLU69"/>
  <c r="CLT69"/>
  <c r="CLS69"/>
  <c r="CLR69"/>
  <c r="CLQ69"/>
  <c r="CLP69"/>
  <c r="CLO69"/>
  <c r="CLN69"/>
  <c r="CLM69"/>
  <c r="CLL69"/>
  <c r="CLK69"/>
  <c r="CLJ69"/>
  <c r="CLI69"/>
  <c r="CLH69"/>
  <c r="CLG69"/>
  <c r="CLF69"/>
  <c r="CLE69"/>
  <c r="CLD69"/>
  <c r="CLC69"/>
  <c r="CLB69"/>
  <c r="CLA69"/>
  <c r="CKZ69"/>
  <c r="CKY69"/>
  <c r="CKX69"/>
  <c r="CKW69"/>
  <c r="CKV69"/>
  <c r="CKU69"/>
  <c r="CKT69"/>
  <c r="CKS69"/>
  <c r="CKR69"/>
  <c r="CKQ69"/>
  <c r="CKP69"/>
  <c r="CKO69"/>
  <c r="CKN69"/>
  <c r="CKM69"/>
  <c r="CKL69"/>
  <c r="CKK69"/>
  <c r="CKJ69"/>
  <c r="CKI69"/>
  <c r="CKH69"/>
  <c r="CKG69"/>
  <c r="CKF69"/>
  <c r="CKE69"/>
  <c r="CKD69"/>
  <c r="CKC69"/>
  <c r="CKB69"/>
  <c r="CKA69"/>
  <c r="CJZ69"/>
  <c r="CJY69"/>
  <c r="CJX69"/>
  <c r="CJW69"/>
  <c r="CJV69"/>
  <c r="CJU69"/>
  <c r="CJT69"/>
  <c r="CJS69"/>
  <c r="CJR69"/>
  <c r="CJQ69"/>
  <c r="CJP69"/>
  <c r="CJO69"/>
  <c r="CJN69"/>
  <c r="CJM69"/>
  <c r="CJL69"/>
  <c r="CJK69"/>
  <c r="CJJ69"/>
  <c r="CJI69"/>
  <c r="CJH69"/>
  <c r="CJG69"/>
  <c r="CJF69"/>
  <c r="CJE69"/>
  <c r="CJD69"/>
  <c r="CJC69"/>
  <c r="CJB69"/>
  <c r="CJA69"/>
  <c r="CIZ69"/>
  <c r="CIY69"/>
  <c r="CIX69"/>
  <c r="CIW69"/>
  <c r="CIV69"/>
  <c r="CIU69"/>
  <c r="CIT69"/>
  <c r="CIS69"/>
  <c r="CIR69"/>
  <c r="CIQ69"/>
  <c r="CIP69"/>
  <c r="CIO69"/>
  <c r="CIN69"/>
  <c r="CIM69"/>
  <c r="CIL69"/>
  <c r="CIK69"/>
  <c r="CIJ69"/>
  <c r="CII69"/>
  <c r="CIH69"/>
  <c r="CIG69"/>
  <c r="CIF69"/>
  <c r="CIE69"/>
  <c r="CID69"/>
  <c r="CIC69"/>
  <c r="CIB69"/>
  <c r="CIA69"/>
  <c r="CHZ69"/>
  <c r="CHY69"/>
  <c r="CHX69"/>
  <c r="CHW69"/>
  <c r="CHV69"/>
  <c r="CHU69"/>
  <c r="CHT69"/>
  <c r="CHS69"/>
  <c r="CHR69"/>
  <c r="CHQ69"/>
  <c r="CHP69"/>
  <c r="CHO69"/>
  <c r="CHN69"/>
  <c r="CHM69"/>
  <c r="CHL69"/>
  <c r="CHK69"/>
  <c r="CHJ69"/>
  <c r="CHI69"/>
  <c r="CHH69"/>
  <c r="CHG69"/>
  <c r="CHF69"/>
  <c r="CHE69"/>
  <c r="CHD69"/>
  <c r="CHC69"/>
  <c r="CHB69"/>
  <c r="CHA69"/>
  <c r="CGZ69"/>
  <c r="CGY69"/>
  <c r="CGX69"/>
  <c r="CGW69"/>
  <c r="CGV69"/>
  <c r="CGU69"/>
  <c r="CGT69"/>
  <c r="CGS69"/>
  <c r="CGR69"/>
  <c r="CGQ69"/>
  <c r="CGP69"/>
  <c r="CGO69"/>
  <c r="CGN69"/>
  <c r="CGM69"/>
  <c r="CGL69"/>
  <c r="CGK69"/>
  <c r="CGJ69"/>
  <c r="CGI69"/>
  <c r="CGH69"/>
  <c r="CGG69"/>
  <c r="CGF69"/>
  <c r="CGE69"/>
  <c r="CGD69"/>
  <c r="CGC69"/>
  <c r="CGB69"/>
  <c r="CGA69"/>
  <c r="CFZ69"/>
  <c r="CFY69"/>
  <c r="CFX69"/>
  <c r="CFW69"/>
  <c r="CFV69"/>
  <c r="CFU69"/>
  <c r="CFT69"/>
  <c r="CFS69"/>
  <c r="CFR69"/>
  <c r="CFQ69"/>
  <c r="CFP69"/>
  <c r="CFO69"/>
  <c r="CFN69"/>
  <c r="CFM69"/>
  <c r="CFL69"/>
  <c r="CFK69"/>
  <c r="CFJ69"/>
  <c r="CFI69"/>
  <c r="CFH69"/>
  <c r="CFG69"/>
  <c r="CFF69"/>
  <c r="CFE69"/>
  <c r="CFD69"/>
  <c r="CFC69"/>
  <c r="CFB69"/>
  <c r="CFA69"/>
  <c r="CEZ69"/>
  <c r="CEY69"/>
  <c r="CEX69"/>
  <c r="CEW69"/>
  <c r="CEV69"/>
  <c r="CEU69"/>
  <c r="CET69"/>
  <c r="CES69"/>
  <c r="CER69"/>
  <c r="CEQ69"/>
  <c r="CEP69"/>
  <c r="CEO69"/>
  <c r="CEN69"/>
  <c r="CEM69"/>
  <c r="CEL69"/>
  <c r="CEK69"/>
  <c r="CEJ69"/>
  <c r="CEI69"/>
  <c r="CEH69"/>
  <c r="CEG69"/>
  <c r="CEF69"/>
  <c r="CEE69"/>
  <c r="CED69"/>
  <c r="CEC69"/>
  <c r="CEB69"/>
  <c r="CEA69"/>
  <c r="CDZ69"/>
  <c r="CDY69"/>
  <c r="CDX69"/>
  <c r="CDW69"/>
  <c r="CDV69"/>
  <c r="CDU69"/>
  <c r="CDT69"/>
  <c r="CDS69"/>
  <c r="CDR69"/>
  <c r="CDQ69"/>
  <c r="CDP69"/>
  <c r="CDO69"/>
  <c r="CDN69"/>
  <c r="CDM69"/>
  <c r="CDL69"/>
  <c r="CDK69"/>
  <c r="CDJ69"/>
  <c r="CDI69"/>
  <c r="CDH69"/>
  <c r="CDG69"/>
  <c r="CDF69"/>
  <c r="CDE69"/>
  <c r="CDD69"/>
  <c r="CDC69"/>
  <c r="CDB69"/>
  <c r="CDA69"/>
  <c r="CCZ69"/>
  <c r="CCY69"/>
  <c r="CCX69"/>
  <c r="CCW69"/>
  <c r="CCV69"/>
  <c r="CCU69"/>
  <c r="CCT69"/>
  <c r="CCS69"/>
  <c r="CCR69"/>
  <c r="CCQ69"/>
  <c r="CCP69"/>
  <c r="CCO69"/>
  <c r="CCN69"/>
  <c r="CCM69"/>
  <c r="CCL69"/>
  <c r="CCK69"/>
  <c r="CCJ69"/>
  <c r="CCI69"/>
  <c r="CCH69"/>
  <c r="CCG69"/>
  <c r="CCF69"/>
  <c r="CCE69"/>
  <c r="CCD69"/>
  <c r="CCC69"/>
  <c r="CCB69"/>
  <c r="CCA69"/>
  <c r="CBZ69"/>
  <c r="CBY69"/>
  <c r="CBX69"/>
  <c r="CBW69"/>
  <c r="CBV69"/>
  <c r="CBU69"/>
  <c r="CBT69"/>
  <c r="CBS69"/>
  <c r="CBR69"/>
  <c r="CBQ69"/>
  <c r="CBP69"/>
  <c r="CBO69"/>
  <c r="CBN69"/>
  <c r="CBM69"/>
  <c r="CBL69"/>
  <c r="CBK69"/>
  <c r="CBJ69"/>
  <c r="CBI69"/>
  <c r="CBH69"/>
  <c r="CBG69"/>
  <c r="CBF69"/>
  <c r="CBE69"/>
  <c r="CBD69"/>
  <c r="CBC69"/>
  <c r="CBB69"/>
  <c r="CBA69"/>
  <c r="CAZ69"/>
  <c r="CAY69"/>
  <c r="CAX69"/>
  <c r="CAW69"/>
  <c r="CAV69"/>
  <c r="CAU69"/>
  <c r="CAT69"/>
  <c r="CAS69"/>
  <c r="CAR69"/>
  <c r="CAQ69"/>
  <c r="CAP69"/>
  <c r="CAO69"/>
  <c r="CAN69"/>
  <c r="CAM69"/>
  <c r="CAL69"/>
  <c r="CAK69"/>
  <c r="CAJ69"/>
  <c r="CAI69"/>
  <c r="CAH69"/>
  <c r="CAG69"/>
  <c r="CAF69"/>
  <c r="CAE69"/>
  <c r="CAD69"/>
  <c r="CAC69"/>
  <c r="CAB69"/>
  <c r="CAA69"/>
  <c r="BZZ69"/>
  <c r="BZY69"/>
  <c r="BZX69"/>
  <c r="BZW69"/>
  <c r="BZV69"/>
  <c r="BZU69"/>
  <c r="BZT69"/>
  <c r="BZS69"/>
  <c r="BZR69"/>
  <c r="BZQ69"/>
  <c r="BZP69"/>
  <c r="BZO69"/>
  <c r="BZN69"/>
  <c r="BZM69"/>
  <c r="BZL69"/>
  <c r="BZK69"/>
  <c r="BZJ69"/>
  <c r="BZI69"/>
  <c r="BZH69"/>
  <c r="BZG69"/>
  <c r="BZF69"/>
  <c r="BZE69"/>
  <c r="BZD69"/>
  <c r="BZC69"/>
  <c r="BZB69"/>
  <c r="BZA69"/>
  <c r="BYZ69"/>
  <c r="BYY69"/>
  <c r="BYX69"/>
  <c r="BYW69"/>
  <c r="BYV69"/>
  <c r="BYU69"/>
  <c r="BYT69"/>
  <c r="BYS69"/>
  <c r="BYR69"/>
  <c r="BYQ69"/>
  <c r="BYP69"/>
  <c r="BYO69"/>
  <c r="BYN69"/>
  <c r="BYM69"/>
  <c r="BYL69"/>
  <c r="BYK69"/>
  <c r="BYJ69"/>
  <c r="BYI69"/>
  <c r="BYH69"/>
  <c r="BYG69"/>
  <c r="BYF69"/>
  <c r="BYE69"/>
  <c r="BYD69"/>
  <c r="BYC69"/>
  <c r="BYB69"/>
  <c r="BYA69"/>
  <c r="BXZ69"/>
  <c r="BXY69"/>
  <c r="BXX69"/>
  <c r="BXW69"/>
  <c r="BXV69"/>
  <c r="BXU69"/>
  <c r="BXT69"/>
  <c r="BXS69"/>
  <c r="BXR69"/>
  <c r="BXQ69"/>
  <c r="BXP69"/>
  <c r="BXO69"/>
  <c r="BXN69"/>
  <c r="BXM69"/>
  <c r="BXL69"/>
  <c r="BXK69"/>
  <c r="BXJ69"/>
  <c r="BXI69"/>
  <c r="BXH69"/>
  <c r="BXG69"/>
  <c r="BXF69"/>
  <c r="BXE69"/>
  <c r="BXD69"/>
  <c r="BXC69"/>
  <c r="BXB69"/>
  <c r="BXA69"/>
  <c r="BWZ69"/>
  <c r="BWY69"/>
  <c r="BWX69"/>
  <c r="BWW69"/>
  <c r="BWV69"/>
  <c r="BWU69"/>
  <c r="BWT69"/>
  <c r="BWS69"/>
  <c r="BWR69"/>
  <c r="BWQ69"/>
  <c r="BWP69"/>
  <c r="BWO69"/>
  <c r="BWN69"/>
  <c r="BWM69"/>
  <c r="BWL69"/>
  <c r="BWK69"/>
  <c r="BWJ69"/>
  <c r="BWI69"/>
  <c r="BWH69"/>
  <c r="BWG69"/>
  <c r="BWF69"/>
  <c r="BWE69"/>
  <c r="BWD69"/>
  <c r="BWC69"/>
  <c r="BWB69"/>
  <c r="BWA69"/>
  <c r="BVZ69"/>
  <c r="BVY69"/>
  <c r="BVX69"/>
  <c r="BVW69"/>
  <c r="BVV69"/>
  <c r="BVU69"/>
  <c r="BVT69"/>
  <c r="BVS69"/>
  <c r="BVR69"/>
  <c r="BVQ69"/>
  <c r="BVP69"/>
  <c r="BVO69"/>
  <c r="BVN69"/>
  <c r="BVM69"/>
  <c r="BVL69"/>
  <c r="BVK69"/>
  <c r="BVJ69"/>
  <c r="BVI69"/>
  <c r="BVH69"/>
  <c r="BVG69"/>
  <c r="BVF69"/>
  <c r="BVE69"/>
  <c r="BVD69"/>
  <c r="BVC69"/>
  <c r="BVB69"/>
  <c r="BVA69"/>
  <c r="BUZ69"/>
  <c r="BUY69"/>
  <c r="BUX69"/>
  <c r="BUW69"/>
  <c r="BUV69"/>
  <c r="BUU69"/>
  <c r="BUT69"/>
  <c r="BUS69"/>
  <c r="BUR69"/>
  <c r="BUQ69"/>
  <c r="BUP69"/>
  <c r="BUO69"/>
  <c r="BUN69"/>
  <c r="BUM69"/>
  <c r="BUL69"/>
  <c r="BUK69"/>
  <c r="BUJ69"/>
  <c r="BUI69"/>
  <c r="BUH69"/>
  <c r="BUG69"/>
  <c r="BUF69"/>
  <c r="BUE69"/>
  <c r="BUD69"/>
  <c r="BUC69"/>
  <c r="BUB69"/>
  <c r="BUA69"/>
  <c r="BTZ69"/>
  <c r="BTY69"/>
  <c r="BTX69"/>
  <c r="BTW69"/>
  <c r="BTV69"/>
  <c r="BTU69"/>
  <c r="BTT69"/>
  <c r="BTS69"/>
  <c r="BTR69"/>
  <c r="BTQ69"/>
  <c r="BTP69"/>
  <c r="BTO69"/>
  <c r="BTN69"/>
  <c r="BTM69"/>
  <c r="BTL69"/>
  <c r="BTK69"/>
  <c r="BTJ69"/>
  <c r="BTI69"/>
  <c r="BTH69"/>
  <c r="BTG69"/>
  <c r="BTF69"/>
  <c r="BTE69"/>
  <c r="BTD69"/>
  <c r="BTC69"/>
  <c r="BTB69"/>
  <c r="BTA69"/>
  <c r="BSZ69"/>
  <c r="BSY69"/>
  <c r="BSX69"/>
  <c r="BSW69"/>
  <c r="BSV69"/>
  <c r="BSU69"/>
  <c r="BST69"/>
  <c r="BSS69"/>
  <c r="BSR69"/>
  <c r="BSQ69"/>
  <c r="BSP69"/>
  <c r="BSO69"/>
  <c r="BSN69"/>
  <c r="BSM69"/>
  <c r="BSL69"/>
  <c r="BSK69"/>
  <c r="BSJ69"/>
  <c r="BSI69"/>
  <c r="BSH69"/>
  <c r="BSG69"/>
  <c r="BSF69"/>
  <c r="BSE69"/>
  <c r="BSD69"/>
  <c r="BSC69"/>
  <c r="BSB69"/>
  <c r="BSA69"/>
  <c r="BRZ69"/>
  <c r="BRY69"/>
  <c r="BRX69"/>
  <c r="BRW69"/>
  <c r="BRV69"/>
  <c r="BRU69"/>
  <c r="BRT69"/>
  <c r="BRS69"/>
  <c r="BRR69"/>
  <c r="BRQ69"/>
  <c r="BRP69"/>
  <c r="BRO69"/>
  <c r="BRN69"/>
  <c r="BRM69"/>
  <c r="BRL69"/>
  <c r="BRK69"/>
  <c r="BRJ69"/>
  <c r="BRI69"/>
  <c r="BRH69"/>
  <c r="BRG69"/>
  <c r="BRF69"/>
  <c r="BRE69"/>
  <c r="BRD69"/>
  <c r="BRC69"/>
  <c r="BRB69"/>
  <c r="BRA69"/>
  <c r="BQZ69"/>
  <c r="BQY69"/>
  <c r="BQX69"/>
  <c r="BQW69"/>
  <c r="BQV69"/>
  <c r="BQU69"/>
  <c r="BQT69"/>
  <c r="BQS69"/>
  <c r="BQR69"/>
  <c r="BQQ69"/>
  <c r="BQP69"/>
  <c r="BQO69"/>
  <c r="BQN69"/>
  <c r="BQM69"/>
  <c r="BQL69"/>
  <c r="BQK69"/>
  <c r="BQJ69"/>
  <c r="BQI69"/>
  <c r="BQH69"/>
  <c r="BQG69"/>
  <c r="BQF69"/>
  <c r="BQE69"/>
  <c r="BQD69"/>
  <c r="BQC69"/>
  <c r="BQB69"/>
  <c r="BQA69"/>
  <c r="BPZ69"/>
  <c r="BPY69"/>
  <c r="BPX69"/>
  <c r="BPW69"/>
  <c r="BPV69"/>
  <c r="BPU69"/>
  <c r="BPT69"/>
  <c r="BPS69"/>
  <c r="BPR69"/>
  <c r="BPQ69"/>
  <c r="BPP69"/>
  <c r="BPO69"/>
  <c r="BPN69"/>
  <c r="BPM69"/>
  <c r="BPL69"/>
  <c r="BPK69"/>
  <c r="BPJ69"/>
  <c r="BPI69"/>
  <c r="BPH69"/>
  <c r="BPG69"/>
  <c r="BPF69"/>
  <c r="BPE69"/>
  <c r="BPD69"/>
  <c r="BPC69"/>
  <c r="BPB69"/>
  <c r="BPA69"/>
  <c r="BOZ69"/>
  <c r="BOY69"/>
  <c r="BOX69"/>
  <c r="BOW69"/>
  <c r="BOV69"/>
  <c r="BOU69"/>
  <c r="BOT69"/>
  <c r="BOS69"/>
  <c r="BOR69"/>
  <c r="BOQ69"/>
  <c r="BOP69"/>
  <c r="BOO69"/>
  <c r="BON69"/>
  <c r="BOM69"/>
  <c r="BOL69"/>
  <c r="BOK69"/>
  <c r="BOJ69"/>
  <c r="BOI69"/>
  <c r="BOH69"/>
  <c r="BOG69"/>
  <c r="BOF69"/>
  <c r="BOE69"/>
  <c r="BOD69"/>
  <c r="BOC69"/>
  <c r="BOB69"/>
  <c r="BOA69"/>
  <c r="BNZ69"/>
  <c r="BNY69"/>
  <c r="BNX69"/>
  <c r="BNW69"/>
  <c r="BNV69"/>
  <c r="BNU69"/>
  <c r="BNT69"/>
  <c r="BNS69"/>
  <c r="BNR69"/>
  <c r="BNQ69"/>
  <c r="BNP69"/>
  <c r="BNO69"/>
  <c r="BNN69"/>
  <c r="BNM69"/>
  <c r="BNL69"/>
  <c r="BNK69"/>
  <c r="BNJ69"/>
  <c r="BNI69"/>
  <c r="BNH69"/>
  <c r="BNG69"/>
  <c r="BNF69"/>
  <c r="BNE69"/>
  <c r="BND69"/>
  <c r="BNC69"/>
  <c r="BNB69"/>
  <c r="BNA69"/>
  <c r="BMZ69"/>
  <c r="BMY69"/>
  <c r="BMX69"/>
  <c r="BMW69"/>
  <c r="BMV69"/>
  <c r="BMU69"/>
  <c r="BMT69"/>
  <c r="BMS69"/>
  <c r="BMR69"/>
  <c r="BMQ69"/>
  <c r="BMP69"/>
  <c r="BMO69"/>
  <c r="BMN69"/>
  <c r="BMM69"/>
  <c r="BML69"/>
  <c r="BMK69"/>
  <c r="BMJ69"/>
  <c r="BMI69"/>
  <c r="BMH69"/>
  <c r="BMG69"/>
  <c r="BMF69"/>
  <c r="BME69"/>
  <c r="BMD69"/>
  <c r="BMC69"/>
  <c r="BMB69"/>
  <c r="BMA69"/>
  <c r="BLZ69"/>
  <c r="BLY69"/>
  <c r="BLX69"/>
  <c r="BLW69"/>
  <c r="BLV69"/>
  <c r="BLU69"/>
  <c r="BLT69"/>
  <c r="BLS69"/>
  <c r="BLR69"/>
  <c r="BLQ69"/>
  <c r="BLP69"/>
  <c r="BLO69"/>
  <c r="BLN69"/>
  <c r="BLM69"/>
  <c r="BLL69"/>
  <c r="BLK69"/>
  <c r="BLJ69"/>
  <c r="BLI69"/>
  <c r="BLH69"/>
  <c r="BLG69"/>
  <c r="BLF69"/>
  <c r="BLE69"/>
  <c r="BLD69"/>
  <c r="BLC69"/>
  <c r="BLB69"/>
  <c r="BLA69"/>
  <c r="BKZ69"/>
  <c r="BKY69"/>
  <c r="BKX69"/>
  <c r="BKW69"/>
  <c r="BKV69"/>
  <c r="BKU69"/>
  <c r="BKT69"/>
  <c r="BKS69"/>
  <c r="BKR69"/>
  <c r="BKQ69"/>
  <c r="BKP69"/>
  <c r="BKO69"/>
  <c r="BKN69"/>
  <c r="BKM69"/>
  <c r="BKL69"/>
  <c r="BKK69"/>
  <c r="BKJ69"/>
  <c r="BKI69"/>
  <c r="BKH69"/>
  <c r="BKG69"/>
  <c r="BKF69"/>
  <c r="BKE69"/>
  <c r="BKD69"/>
  <c r="BKC69"/>
  <c r="BKB69"/>
  <c r="BKA69"/>
  <c r="BJZ69"/>
  <c r="BJY69"/>
  <c r="BJX69"/>
  <c r="BJW69"/>
  <c r="BJV69"/>
  <c r="BJU69"/>
  <c r="BJT69"/>
  <c r="BJS69"/>
  <c r="BJR69"/>
  <c r="BJQ69"/>
  <c r="BJP69"/>
  <c r="BJO69"/>
  <c r="BJN69"/>
  <c r="BJM69"/>
  <c r="BJL69"/>
  <c r="BJK69"/>
  <c r="BJJ69"/>
  <c r="BJI69"/>
  <c r="BJH69"/>
  <c r="BJG69"/>
  <c r="BJF69"/>
  <c r="BJE69"/>
  <c r="BJD69"/>
  <c r="BJC69"/>
  <c r="BJB69"/>
  <c r="BJA69"/>
  <c r="BIZ69"/>
  <c r="BIY69"/>
  <c r="BIX69"/>
  <c r="BIW69"/>
  <c r="BIV69"/>
  <c r="BIU69"/>
  <c r="BIT69"/>
  <c r="BIS69"/>
  <c r="BIR69"/>
  <c r="BIQ69"/>
  <c r="BIP69"/>
  <c r="BIO69"/>
  <c r="BIN69"/>
  <c r="BIM69"/>
  <c r="BIL69"/>
  <c r="BIK69"/>
  <c r="BIJ69"/>
  <c r="BII69"/>
  <c r="BIH69"/>
  <c r="BIG69"/>
  <c r="BIF69"/>
  <c r="BIE69"/>
  <c r="BID69"/>
  <c r="BIC69"/>
  <c r="BIB69"/>
  <c r="BIA69"/>
  <c r="BHZ69"/>
  <c r="BHY69"/>
  <c r="BHX69"/>
  <c r="BHW69"/>
  <c r="BHV69"/>
  <c r="BHU69"/>
  <c r="BHT69"/>
  <c r="BHS69"/>
  <c r="BHR69"/>
  <c r="BHQ69"/>
  <c r="BHP69"/>
  <c r="BHO69"/>
  <c r="BHN69"/>
  <c r="BHM69"/>
  <c r="BHL69"/>
  <c r="BHK69"/>
  <c r="BHJ69"/>
  <c r="BHI69"/>
  <c r="BHH69"/>
  <c r="BHG69"/>
  <c r="BHF69"/>
  <c r="BHE69"/>
  <c r="BHD69"/>
  <c r="BHC69"/>
  <c r="BHB69"/>
  <c r="BHA69"/>
  <c r="BGZ69"/>
  <c r="BGY69"/>
  <c r="BGX69"/>
  <c r="BGW69"/>
  <c r="BGV69"/>
  <c r="BGU69"/>
  <c r="BGT69"/>
  <c r="BGS69"/>
  <c r="BGR69"/>
  <c r="BGQ69"/>
  <c r="BGP69"/>
  <c r="BGO69"/>
  <c r="BGN69"/>
  <c r="BGM69"/>
  <c r="BGL69"/>
  <c r="BGK69"/>
  <c r="BGJ69"/>
  <c r="BGI69"/>
  <c r="BGH69"/>
  <c r="BGG69"/>
  <c r="BGF69"/>
  <c r="BGE69"/>
  <c r="BGD69"/>
  <c r="BGC69"/>
  <c r="BGB69"/>
  <c r="BGA69"/>
  <c r="BFZ69"/>
  <c r="BFY69"/>
  <c r="BFX69"/>
  <c r="BFW69"/>
  <c r="BFV69"/>
  <c r="BFU69"/>
  <c r="BFT69"/>
  <c r="BFS69"/>
  <c r="BFR69"/>
  <c r="BFQ69"/>
  <c r="BFP69"/>
  <c r="BFO69"/>
  <c r="BFN69"/>
  <c r="BFM69"/>
  <c r="BFL69"/>
  <c r="BFK69"/>
  <c r="BFJ69"/>
  <c r="BFI69"/>
  <c r="BFH69"/>
  <c r="BFG69"/>
  <c r="BFF69"/>
  <c r="BFE69"/>
  <c r="BFD69"/>
  <c r="BFC69"/>
  <c r="BFB69"/>
  <c r="BFA69"/>
  <c r="BEZ69"/>
  <c r="BEY69"/>
  <c r="BEX69"/>
  <c r="BEW69"/>
  <c r="BEV69"/>
  <c r="BEU69"/>
  <c r="BET69"/>
  <c r="BES69"/>
  <c r="BER69"/>
  <c r="BEQ69"/>
  <c r="BEP69"/>
  <c r="BEO69"/>
  <c r="BEN69"/>
  <c r="BEM69"/>
  <c r="BEL69"/>
  <c r="BEK69"/>
  <c r="BEJ69"/>
  <c r="BEI69"/>
  <c r="BEH69"/>
  <c r="BEG69"/>
  <c r="BEF69"/>
  <c r="BEE69"/>
  <c r="BED69"/>
  <c r="BEC69"/>
  <c r="BEB69"/>
  <c r="BEA69"/>
  <c r="BDZ69"/>
  <c r="BDY69"/>
  <c r="BDX69"/>
  <c r="BDW69"/>
  <c r="BDV69"/>
  <c r="BDU69"/>
  <c r="BDT69"/>
  <c r="BDS69"/>
  <c r="BDR69"/>
  <c r="BDQ69"/>
  <c r="BDP69"/>
  <c r="BDO69"/>
  <c r="BDN69"/>
  <c r="BDM69"/>
  <c r="BDL69"/>
  <c r="BDK69"/>
  <c r="BDJ69"/>
  <c r="BDI69"/>
  <c r="BDH69"/>
  <c r="BDG69"/>
  <c r="BDF69"/>
  <c r="BDE69"/>
  <c r="BDD69"/>
  <c r="BDC69"/>
  <c r="BDB69"/>
  <c r="BDA69"/>
  <c r="BCZ69"/>
  <c r="BCY69"/>
  <c r="BCX69"/>
  <c r="BCW69"/>
  <c r="BCV69"/>
  <c r="BCU69"/>
  <c r="BCT69"/>
  <c r="BCS69"/>
  <c r="BCR69"/>
  <c r="BCQ69"/>
  <c r="BCP69"/>
  <c r="BCO69"/>
  <c r="BCN69"/>
  <c r="BCM69"/>
  <c r="BCL69"/>
  <c r="BCK69"/>
  <c r="BCJ69"/>
  <c r="BCI69"/>
  <c r="BCH69"/>
  <c r="BCG69"/>
  <c r="BCF69"/>
  <c r="BCE69"/>
  <c r="BCD69"/>
  <c r="BCC69"/>
  <c r="BCB69"/>
  <c r="BCA69"/>
  <c r="BBZ69"/>
  <c r="BBY69"/>
  <c r="BBX69"/>
  <c r="BBW69"/>
  <c r="BBV69"/>
  <c r="BBU69"/>
  <c r="BBT69"/>
  <c r="BBS69"/>
  <c r="BBR69"/>
  <c r="BBQ69"/>
  <c r="BBP69"/>
  <c r="BBO69"/>
  <c r="BBN69"/>
  <c r="BBM69"/>
  <c r="BBL69"/>
  <c r="BBK69"/>
  <c r="BBJ69"/>
  <c r="BBI69"/>
  <c r="BBH69"/>
  <c r="BBG69"/>
  <c r="BBF69"/>
  <c r="BBE69"/>
  <c r="BBD69"/>
  <c r="BBC69"/>
  <c r="BBB69"/>
  <c r="BBA69"/>
  <c r="BAZ69"/>
  <c r="BAY69"/>
  <c r="BAX69"/>
  <c r="BAW69"/>
  <c r="BAV69"/>
  <c r="BAU69"/>
  <c r="BAT69"/>
  <c r="BAS69"/>
  <c r="BAR69"/>
  <c r="BAQ69"/>
  <c r="BAP69"/>
  <c r="BAO69"/>
  <c r="BAN69"/>
  <c r="BAM69"/>
  <c r="BAL69"/>
  <c r="BAK69"/>
  <c r="BAJ69"/>
  <c r="BAI69"/>
  <c r="BAH69"/>
  <c r="BAG69"/>
  <c r="BAF69"/>
  <c r="BAE69"/>
  <c r="BAD69"/>
  <c r="BAC69"/>
  <c r="BAB69"/>
  <c r="BAA69"/>
  <c r="AZZ69"/>
  <c r="AZY69"/>
  <c r="AZX69"/>
  <c r="AZW69"/>
  <c r="AZV69"/>
  <c r="AZU69"/>
  <c r="AZT69"/>
  <c r="AZS69"/>
  <c r="AZR69"/>
  <c r="AZQ69"/>
  <c r="AZP69"/>
  <c r="AZO69"/>
  <c r="AZN69"/>
  <c r="AZM69"/>
  <c r="AZL69"/>
  <c r="AZK69"/>
  <c r="AZJ69"/>
  <c r="AZI69"/>
  <c r="AZH69"/>
  <c r="AZG69"/>
  <c r="AZF69"/>
  <c r="AZE69"/>
  <c r="AZD69"/>
  <c r="AZC69"/>
  <c r="AZB69"/>
  <c r="AZA69"/>
  <c r="AYZ69"/>
  <c r="AYY69"/>
  <c r="AYX69"/>
  <c r="AYW69"/>
  <c r="AYV69"/>
  <c r="AYU69"/>
  <c r="AYT69"/>
  <c r="AYS69"/>
  <c r="AYR69"/>
  <c r="AYQ69"/>
  <c r="AYP69"/>
  <c r="AYO69"/>
  <c r="AYN69"/>
  <c r="AYM69"/>
  <c r="AYL69"/>
  <c r="AYK69"/>
  <c r="AYJ69"/>
  <c r="AYI69"/>
  <c r="AYH69"/>
  <c r="AYG69"/>
  <c r="AYF69"/>
  <c r="AYE69"/>
  <c r="AYD69"/>
  <c r="AYC69"/>
  <c r="AYB69"/>
  <c r="AYA69"/>
  <c r="AXZ69"/>
  <c r="AXY69"/>
  <c r="AXX69"/>
  <c r="AXW69"/>
  <c r="AXV69"/>
  <c r="AXU69"/>
  <c r="AXT69"/>
  <c r="AXS69"/>
  <c r="AXR69"/>
  <c r="AXQ69"/>
  <c r="AXP69"/>
  <c r="AXO69"/>
  <c r="AXN69"/>
  <c r="AXM69"/>
  <c r="AXL69"/>
  <c r="AXK69"/>
  <c r="AXJ69"/>
  <c r="AXI69"/>
  <c r="AXH69"/>
  <c r="AXG69"/>
  <c r="AXF69"/>
  <c r="AXE69"/>
  <c r="AXD69"/>
  <c r="AXC69"/>
  <c r="AXB69"/>
  <c r="AXA69"/>
  <c r="AWZ69"/>
  <c r="AWY69"/>
  <c r="AWX69"/>
  <c r="AWW69"/>
  <c r="AWV69"/>
  <c r="AWU69"/>
  <c r="AWT69"/>
  <c r="AWS69"/>
  <c r="AWR69"/>
  <c r="AWQ69"/>
  <c r="AWP69"/>
  <c r="AWO69"/>
  <c r="AWN69"/>
  <c r="AWM69"/>
  <c r="AWL69"/>
  <c r="AWK69"/>
  <c r="AWJ69"/>
  <c r="AWI69"/>
  <c r="AWH69"/>
  <c r="AWG69"/>
  <c r="AWF69"/>
  <c r="AWE69"/>
  <c r="AWD69"/>
  <c r="AWC69"/>
  <c r="AWB69"/>
  <c r="AWA69"/>
  <c r="AVZ69"/>
  <c r="AVY69"/>
  <c r="AVX69"/>
  <c r="AVW69"/>
  <c r="AVV69"/>
  <c r="AVU69"/>
  <c r="AVT69"/>
  <c r="AVS69"/>
  <c r="AVR69"/>
  <c r="AVQ69"/>
  <c r="AVP69"/>
  <c r="AVO69"/>
  <c r="AVN69"/>
  <c r="AVM69"/>
  <c r="AVL69"/>
  <c r="AVK69"/>
  <c r="AVJ69"/>
  <c r="AVI69"/>
  <c r="AVH69"/>
  <c r="AVG69"/>
  <c r="AVF69"/>
  <c r="AVE69"/>
  <c r="AVD69"/>
  <c r="AVC69"/>
  <c r="AVB69"/>
  <c r="AVA69"/>
  <c r="AUZ69"/>
  <c r="AUY69"/>
  <c r="AUX69"/>
  <c r="AUW69"/>
  <c r="AUV69"/>
  <c r="AUU69"/>
  <c r="AUT69"/>
  <c r="AUS69"/>
  <c r="AUR69"/>
  <c r="AUQ69"/>
  <c r="AUP69"/>
  <c r="AUO69"/>
  <c r="AUN69"/>
  <c r="AUM69"/>
  <c r="AUL69"/>
  <c r="AUK69"/>
  <c r="AUJ69"/>
  <c r="AUI69"/>
  <c r="AUH69"/>
  <c r="AUG69"/>
  <c r="AUF69"/>
  <c r="AUE69"/>
  <c r="AUD69"/>
  <c r="AUC69"/>
  <c r="AUB69"/>
  <c r="AUA69"/>
  <c r="ATZ69"/>
  <c r="ATY69"/>
  <c r="ATX69"/>
  <c r="ATW69"/>
  <c r="ATV69"/>
  <c r="ATU69"/>
  <c r="ATT69"/>
  <c r="ATS69"/>
  <c r="ATR69"/>
  <c r="ATQ69"/>
  <c r="ATP69"/>
  <c r="ATO69"/>
  <c r="ATN69"/>
  <c r="ATM69"/>
  <c r="ATL69"/>
  <c r="ATK69"/>
  <c r="ATJ69"/>
  <c r="ATI69"/>
  <c r="ATH69"/>
  <c r="ATG69"/>
  <c r="ATF69"/>
  <c r="ATE69"/>
  <c r="ATD69"/>
  <c r="ATC69"/>
  <c r="ATB69"/>
  <c r="ATA69"/>
  <c r="ASZ69"/>
  <c r="ASY69"/>
  <c r="ASX69"/>
  <c r="ASW69"/>
  <c r="ASV69"/>
  <c r="ASU69"/>
  <c r="AST69"/>
  <c r="ASS69"/>
  <c r="ASR69"/>
  <c r="ASQ69"/>
  <c r="ASP69"/>
  <c r="ASO69"/>
  <c r="ASN69"/>
  <c r="ASM69"/>
  <c r="ASL69"/>
  <c r="ASK69"/>
  <c r="ASJ69"/>
  <c r="ASI69"/>
  <c r="ASH69"/>
  <c r="ASG69"/>
  <c r="ASF69"/>
  <c r="ASE69"/>
  <c r="ASD69"/>
  <c r="ASC69"/>
  <c r="ASB69"/>
  <c r="ASA69"/>
  <c r="ARZ69"/>
  <c r="ARY69"/>
  <c r="ARX69"/>
  <c r="ARW69"/>
  <c r="ARV69"/>
  <c r="ARU69"/>
  <c r="ART69"/>
  <c r="ARS69"/>
  <c r="ARR69"/>
  <c r="ARQ69"/>
  <c r="ARP69"/>
  <c r="ARO69"/>
  <c r="ARN69"/>
  <c r="ARM69"/>
  <c r="ARL69"/>
  <c r="ARK69"/>
  <c r="ARJ69"/>
  <c r="ARI69"/>
  <c r="ARH69"/>
  <c r="ARG69"/>
  <c r="ARF69"/>
  <c r="ARE69"/>
  <c r="ARD69"/>
  <c r="ARC69"/>
  <c r="ARB69"/>
  <c r="ARA69"/>
  <c r="AQZ69"/>
  <c r="AQY69"/>
  <c r="AQX69"/>
  <c r="AQW69"/>
  <c r="AQV69"/>
  <c r="AQU69"/>
  <c r="AQT69"/>
  <c r="AQS69"/>
  <c r="AQR69"/>
  <c r="AQQ69"/>
  <c r="AQP69"/>
  <c r="AQO69"/>
  <c r="AQN69"/>
  <c r="AQM69"/>
  <c r="AQL69"/>
  <c r="AQK69"/>
  <c r="AQJ69"/>
  <c r="AQI69"/>
  <c r="AQH69"/>
  <c r="AQG69"/>
  <c r="AQF69"/>
  <c r="AQE69"/>
  <c r="AQD69"/>
  <c r="AQC69"/>
  <c r="AQB69"/>
  <c r="AQA69"/>
  <c r="APZ69"/>
  <c r="APY69"/>
  <c r="APX69"/>
  <c r="APW69"/>
  <c r="APV69"/>
  <c r="APU69"/>
  <c r="APT69"/>
  <c r="APS69"/>
  <c r="APR69"/>
  <c r="APQ69"/>
  <c r="APP69"/>
  <c r="APO69"/>
  <c r="APN69"/>
  <c r="APM69"/>
  <c r="APL69"/>
  <c r="APK69"/>
  <c r="APJ69"/>
  <c r="API69"/>
  <c r="APH69"/>
  <c r="APG69"/>
  <c r="APF69"/>
  <c r="APE69"/>
  <c r="APD69"/>
  <c r="APC69"/>
  <c r="APB69"/>
  <c r="APA69"/>
  <c r="AOZ69"/>
  <c r="AOY69"/>
  <c r="AOX69"/>
  <c r="AOW69"/>
  <c r="AOV69"/>
  <c r="AOU69"/>
  <c r="AOT69"/>
  <c r="AOS69"/>
  <c r="AOR69"/>
  <c r="AOQ69"/>
  <c r="AOP69"/>
  <c r="AOO69"/>
  <c r="AON69"/>
  <c r="AOM69"/>
  <c r="AOL69"/>
  <c r="AOK69"/>
  <c r="AOJ69"/>
  <c r="AOI69"/>
  <c r="AOH69"/>
  <c r="AOG69"/>
  <c r="AOF69"/>
  <c r="AOE69"/>
  <c r="AOD69"/>
  <c r="AOC69"/>
  <c r="AOB69"/>
  <c r="AOA69"/>
  <c r="ANZ69"/>
  <c r="ANY69"/>
  <c r="ANX69"/>
  <c r="ANW69"/>
  <c r="ANV69"/>
  <c r="ANU69"/>
  <c r="ANT69"/>
  <c r="ANS69"/>
  <c r="ANR69"/>
  <c r="ANQ69"/>
  <c r="ANP69"/>
  <c r="ANO69"/>
  <c r="ANN69"/>
  <c r="ANM69"/>
  <c r="ANL69"/>
  <c r="ANK69"/>
  <c r="ANJ69"/>
  <c r="ANI69"/>
  <c r="ANH69"/>
  <c r="ANG69"/>
  <c r="ANF69"/>
  <c r="ANE69"/>
  <c r="AND69"/>
  <c r="ANC69"/>
  <c r="ANB69"/>
  <c r="ANA69"/>
  <c r="AMZ69"/>
  <c r="AMY69"/>
  <c r="AMX69"/>
  <c r="AMW69"/>
  <c r="AMV69"/>
  <c r="AMU69"/>
  <c r="AMT69"/>
  <c r="AMS69"/>
  <c r="AMR69"/>
  <c r="AMQ69"/>
  <c r="AMP69"/>
  <c r="AMO69"/>
  <c r="AMN69"/>
  <c r="AMM69"/>
  <c r="AML69"/>
  <c r="AMK69"/>
  <c r="AMJ69"/>
  <c r="AMI69"/>
  <c r="AMH69"/>
  <c r="AMG69"/>
  <c r="AMF69"/>
  <c r="AME69"/>
  <c r="AMD69"/>
  <c r="AMC69"/>
  <c r="AMB69"/>
  <c r="AMA69"/>
  <c r="ALZ69"/>
  <c r="ALY69"/>
  <c r="ALX69"/>
  <c r="ALW69"/>
  <c r="ALV69"/>
  <c r="ALU69"/>
  <c r="ALT69"/>
  <c r="ALS69"/>
  <c r="ALR69"/>
  <c r="ALQ69"/>
  <c r="ALP69"/>
  <c r="ALO69"/>
  <c r="ALN69"/>
  <c r="ALM69"/>
  <c r="ALL69"/>
  <c r="ALK69"/>
  <c r="ALJ69"/>
  <c r="ALI69"/>
  <c r="ALH69"/>
  <c r="ALG69"/>
  <c r="ALF69"/>
  <c r="ALE69"/>
  <c r="ALD69"/>
  <c r="ALC69"/>
  <c r="ALB69"/>
  <c r="ALA69"/>
  <c r="AKZ69"/>
  <c r="AKY69"/>
  <c r="AKX69"/>
  <c r="AKW69"/>
  <c r="AKV69"/>
  <c r="AKU69"/>
  <c r="AKT69"/>
  <c r="AKS69"/>
  <c r="AKR69"/>
  <c r="AKQ69"/>
  <c r="AKP69"/>
  <c r="AKO69"/>
  <c r="AKN69"/>
  <c r="AKM69"/>
  <c r="AKL69"/>
  <c r="AKK69"/>
  <c r="AKJ69"/>
  <c r="AKI69"/>
  <c r="AKH69"/>
  <c r="AKG69"/>
  <c r="AKF69"/>
  <c r="AKE69"/>
  <c r="AKD69"/>
  <c r="AKC69"/>
  <c r="AKB69"/>
  <c r="AKA69"/>
  <c r="AJZ69"/>
  <c r="AJY69"/>
  <c r="AJX69"/>
  <c r="AJW69"/>
  <c r="AJV69"/>
  <c r="AJU69"/>
  <c r="AJT69"/>
  <c r="AJS69"/>
  <c r="AJR69"/>
  <c r="AJQ69"/>
  <c r="AJP69"/>
  <c r="AJO69"/>
  <c r="AJN69"/>
  <c r="AJM69"/>
  <c r="AJL69"/>
  <c r="AJK69"/>
  <c r="AJJ69"/>
  <c r="AJI69"/>
  <c r="AJH69"/>
  <c r="AJG69"/>
  <c r="AJF69"/>
  <c r="AJE69"/>
  <c r="AJD69"/>
  <c r="AJC69"/>
  <c r="AJB69"/>
  <c r="AJA69"/>
  <c r="AIZ69"/>
  <c r="AIY69"/>
  <c r="AIX69"/>
  <c r="AIW69"/>
  <c r="AIV69"/>
  <c r="AIU69"/>
  <c r="AIT69"/>
  <c r="AIS69"/>
  <c r="AIR69"/>
  <c r="AIQ69"/>
  <c r="AIP69"/>
  <c r="AIO69"/>
  <c r="AIN69"/>
  <c r="AIM69"/>
  <c r="AIL69"/>
  <c r="AIK69"/>
  <c r="AIJ69"/>
  <c r="AII69"/>
  <c r="AIH69"/>
  <c r="AIG69"/>
  <c r="AIF69"/>
  <c r="AIE69"/>
  <c r="AID69"/>
  <c r="AIC69"/>
  <c r="AIB69"/>
  <c r="AIA69"/>
  <c r="AHZ69"/>
  <c r="AHY69"/>
  <c r="AHX69"/>
  <c r="AHW69"/>
  <c r="AHV69"/>
  <c r="AHU69"/>
  <c r="AHT69"/>
  <c r="AHS69"/>
  <c r="AHR69"/>
  <c r="AHQ69"/>
  <c r="AHP69"/>
  <c r="AHO69"/>
  <c r="AHN69"/>
  <c r="AHM69"/>
  <c r="AHL69"/>
  <c r="AHK69"/>
  <c r="AHJ69"/>
  <c r="AHI69"/>
  <c r="AHH69"/>
  <c r="AHG69"/>
  <c r="AHF69"/>
  <c r="AHE69"/>
  <c r="AHD69"/>
  <c r="AHC69"/>
  <c r="AHB69"/>
  <c r="AHA69"/>
  <c r="AGZ69"/>
  <c r="AGY69"/>
  <c r="AGX69"/>
  <c r="AGW69"/>
  <c r="AGV69"/>
  <c r="AGU69"/>
  <c r="AGT69"/>
  <c r="AGS69"/>
  <c r="AGR69"/>
  <c r="AGQ69"/>
  <c r="AGP69"/>
  <c r="AGO69"/>
  <c r="AGN69"/>
  <c r="AGM69"/>
  <c r="AGL69"/>
  <c r="AGK69"/>
  <c r="AGJ69"/>
  <c r="AGI69"/>
  <c r="AGH69"/>
  <c r="AGG69"/>
  <c r="AGF69"/>
  <c r="AGE69"/>
  <c r="AGD69"/>
  <c r="AGC69"/>
  <c r="AGB69"/>
  <c r="AGA69"/>
  <c r="AFZ69"/>
  <c r="AFY69"/>
  <c r="AFX69"/>
  <c r="AFW69"/>
  <c r="AFV69"/>
  <c r="AFU69"/>
  <c r="AFT69"/>
  <c r="AFS69"/>
  <c r="AFR69"/>
  <c r="AFQ69"/>
  <c r="AFP69"/>
  <c r="AFO69"/>
  <c r="AFN69"/>
  <c r="AFM69"/>
  <c r="AFL69"/>
  <c r="AFK69"/>
  <c r="AFJ69"/>
  <c r="AFI69"/>
  <c r="AFH69"/>
  <c r="AFG69"/>
  <c r="AFF69"/>
  <c r="AFE69"/>
  <c r="AFD69"/>
  <c r="AFC69"/>
  <c r="AFB69"/>
  <c r="AFA69"/>
  <c r="AEZ69"/>
  <c r="AEY69"/>
  <c r="AEX69"/>
  <c r="AEW69"/>
  <c r="AEV69"/>
  <c r="AEU69"/>
  <c r="AET69"/>
  <c r="AES69"/>
  <c r="AER69"/>
  <c r="AEQ69"/>
  <c r="AEP69"/>
  <c r="AEO69"/>
  <c r="AEN69"/>
  <c r="AEM69"/>
  <c r="AEL69"/>
  <c r="AEK69"/>
  <c r="AEJ69"/>
  <c r="AEI69"/>
  <c r="AEH69"/>
  <c r="AEG69"/>
  <c r="AEF69"/>
  <c r="AEE69"/>
  <c r="AED69"/>
  <c r="AEC69"/>
  <c r="AEB69"/>
  <c r="AEA69"/>
  <c r="ADZ69"/>
  <c r="ADY69"/>
  <c r="ADX69"/>
  <c r="ADW69"/>
  <c r="ADV69"/>
  <c r="ADU69"/>
  <c r="ADT69"/>
  <c r="ADS69"/>
  <c r="ADR69"/>
  <c r="ADQ69"/>
  <c r="ADP69"/>
  <c r="ADO69"/>
  <c r="ADN69"/>
  <c r="ADM69"/>
  <c r="ADL69"/>
  <c r="ADK69"/>
  <c r="ADJ69"/>
  <c r="ADI69"/>
  <c r="ADH69"/>
  <c r="ADG69"/>
  <c r="ADF69"/>
  <c r="ADE69"/>
  <c r="ADD69"/>
  <c r="ADC69"/>
  <c r="ADB69"/>
  <c r="ADA69"/>
  <c r="ACZ69"/>
  <c r="ACY69"/>
  <c r="ACX69"/>
  <c r="ACW69"/>
  <c r="ACV69"/>
  <c r="ACU69"/>
  <c r="ACT69"/>
  <c r="ACS69"/>
  <c r="ACR69"/>
  <c r="ACQ69"/>
  <c r="ACP69"/>
  <c r="ACO69"/>
  <c r="ACN69"/>
  <c r="ACM69"/>
  <c r="ACL69"/>
  <c r="ACK69"/>
  <c r="ACJ69"/>
  <c r="ACI69"/>
  <c r="ACH69"/>
  <c r="ACG69"/>
  <c r="ACF69"/>
  <c r="ACE69"/>
  <c r="ACD69"/>
  <c r="ACC69"/>
  <c r="ACB69"/>
  <c r="ACA69"/>
  <c r="ABZ69"/>
  <c r="ABY69"/>
  <c r="ABX69"/>
  <c r="ABW69"/>
  <c r="ABV69"/>
  <c r="ABU69"/>
  <c r="ABT69"/>
  <c r="ABS69"/>
  <c r="ABR69"/>
  <c r="ABQ69"/>
  <c r="ABP69"/>
  <c r="ABO69"/>
  <c r="ABN69"/>
  <c r="ABM69"/>
  <c r="ABL69"/>
  <c r="ABK69"/>
  <c r="ABJ69"/>
  <c r="ABI69"/>
  <c r="ABH69"/>
  <c r="ABG69"/>
  <c r="ABF69"/>
  <c r="ABE69"/>
  <c r="ABD69"/>
  <c r="ABC69"/>
  <c r="ABB69"/>
  <c r="ABA69"/>
  <c r="AAZ69"/>
  <c r="AAY69"/>
  <c r="AAX69"/>
  <c r="AAW69"/>
  <c r="AAV69"/>
  <c r="AAU69"/>
  <c r="AAT69"/>
  <c r="AAS69"/>
  <c r="AAR69"/>
  <c r="AAQ69"/>
  <c r="AAP69"/>
  <c r="AAO69"/>
  <c r="AAN69"/>
  <c r="AAM69"/>
  <c r="AAL69"/>
  <c r="AAK69"/>
  <c r="AAJ69"/>
  <c r="AAI69"/>
  <c r="AAH69"/>
  <c r="AAG69"/>
  <c r="AAF69"/>
  <c r="AAE69"/>
  <c r="AAD69"/>
  <c r="AAC69"/>
  <c r="AAB69"/>
  <c r="AAA69"/>
  <c r="ZZ69"/>
  <c r="ZY69"/>
  <c r="ZX69"/>
  <c r="ZW69"/>
  <c r="ZV69"/>
  <c r="ZU69"/>
  <c r="ZT69"/>
  <c r="ZS69"/>
  <c r="ZR69"/>
  <c r="ZQ69"/>
  <c r="ZP69"/>
  <c r="ZO69"/>
  <c r="ZN69"/>
  <c r="ZM69"/>
  <c r="ZL69"/>
  <c r="ZK69"/>
  <c r="ZJ69"/>
  <c r="ZI69"/>
  <c r="ZH69"/>
  <c r="ZG69"/>
  <c r="ZF69"/>
  <c r="ZE69"/>
  <c r="ZD69"/>
  <c r="ZC69"/>
  <c r="ZB69"/>
  <c r="ZA69"/>
  <c r="YZ69"/>
  <c r="YY69"/>
  <c r="YX69"/>
  <c r="YW69"/>
  <c r="YV69"/>
  <c r="YU69"/>
  <c r="YT69"/>
  <c r="YS69"/>
  <c r="YR69"/>
  <c r="YQ69"/>
  <c r="YP69"/>
  <c r="YO69"/>
  <c r="YN69"/>
  <c r="YM69"/>
  <c r="YL69"/>
  <c r="YK69"/>
  <c r="YJ69"/>
  <c r="YI69"/>
  <c r="YH69"/>
  <c r="YG69"/>
  <c r="YF69"/>
  <c r="YE69"/>
  <c r="YD69"/>
  <c r="YC69"/>
  <c r="YB69"/>
  <c r="YA69"/>
  <c r="XZ69"/>
  <c r="XY69"/>
  <c r="XX69"/>
  <c r="XW69"/>
  <c r="XV69"/>
  <c r="XU69"/>
  <c r="XT69"/>
  <c r="XS69"/>
  <c r="XR69"/>
  <c r="XQ69"/>
  <c r="XP69"/>
  <c r="XO69"/>
  <c r="XN69"/>
  <c r="XM69"/>
  <c r="XL69"/>
  <c r="XK69"/>
  <c r="XJ69"/>
  <c r="XI69"/>
  <c r="XH69"/>
  <c r="XG69"/>
  <c r="XF69"/>
  <c r="XE69"/>
  <c r="XD69"/>
  <c r="XC69"/>
  <c r="XB69"/>
  <c r="XA69"/>
  <c r="WZ69"/>
  <c r="WY69"/>
  <c r="WX69"/>
  <c r="WW69"/>
  <c r="WV69"/>
  <c r="WU69"/>
  <c r="WT69"/>
  <c r="WS69"/>
  <c r="WR69"/>
  <c r="WQ69"/>
  <c r="WP69"/>
  <c r="WO69"/>
  <c r="WN69"/>
  <c r="WM69"/>
  <c r="WL69"/>
  <c r="WK69"/>
  <c r="WJ69"/>
  <c r="WI69"/>
  <c r="WH69"/>
  <c r="WG69"/>
  <c r="WF69"/>
  <c r="WE69"/>
  <c r="WD69"/>
  <c r="WC69"/>
  <c r="WB69"/>
  <c r="WA69"/>
  <c r="VZ69"/>
  <c r="VY69"/>
  <c r="VX69"/>
  <c r="VW69"/>
  <c r="VV69"/>
  <c r="VU69"/>
  <c r="VT69"/>
  <c r="VS69"/>
  <c r="VR69"/>
  <c r="VQ69"/>
  <c r="VP69"/>
  <c r="VO69"/>
  <c r="VN69"/>
  <c r="VM69"/>
  <c r="VL69"/>
  <c r="VK69"/>
  <c r="VJ69"/>
  <c r="VI69"/>
  <c r="VH69"/>
  <c r="VG69"/>
  <c r="VF69"/>
  <c r="VE69"/>
  <c r="VD69"/>
  <c r="VC69"/>
  <c r="VB69"/>
  <c r="VA69"/>
  <c r="UZ69"/>
  <c r="UY69"/>
  <c r="UX69"/>
  <c r="UW69"/>
  <c r="UV69"/>
  <c r="UU69"/>
  <c r="UT69"/>
  <c r="US69"/>
  <c r="UR69"/>
  <c r="UQ69"/>
  <c r="UP69"/>
  <c r="UO69"/>
  <c r="UN69"/>
  <c r="UM69"/>
  <c r="UL69"/>
  <c r="UK69"/>
  <c r="UJ69"/>
  <c r="UI69"/>
  <c r="UH69"/>
  <c r="UG69"/>
  <c r="UF69"/>
  <c r="UE69"/>
  <c r="UD69"/>
  <c r="UC69"/>
  <c r="UB69"/>
  <c r="UA69"/>
  <c r="TZ69"/>
  <c r="TY69"/>
  <c r="TX69"/>
  <c r="TW69"/>
  <c r="TV69"/>
  <c r="TU69"/>
  <c r="TT69"/>
  <c r="TS69"/>
  <c r="TR69"/>
  <c r="TQ69"/>
  <c r="TP69"/>
  <c r="TO69"/>
  <c r="TN69"/>
  <c r="TM69"/>
  <c r="TL69"/>
  <c r="TK69"/>
  <c r="TJ69"/>
  <c r="TI69"/>
  <c r="TH69"/>
  <c r="TG69"/>
  <c r="TF69"/>
  <c r="TE69"/>
  <c r="TD69"/>
  <c r="TC69"/>
  <c r="TB69"/>
  <c r="TA69"/>
  <c r="SZ69"/>
  <c r="SY69"/>
  <c r="SX69"/>
  <c r="SW69"/>
  <c r="SV69"/>
  <c r="SU69"/>
  <c r="ST69"/>
  <c r="SS69"/>
  <c r="SR69"/>
  <c r="SQ69"/>
  <c r="SP69"/>
  <c r="SO69"/>
  <c r="SN69"/>
  <c r="SM69"/>
  <c r="SL69"/>
  <c r="SK69"/>
  <c r="SJ69"/>
  <c r="SI69"/>
  <c r="SH69"/>
  <c r="SG69"/>
  <c r="SF69"/>
  <c r="SE69"/>
  <c r="SD69"/>
  <c r="SC69"/>
  <c r="SB69"/>
  <c r="SA69"/>
  <c r="RZ69"/>
  <c r="RY69"/>
  <c r="RX69"/>
  <c r="RW69"/>
  <c r="RV69"/>
  <c r="RU69"/>
  <c r="RT69"/>
  <c r="RS69"/>
  <c r="RR69"/>
  <c r="RQ69"/>
  <c r="RP69"/>
  <c r="RO69"/>
  <c r="RN69"/>
  <c r="RM69"/>
  <c r="RL69"/>
  <c r="RK69"/>
  <c r="RJ69"/>
  <c r="RI69"/>
  <c r="RH69"/>
  <c r="RG69"/>
  <c r="RF69"/>
  <c r="RE69"/>
  <c r="RD69"/>
  <c r="RC69"/>
  <c r="RB69"/>
  <c r="RA69"/>
  <c r="QZ69"/>
  <c r="QY69"/>
  <c r="QX69"/>
  <c r="QW69"/>
  <c r="QV69"/>
  <c r="QU69"/>
  <c r="QT69"/>
  <c r="QS69"/>
  <c r="QR69"/>
  <c r="QQ69"/>
  <c r="QP69"/>
  <c r="QO69"/>
  <c r="QN69"/>
  <c r="QM69"/>
  <c r="QL69"/>
  <c r="QK69"/>
  <c r="QJ69"/>
  <c r="QI69"/>
  <c r="QH69"/>
  <c r="QG69"/>
  <c r="QF69"/>
  <c r="QE69"/>
  <c r="QD69"/>
  <c r="QC69"/>
  <c r="QB69"/>
  <c r="QA69"/>
  <c r="PZ69"/>
  <c r="PY69"/>
  <c r="PX69"/>
  <c r="PW69"/>
  <c r="PV69"/>
  <c r="PU69"/>
  <c r="PT69"/>
  <c r="PS69"/>
  <c r="PR69"/>
  <c r="PQ69"/>
  <c r="PP69"/>
  <c r="PO69"/>
  <c r="PN69"/>
  <c r="PM69"/>
  <c r="PL69"/>
  <c r="PK69"/>
  <c r="PJ69"/>
  <c r="PI69"/>
  <c r="PH69"/>
  <c r="PG69"/>
  <c r="PF69"/>
  <c r="PE69"/>
  <c r="PD69"/>
  <c r="PC69"/>
  <c r="PB69"/>
  <c r="PA69"/>
  <c r="OZ69"/>
  <c r="OY69"/>
  <c r="OX69"/>
  <c r="OW69"/>
  <c r="OV69"/>
  <c r="OU69"/>
  <c r="OT69"/>
  <c r="OS69"/>
  <c r="OR69"/>
  <c r="OQ69"/>
  <c r="OP69"/>
  <c r="OO69"/>
  <c r="ON69"/>
  <c r="OM69"/>
  <c r="OL69"/>
  <c r="OK69"/>
  <c r="OJ69"/>
  <c r="OI69"/>
  <c r="OH69"/>
  <c r="OG69"/>
  <c r="OF69"/>
  <c r="OE69"/>
  <c r="OD69"/>
  <c r="OC69"/>
  <c r="OB69"/>
  <c r="OA69"/>
  <c r="NZ69"/>
  <c r="NY69"/>
  <c r="NX69"/>
  <c r="NW69"/>
  <c r="NV69"/>
  <c r="NU69"/>
  <c r="NT69"/>
  <c r="NS69"/>
  <c r="NR69"/>
  <c r="NQ69"/>
  <c r="NP69"/>
  <c r="NO69"/>
  <c r="NN69"/>
  <c r="NM69"/>
  <c r="NL69"/>
  <c r="NK69"/>
  <c r="NJ69"/>
  <c r="NI69"/>
  <c r="NH69"/>
  <c r="NG69"/>
  <c r="NF69"/>
  <c r="NE69"/>
  <c r="ND69"/>
  <c r="NC69"/>
  <c r="NB69"/>
  <c r="NA69"/>
  <c r="MZ69"/>
  <c r="MY69"/>
  <c r="MX69"/>
  <c r="MW69"/>
  <c r="MV69"/>
  <c r="MU69"/>
  <c r="MT69"/>
  <c r="MS69"/>
  <c r="MR69"/>
  <c r="MQ69"/>
  <c r="MP69"/>
  <c r="MO69"/>
  <c r="MN69"/>
  <c r="MM69"/>
  <c r="ML69"/>
  <c r="MK69"/>
  <c r="MJ69"/>
  <c r="MI69"/>
  <c r="MH69"/>
  <c r="MG69"/>
  <c r="MF69"/>
  <c r="ME69"/>
  <c r="MD69"/>
  <c r="MC69"/>
  <c r="MB69"/>
  <c r="MA69"/>
  <c r="LZ69"/>
  <c r="LY69"/>
  <c r="LX69"/>
  <c r="LW69"/>
  <c r="LV69"/>
  <c r="LU69"/>
  <c r="LT69"/>
  <c r="LS69"/>
  <c r="LR69"/>
  <c r="LQ69"/>
  <c r="LP69"/>
  <c r="LO69"/>
  <c r="LN69"/>
  <c r="LM69"/>
  <c r="LL69"/>
  <c r="LK69"/>
  <c r="LJ69"/>
  <c r="LI69"/>
  <c r="LH69"/>
  <c r="LG69"/>
  <c r="LF69"/>
  <c r="LE69"/>
  <c r="LD69"/>
  <c r="LC69"/>
  <c r="LB69"/>
  <c r="LA69"/>
  <c r="KZ69"/>
  <c r="KY69"/>
  <c r="KX69"/>
  <c r="KW69"/>
  <c r="KV69"/>
  <c r="KU69"/>
  <c r="KT69"/>
  <c r="KS69"/>
  <c r="KR69"/>
  <c r="KQ69"/>
  <c r="KP69"/>
  <c r="KO69"/>
  <c r="KN69"/>
  <c r="KM69"/>
  <c r="KL69"/>
  <c r="KK69"/>
  <c r="KJ69"/>
  <c r="KI69"/>
  <c r="KH69"/>
  <c r="KG69"/>
  <c r="KF69"/>
  <c r="KE69"/>
  <c r="KD69"/>
  <c r="KC69"/>
  <c r="KB69"/>
  <c r="KA69"/>
  <c r="JZ69"/>
  <c r="JY69"/>
  <c r="JX69"/>
  <c r="JW69"/>
  <c r="JV69"/>
  <c r="JU69"/>
  <c r="JT69"/>
  <c r="JS69"/>
  <c r="JR69"/>
  <c r="JQ69"/>
  <c r="JP69"/>
  <c r="JO69"/>
  <c r="JN69"/>
  <c r="JM69"/>
  <c r="JL69"/>
  <c r="JH19"/>
  <c r="JG19"/>
  <c r="JF19"/>
  <c r="JE19"/>
  <c r="JD19"/>
  <c r="JC19"/>
  <c r="JB19"/>
  <c r="JA19"/>
  <c r="IZ19"/>
  <c r="IY19"/>
  <c r="IX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FO16"/>
  <c r="JH18"/>
  <c r="JG18"/>
  <c r="JF18"/>
  <c r="JE18"/>
  <c r="JD18"/>
  <c r="JC18"/>
  <c r="JB18"/>
  <c r="JA18"/>
  <c r="IZ18"/>
  <c r="IY18"/>
  <c r="JH17"/>
  <c r="JG17"/>
  <c r="JF17"/>
  <c r="JE17"/>
  <c r="JD17"/>
  <c r="JC17"/>
  <c r="JB17"/>
  <c r="JA17"/>
  <c r="IZ17"/>
  <c r="IY17"/>
  <c r="IX18"/>
  <c r="IX17"/>
  <c r="DL19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BL17"/>
  <c r="JH46"/>
  <c r="JG46"/>
  <c r="JF46"/>
  <c r="JE46"/>
  <c r="JD46"/>
  <c r="JC46"/>
  <c r="JA46"/>
  <c r="IZ46"/>
  <c r="IY46"/>
  <c r="IX46"/>
  <c r="IV46"/>
  <c r="IU46"/>
  <c r="IT46"/>
  <c r="IS46"/>
  <c r="IR46"/>
  <c r="IQ46"/>
  <c r="IP46"/>
  <c r="IO46"/>
  <c r="IN46"/>
  <c r="IM46"/>
  <c r="IL46"/>
  <c r="IK46"/>
  <c r="IJ46"/>
  <c r="II46"/>
  <c r="IH46"/>
  <c r="IG46"/>
  <c r="IF46"/>
  <c r="IE46"/>
  <c r="ID46"/>
  <c r="IC46"/>
  <c r="IB46"/>
  <c r="IA46"/>
  <c r="HZ46"/>
  <c r="HY46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JG47"/>
  <c r="JF47"/>
  <c r="JE47"/>
  <c r="JD47"/>
  <c r="JC47"/>
  <c r="JB47"/>
  <c r="IZ47"/>
  <c r="IY47"/>
  <c r="IX47"/>
  <c r="IV47"/>
  <c r="IU47"/>
  <c r="IT47"/>
  <c r="IS47"/>
  <c r="IR47"/>
  <c r="IQ47"/>
  <c r="IP47"/>
  <c r="IN47"/>
  <c r="IM47"/>
  <c r="IG47"/>
  <c r="IK47"/>
  <c r="IJ47"/>
  <c r="II47"/>
  <c r="IH47"/>
  <c r="IE47"/>
  <c r="ID47"/>
  <c r="IC47"/>
  <c r="IB47"/>
  <c r="IA47"/>
  <c r="HZ47"/>
  <c r="HY47"/>
  <c r="HX47"/>
  <c r="HW47"/>
  <c r="HT47"/>
  <c r="HS47"/>
  <c r="HR47"/>
  <c r="HQ47"/>
  <c r="HO47"/>
  <c r="HN47"/>
  <c r="HL47"/>
  <c r="HK47"/>
  <c r="HJ47"/>
  <c r="HI47"/>
  <c r="HH47"/>
  <c r="HG47"/>
  <c r="HF47"/>
  <c r="HE47"/>
  <c r="HD47"/>
  <c r="HB47"/>
  <c r="HA47"/>
  <c r="GZ47"/>
  <c r="GY47"/>
  <c r="GX47"/>
  <c r="GW47"/>
  <c r="GV47"/>
  <c r="GT47"/>
  <c r="GR47"/>
  <c r="GQ47"/>
  <c r="GP47"/>
  <c r="GO47"/>
  <c r="GN47"/>
  <c r="GM47"/>
  <c r="GL47"/>
  <c r="GK47"/>
  <c r="GI47"/>
  <c r="GH47"/>
  <c r="GG47"/>
  <c r="GF47"/>
  <c r="GE47"/>
  <c r="GD47"/>
  <c r="GC47"/>
  <c r="GB47"/>
  <c r="GA47"/>
  <c r="FY47"/>
  <c r="FX47"/>
  <c r="FW47"/>
  <c r="FV47"/>
  <c r="FU47"/>
  <c r="FT47"/>
  <c r="FS47"/>
  <c r="FR47"/>
  <c r="FP47"/>
  <c r="FO47"/>
  <c r="FN47"/>
  <c r="FM47"/>
  <c r="FL47"/>
  <c r="FK47"/>
  <c r="FJ47"/>
  <c r="FI47"/>
  <c r="FH47"/>
  <c r="FE47"/>
  <c r="FD47"/>
  <c r="FC47"/>
  <c r="FB47"/>
  <c r="FA47"/>
  <c r="EZ47"/>
  <c r="EY47"/>
  <c r="EW47"/>
  <c r="IU77" i="87"/>
  <c r="EF4" i="90"/>
  <c r="JA47"/>
  <c r="JG48"/>
  <c r="JG45"/>
  <c r="JG44"/>
  <c r="JG43"/>
  <c r="JG42"/>
  <c r="JG41"/>
  <c r="JG40"/>
  <c r="JG39"/>
  <c r="JG38"/>
  <c r="JG37"/>
  <c r="JG36"/>
  <c r="JG35"/>
  <c r="JG33"/>
  <c r="JG32"/>
  <c r="JG31"/>
  <c r="JF48"/>
  <c r="JE48"/>
  <c r="JD48"/>
  <c r="JC48"/>
  <c r="JB48"/>
  <c r="JA48"/>
  <c r="IZ48"/>
  <c r="JF45"/>
  <c r="JE45"/>
  <c r="JD45"/>
  <c r="JC45"/>
  <c r="JB45"/>
  <c r="JA45"/>
  <c r="IZ45"/>
  <c r="JF44"/>
  <c r="JE44"/>
  <c r="JD44"/>
  <c r="JC44"/>
  <c r="JB44"/>
  <c r="JA44"/>
  <c r="IZ44"/>
  <c r="JF43"/>
  <c r="JE43"/>
  <c r="JD43"/>
  <c r="JC43"/>
  <c r="JB43"/>
  <c r="JA43"/>
  <c r="IZ43"/>
  <c r="JF42"/>
  <c r="JE42"/>
  <c r="JD42"/>
  <c r="JC42"/>
  <c r="JB42"/>
  <c r="JA42"/>
  <c r="IZ42"/>
  <c r="JF41"/>
  <c r="JE41"/>
  <c r="JD41"/>
  <c r="JC41"/>
  <c r="JB41"/>
  <c r="JA41"/>
  <c r="IZ41"/>
  <c r="JF40"/>
  <c r="JE40"/>
  <c r="JD40"/>
  <c r="JC40"/>
  <c r="JB40"/>
  <c r="JA40"/>
  <c r="IZ40"/>
  <c r="JF39"/>
  <c r="JE39"/>
  <c r="JD39"/>
  <c r="JC39"/>
  <c r="JB39"/>
  <c r="JA39"/>
  <c r="IZ39"/>
  <c r="JF38"/>
  <c r="JE38"/>
  <c r="JD38"/>
  <c r="JC38"/>
  <c r="JB38"/>
  <c r="JA38"/>
  <c r="IZ38"/>
  <c r="JF37"/>
  <c r="JE37"/>
  <c r="JD37"/>
  <c r="JC37"/>
  <c r="IZ37"/>
  <c r="JF36"/>
  <c r="JE36"/>
  <c r="JD36"/>
  <c r="JC36"/>
  <c r="JA36"/>
  <c r="IZ36"/>
  <c r="JF35"/>
  <c r="JE35"/>
  <c r="JD35"/>
  <c r="JC35"/>
  <c r="JC49" s="1"/>
  <c r="JB35"/>
  <c r="JA35"/>
  <c r="IZ35"/>
  <c r="JE33"/>
  <c r="JE32"/>
  <c r="JE31"/>
  <c r="JE30"/>
  <c r="JF33"/>
  <c r="JF32"/>
  <c r="JF31"/>
  <c r="JF30"/>
  <c r="JD34"/>
  <c r="JC34"/>
  <c r="JD33"/>
  <c r="JC33"/>
  <c r="JD32"/>
  <c r="JC32"/>
  <c r="JD31"/>
  <c r="JC31"/>
  <c r="JD30"/>
  <c r="JC30"/>
  <c r="IY48"/>
  <c r="IY45"/>
  <c r="IY44"/>
  <c r="IY43"/>
  <c r="IY42"/>
  <c r="IY41"/>
  <c r="IY40"/>
  <c r="IY39"/>
  <c r="IY38"/>
  <c r="IY37"/>
  <c r="IY36"/>
  <c r="IY35"/>
  <c r="IZ34"/>
  <c r="IY34"/>
  <c r="IZ33"/>
  <c r="IY33"/>
  <c r="IZ32"/>
  <c r="IY32"/>
  <c r="IZ31"/>
  <c r="IY31"/>
  <c r="IZ30"/>
  <c r="IY30"/>
  <c r="JB34"/>
  <c r="JB33"/>
  <c r="JB31"/>
  <c r="JA34"/>
  <c r="JA31"/>
  <c r="JH44"/>
  <c r="JH43"/>
  <c r="JH42"/>
  <c r="JH41"/>
  <c r="JH31"/>
  <c r="JH30"/>
  <c r="JG30"/>
  <c r="JB30"/>
  <c r="JA30"/>
  <c r="IX30"/>
  <c r="IO47"/>
  <c r="IF47"/>
  <c r="HV47"/>
  <c r="HU47"/>
  <c r="HM47"/>
  <c r="HC47"/>
  <c r="GS47"/>
  <c r="GJ47"/>
  <c r="FQ47"/>
  <c r="FG47"/>
  <c r="EX47"/>
  <c r="JG34"/>
  <c r="EJ34"/>
  <c r="JG16"/>
  <c r="JF16"/>
  <c r="JE16"/>
  <c r="JD16"/>
  <c r="JC16"/>
  <c r="JB16"/>
  <c r="JA16"/>
  <c r="IZ16"/>
  <c r="IY16"/>
  <c r="IX16"/>
  <c r="IV16"/>
  <c r="IU16"/>
  <c r="IT16"/>
  <c r="IS16"/>
  <c r="IR16"/>
  <c r="IQ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B16"/>
  <c r="HA16"/>
  <c r="GZ16"/>
  <c r="GY16"/>
  <c r="GX16"/>
  <c r="GW16"/>
  <c r="GU16"/>
  <c r="GT16"/>
  <c r="GS16"/>
  <c r="GR16"/>
  <c r="GQ16"/>
  <c r="GP16"/>
  <c r="GO16"/>
  <c r="GN16"/>
  <c r="GM16"/>
  <c r="GL16"/>
  <c r="GK16"/>
  <c r="GJ16"/>
  <c r="GI16"/>
  <c r="GH16"/>
  <c r="GF16"/>
  <c r="GE16"/>
  <c r="GD16"/>
  <c r="GB16"/>
  <c r="GA16"/>
  <c r="FZ16"/>
  <c r="FY16"/>
  <c r="FX16"/>
  <c r="FW16"/>
  <c r="FV16"/>
  <c r="FU16"/>
  <c r="FT16"/>
  <c r="FS16"/>
  <c r="FR16"/>
  <c r="FQ16"/>
  <c r="FP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JE49" l="1"/>
  <c r="IY49"/>
  <c r="IZ49"/>
  <c r="JD49"/>
  <c r="JF49"/>
  <c r="JG49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U16"/>
  <c r="DT16"/>
  <c r="DS16"/>
  <c r="DR16"/>
  <c r="DQ16"/>
  <c r="DP16"/>
  <c r="DO16"/>
  <c r="DN16"/>
  <c r="DM16"/>
  <c r="DL16"/>
  <c r="JG11"/>
  <c r="JF11"/>
  <c r="JE11"/>
  <c r="JD11"/>
  <c r="JC11"/>
  <c r="JB11"/>
  <c r="JA11"/>
  <c r="IZ11"/>
  <c r="IY11"/>
  <c r="JH10"/>
  <c r="JG10"/>
  <c r="JF10"/>
  <c r="JE10"/>
  <c r="JD10"/>
  <c r="JC10"/>
  <c r="JB10"/>
  <c r="JA10"/>
  <c r="IY10"/>
  <c r="JH9"/>
  <c r="JG9"/>
  <c r="JF9"/>
  <c r="JE9"/>
  <c r="JD9"/>
  <c r="JC9"/>
  <c r="JB9"/>
  <c r="JA9"/>
  <c r="IZ9"/>
  <c r="IY9"/>
  <c r="IX11"/>
  <c r="IX10"/>
  <c r="IX9"/>
  <c r="JH12"/>
  <c r="JG12"/>
  <c r="JF12"/>
  <c r="JE12"/>
  <c r="JD12"/>
  <c r="JC12"/>
  <c r="JB12"/>
  <c r="JA12"/>
  <c r="IZ12"/>
  <c r="IY12"/>
  <c r="IX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U12"/>
  <c r="DT12"/>
  <c r="DS12"/>
  <c r="DR12"/>
  <c r="DQ12"/>
  <c r="DP12"/>
  <c r="DO12"/>
  <c r="DN12"/>
  <c r="DM12"/>
  <c r="DL12"/>
  <c r="IO36"/>
  <c r="IV36"/>
  <c r="IU36"/>
  <c r="IT36"/>
  <c r="IS36"/>
  <c r="IR36"/>
  <c r="IV35"/>
  <c r="IU35"/>
  <c r="IT35"/>
  <c r="IS35"/>
  <c r="IR35"/>
  <c r="IQ35"/>
  <c r="IV34"/>
  <c r="IU34"/>
  <c r="IT34"/>
  <c r="IS34"/>
  <c r="IR34"/>
  <c r="IQ34"/>
  <c r="IV33"/>
  <c r="IU33"/>
  <c r="IT33"/>
  <c r="IS33"/>
  <c r="IR33"/>
  <c r="IQ33"/>
  <c r="IV32"/>
  <c r="IU32"/>
  <c r="IT32"/>
  <c r="IS32"/>
  <c r="IR32"/>
  <c r="IQ32"/>
  <c r="IV31"/>
  <c r="IU31"/>
  <c r="IT31"/>
  <c r="IS31"/>
  <c r="IR31"/>
  <c r="IQ31"/>
  <c r="IV30"/>
  <c r="IU30"/>
  <c r="IT30"/>
  <c r="IS30"/>
  <c r="IR30"/>
  <c r="IQ30"/>
  <c r="IN35"/>
  <c r="IN34"/>
  <c r="IN33"/>
  <c r="IN32"/>
  <c r="IN31"/>
  <c r="IN30"/>
  <c r="IM35"/>
  <c r="IM34"/>
  <c r="IM33"/>
  <c r="IM32"/>
  <c r="IM31"/>
  <c r="IM30"/>
  <c r="IK36"/>
  <c r="IJ36"/>
  <c r="II36"/>
  <c r="IK33"/>
  <c r="IJ33"/>
  <c r="II33"/>
  <c r="IH33"/>
  <c r="IK32"/>
  <c r="IJ32"/>
  <c r="II32"/>
  <c r="IH32"/>
  <c r="IG32"/>
  <c r="IK31"/>
  <c r="IJ31"/>
  <c r="II31"/>
  <c r="IH31"/>
  <c r="IF31"/>
  <c r="IF36"/>
  <c r="IE36"/>
  <c r="ID36"/>
  <c r="IC36"/>
  <c r="IB36"/>
  <c r="IA36"/>
  <c r="HZ36"/>
  <c r="HY36"/>
  <c r="IE33"/>
  <c r="ID33"/>
  <c r="IC33"/>
  <c r="IB33"/>
  <c r="IA33"/>
  <c r="HZ33"/>
  <c r="HY33"/>
  <c r="HX33"/>
  <c r="IE32"/>
  <c r="ID32"/>
  <c r="IC32"/>
  <c r="IB32"/>
  <c r="IA32"/>
  <c r="HZ32"/>
  <c r="HY32"/>
  <c r="HX32"/>
  <c r="IE31"/>
  <c r="ID31"/>
  <c r="IC31"/>
  <c r="IB31"/>
  <c r="IA31"/>
  <c r="HZ31"/>
  <c r="HY31"/>
  <c r="HX31"/>
  <c r="IE30"/>
  <c r="ID30"/>
  <c r="IC30"/>
  <c r="IB30"/>
  <c r="IA30"/>
  <c r="HZ30"/>
  <c r="HY30"/>
  <c r="HX30"/>
  <c r="HW33"/>
  <c r="HW32"/>
  <c r="HW31"/>
  <c r="HW30"/>
  <c r="HV32"/>
  <c r="HV31"/>
  <c r="HV36"/>
  <c r="HU36"/>
  <c r="HT36"/>
  <c r="HS36"/>
  <c r="HR36"/>
  <c r="HU35"/>
  <c r="HT35"/>
  <c r="HS35"/>
  <c r="HR35"/>
  <c r="HU34"/>
  <c r="HT34"/>
  <c r="HS34"/>
  <c r="HR34"/>
  <c r="HU33"/>
  <c r="HT33"/>
  <c r="HS33"/>
  <c r="HR33"/>
  <c r="HU32"/>
  <c r="HT32"/>
  <c r="HS32"/>
  <c r="HR32"/>
  <c r="HU31"/>
  <c r="HT31"/>
  <c r="HS31"/>
  <c r="HR31"/>
  <c r="HU30"/>
  <c r="HT30"/>
  <c r="HS30"/>
  <c r="HR30"/>
  <c r="HQ35"/>
  <c r="HQ34"/>
  <c r="HQ33"/>
  <c r="HQ32"/>
  <c r="HQ31"/>
  <c r="HQ30"/>
  <c r="HO36"/>
  <c r="HO35"/>
  <c r="HN35"/>
  <c r="HO33"/>
  <c r="HN33"/>
  <c r="HO32"/>
  <c r="HN32"/>
  <c r="HO31"/>
  <c r="HN31"/>
  <c r="HJ33"/>
  <c r="HJ31"/>
  <c r="HJ32"/>
  <c r="HK32"/>
  <c r="HK33"/>
  <c r="HL33"/>
  <c r="HL32"/>
  <c r="HL31"/>
  <c r="HM31"/>
  <c r="HM32"/>
  <c r="HM36"/>
  <c r="HL36"/>
  <c r="HK36"/>
  <c r="HJ36"/>
  <c r="HI36"/>
  <c r="HI35"/>
  <c r="HI33"/>
  <c r="HI31"/>
  <c r="HD33"/>
  <c r="HD32"/>
  <c r="HD31"/>
  <c r="HH36"/>
  <c r="HG36"/>
  <c r="HF36"/>
  <c r="HE36"/>
  <c r="HH35"/>
  <c r="HG35"/>
  <c r="HF35"/>
  <c r="HE35"/>
  <c r="HH34"/>
  <c r="HG34"/>
  <c r="HF34"/>
  <c r="HE34"/>
  <c r="HH32"/>
  <c r="HG32"/>
  <c r="HF32"/>
  <c r="HE32"/>
  <c r="HH31"/>
  <c r="HG31"/>
  <c r="HF31"/>
  <c r="HE31"/>
  <c r="HH30"/>
  <c r="HG30"/>
  <c r="HF30"/>
  <c r="HE30"/>
  <c r="HC32"/>
  <c r="HC31"/>
  <c r="HC36"/>
  <c r="HB36"/>
  <c r="HA36"/>
  <c r="GZ36"/>
  <c r="GY36"/>
  <c r="GX36"/>
  <c r="GW36"/>
  <c r="HB35"/>
  <c r="HA35"/>
  <c r="GZ35"/>
  <c r="GY35"/>
  <c r="GX35"/>
  <c r="GW35"/>
  <c r="GV35"/>
  <c r="HB34"/>
  <c r="HA34"/>
  <c r="GZ34"/>
  <c r="GY34"/>
  <c r="GX34"/>
  <c r="GW34"/>
  <c r="GV34"/>
  <c r="HB32"/>
  <c r="HA32"/>
  <c r="GZ32"/>
  <c r="GY32"/>
  <c r="GX32"/>
  <c r="GW32"/>
  <c r="GV32"/>
  <c r="HB31"/>
  <c r="HA31"/>
  <c r="GZ31"/>
  <c r="GY31"/>
  <c r="GX31"/>
  <c r="GW31"/>
  <c r="GV31"/>
  <c r="HB30"/>
  <c r="HA30"/>
  <c r="GZ30"/>
  <c r="GY30"/>
  <c r="GX30"/>
  <c r="GW30"/>
  <c r="GV30"/>
  <c r="GU35"/>
  <c r="GU32"/>
  <c r="GU31"/>
  <c r="GT30"/>
  <c r="GT31"/>
  <c r="GT32"/>
  <c r="GT35"/>
  <c r="GS36"/>
  <c r="GS35"/>
  <c r="GS32"/>
  <c r="GS31"/>
  <c r="GR48"/>
  <c r="GQ48"/>
  <c r="GR44"/>
  <c r="GQ44"/>
  <c r="GR43"/>
  <c r="GQ43"/>
  <c r="GR42"/>
  <c r="GQ42"/>
  <c r="GR41"/>
  <c r="GQ41"/>
  <c r="GR36"/>
  <c r="GQ36"/>
  <c r="GR35"/>
  <c r="GQ35"/>
  <c r="GR34"/>
  <c r="GQ34"/>
  <c r="GR33"/>
  <c r="GQ33"/>
  <c r="GR31"/>
  <c r="GQ31"/>
  <c r="GR30"/>
  <c r="GQ30"/>
  <c r="GL36"/>
  <c r="GM36"/>
  <c r="GN36"/>
  <c r="GO36"/>
  <c r="GP36"/>
  <c r="GP35"/>
  <c r="GP33"/>
  <c r="GP31"/>
  <c r="GO33"/>
  <c r="GN33"/>
  <c r="GM33"/>
  <c r="GL33"/>
  <c r="GK33"/>
  <c r="GN32"/>
  <c r="GM32"/>
  <c r="GL32"/>
  <c r="GK32"/>
  <c r="GO31"/>
  <c r="GN31"/>
  <c r="GM31"/>
  <c r="GL31"/>
  <c r="GK31"/>
  <c r="GO30"/>
  <c r="GN30"/>
  <c r="GM30"/>
  <c r="GL30"/>
  <c r="GK30"/>
  <c r="GJ32"/>
  <c r="GJ31"/>
  <c r="GJ30"/>
  <c r="GI48"/>
  <c r="GI44"/>
  <c r="GI43"/>
  <c r="GI42"/>
  <c r="GI41"/>
  <c r="GI36"/>
  <c r="GI35"/>
  <c r="GI34"/>
  <c r="GI33"/>
  <c r="GI32"/>
  <c r="GI31"/>
  <c r="GI30"/>
  <c r="FR55"/>
  <c r="GA35"/>
  <c r="GB35"/>
  <c r="GC35"/>
  <c r="GD35"/>
  <c r="GE35"/>
  <c r="GF35"/>
  <c r="GG35"/>
  <c r="GH35"/>
  <c r="GJ35"/>
  <c r="GJ36"/>
  <c r="GH36"/>
  <c r="GG36"/>
  <c r="GF36"/>
  <c r="GE36"/>
  <c r="GD36"/>
  <c r="GC36"/>
  <c r="FY33"/>
  <c r="GB33"/>
  <c r="GC33"/>
  <c r="GD33"/>
  <c r="GE33"/>
  <c r="GF33"/>
  <c r="GG33"/>
  <c r="GH33"/>
  <c r="GH32"/>
  <c r="GG32"/>
  <c r="GF32"/>
  <c r="GE32"/>
  <c r="GD32"/>
  <c r="GC32"/>
  <c r="GB32"/>
  <c r="GA32"/>
  <c r="FZ32"/>
  <c r="GH31"/>
  <c r="GG31"/>
  <c r="GF31"/>
  <c r="GE31"/>
  <c r="GD31"/>
  <c r="GC31"/>
  <c r="GB31"/>
  <c r="GA31"/>
  <c r="FZ31"/>
  <c r="GH30"/>
  <c r="GG30"/>
  <c r="GF30"/>
  <c r="GE30"/>
  <c r="GD30"/>
  <c r="GC30"/>
  <c r="GB30"/>
  <c r="GA30"/>
  <c r="FZ30"/>
  <c r="GA48"/>
  <c r="GA44"/>
  <c r="GA43"/>
  <c r="GA42"/>
  <c r="GA41"/>
  <c r="GA34"/>
  <c r="FY32"/>
  <c r="FY31"/>
  <c r="FY30"/>
  <c r="FX30"/>
  <c r="FX31"/>
  <c r="FX32"/>
  <c r="FX33"/>
  <c r="FW33"/>
  <c r="FW32"/>
  <c r="FW31"/>
  <c r="FW30"/>
  <c r="FV30"/>
  <c r="FV31"/>
  <c r="FV32"/>
  <c r="FV33"/>
  <c r="FU36"/>
  <c r="FU35"/>
  <c r="FU33"/>
  <c r="FU31"/>
  <c r="FY36"/>
  <c r="FX36"/>
  <c r="FW36"/>
  <c r="FV36"/>
  <c r="FT36"/>
  <c r="FT33"/>
  <c r="FS33"/>
  <c r="FT32"/>
  <c r="FS32"/>
  <c r="FR32"/>
  <c r="FT31"/>
  <c r="FS31"/>
  <c r="FR31"/>
  <c r="FT30"/>
  <c r="FS30"/>
  <c r="FR30"/>
  <c r="FQ32"/>
  <c r="FQ31"/>
  <c r="FQ36"/>
  <c r="FP36"/>
  <c r="FO36"/>
  <c r="FN36"/>
  <c r="FM36"/>
  <c r="FL36"/>
  <c r="FK36"/>
  <c r="FJ36"/>
  <c r="FP33"/>
  <c r="FO33"/>
  <c r="FN33"/>
  <c r="FM33"/>
  <c r="FL33"/>
  <c r="FK33"/>
  <c r="FP32"/>
  <c r="FO32"/>
  <c r="FN32"/>
  <c r="FM32"/>
  <c r="FL32"/>
  <c r="FK32"/>
  <c r="FP31"/>
  <c r="FO31"/>
  <c r="FN31"/>
  <c r="FM31"/>
  <c r="FL31"/>
  <c r="FK31"/>
  <c r="FP30"/>
  <c r="FO30"/>
  <c r="FN30"/>
  <c r="FM30"/>
  <c r="FL30"/>
  <c r="FK30"/>
  <c r="FJ33"/>
  <c r="FJ32"/>
  <c r="FJ31"/>
  <c r="FJ30"/>
  <c r="FI33"/>
  <c r="FI32"/>
  <c r="FI31"/>
  <c r="FI30"/>
  <c r="FH33"/>
  <c r="FH32"/>
  <c r="FH31"/>
  <c r="FG35"/>
  <c r="FG32"/>
  <c r="FG31"/>
  <c r="FF32"/>
  <c r="FF31"/>
  <c r="FF30"/>
  <c r="FE36"/>
  <c r="FD36"/>
  <c r="FC36"/>
  <c r="FB36"/>
  <c r="FA36"/>
  <c r="EZ36"/>
  <c r="FE35"/>
  <c r="FD35"/>
  <c r="FC35"/>
  <c r="FB35"/>
  <c r="FA35"/>
  <c r="EZ35"/>
  <c r="FE34"/>
  <c r="FD34"/>
  <c r="FC34"/>
  <c r="FB34"/>
  <c r="FA34"/>
  <c r="EZ34"/>
  <c r="FE33"/>
  <c r="FD33"/>
  <c r="FC33"/>
  <c r="FB33"/>
  <c r="FA33"/>
  <c r="EZ33"/>
  <c r="FE32"/>
  <c r="FD32"/>
  <c r="FC32"/>
  <c r="FB32"/>
  <c r="FA32"/>
  <c r="EZ32"/>
  <c r="FE31"/>
  <c r="FD31"/>
  <c r="FC31"/>
  <c r="FB31"/>
  <c r="FA31"/>
  <c r="EZ31"/>
  <c r="FE30"/>
  <c r="FD30"/>
  <c r="FC30"/>
  <c r="FB30"/>
  <c r="FA30"/>
  <c r="EZ30"/>
  <c r="EY35"/>
  <c r="EX36"/>
  <c r="EX35"/>
  <c r="EX32"/>
  <c r="EX31"/>
  <c r="EV30"/>
  <c r="EW36"/>
  <c r="EV36"/>
  <c r="EU36"/>
  <c r="EW35"/>
  <c r="EV35"/>
  <c r="EU35"/>
  <c r="ET35"/>
  <c r="ES35"/>
  <c r="EW34"/>
  <c r="EV34"/>
  <c r="EU34"/>
  <c r="ET34"/>
  <c r="ES34"/>
  <c r="EW33"/>
  <c r="EV33"/>
  <c r="EU33"/>
  <c r="ET33"/>
  <c r="ES33"/>
  <c r="EW32"/>
  <c r="EV32"/>
  <c r="EU32"/>
  <c r="ET32"/>
  <c r="ES32"/>
  <c r="EW31"/>
  <c r="EV31"/>
  <c r="EU31"/>
  <c r="ET31"/>
  <c r="ES31"/>
  <c r="EU30"/>
  <c r="ET30"/>
  <c r="ES30"/>
  <c r="EV47"/>
  <c r="EU47"/>
  <c r="ET47"/>
  <c r="ES47"/>
  <c r="ER47"/>
  <c r="EQ47"/>
  <c r="EP47"/>
  <c r="EO47"/>
  <c r="EM47"/>
  <c r="EL47"/>
  <c r="EK47"/>
  <c r="EE47"/>
  <c r="EI47"/>
  <c r="EH47"/>
  <c r="EG47"/>
  <c r="EF47"/>
  <c r="EC47"/>
  <c r="EB47"/>
  <c r="EA47"/>
  <c r="DZ47"/>
  <c r="DY47"/>
  <c r="DX47"/>
  <c r="DW47"/>
  <c r="ER36"/>
  <c r="EQ36"/>
  <c r="ER35"/>
  <c r="EQ35"/>
  <c r="EP35"/>
  <c r="ER33"/>
  <c r="EQ33"/>
  <c r="EP33"/>
  <c r="ER32"/>
  <c r="EQ32"/>
  <c r="EP32"/>
  <c r="ER31"/>
  <c r="EQ31"/>
  <c r="EP31"/>
  <c r="EO35"/>
  <c r="EO32"/>
  <c r="EO31"/>
  <c r="EO30"/>
  <c r="EN30"/>
  <c r="EN31"/>
  <c r="EN32"/>
  <c r="EN35"/>
  <c r="EN36"/>
  <c r="EM36"/>
  <c r="EM35"/>
  <c r="EM33"/>
  <c r="EM31"/>
  <c r="EL36"/>
  <c r="EL35"/>
  <c r="EL34"/>
  <c r="EL33"/>
  <c r="EL32"/>
  <c r="EL31"/>
  <c r="EL30"/>
  <c r="EK33"/>
  <c r="EJ36"/>
  <c r="EJ35"/>
  <c r="EJ32"/>
  <c r="EJ31"/>
  <c r="EK35"/>
  <c r="EK32"/>
  <c r="EK31"/>
  <c r="EK30"/>
  <c r="EJ30"/>
  <c r="EI36"/>
  <c r="EH36"/>
  <c r="EI35"/>
  <c r="EH35"/>
  <c r="EI33"/>
  <c r="EH33"/>
  <c r="EI32"/>
  <c r="EH32"/>
  <c r="EI31"/>
  <c r="EH31"/>
  <c r="EI30"/>
  <c r="EH30"/>
  <c r="EG36"/>
  <c r="EG35"/>
  <c r="EG33"/>
  <c r="EG32"/>
  <c r="EG31"/>
  <c r="EG30"/>
  <c r="EF36"/>
  <c r="EF35"/>
  <c r="EF33"/>
  <c r="EF32"/>
  <c r="EF31"/>
  <c r="EE35"/>
  <c r="EE31"/>
  <c r="DV47"/>
  <c r="DU47"/>
  <c r="ED36"/>
  <c r="EC36"/>
  <c r="EB36"/>
  <c r="EA36"/>
  <c r="DZ36"/>
  <c r="DY36"/>
  <c r="DX36"/>
  <c r="ED35"/>
  <c r="EC35"/>
  <c r="EB35"/>
  <c r="EA35"/>
  <c r="DZ35"/>
  <c r="DY35"/>
  <c r="DX35"/>
  <c r="DW36"/>
  <c r="DV48"/>
  <c r="DV44"/>
  <c r="DV43"/>
  <c r="DV42"/>
  <c r="DV41"/>
  <c r="DY48"/>
  <c r="DX48"/>
  <c r="DW48"/>
  <c r="DY44"/>
  <c r="DX44"/>
  <c r="DW44"/>
  <c r="DY43"/>
  <c r="DX43"/>
  <c r="DW43"/>
  <c r="DY42"/>
  <c r="DX42"/>
  <c r="DW42"/>
  <c r="DY41"/>
  <c r="DX41"/>
  <c r="DW41"/>
  <c r="DW35"/>
  <c r="DY34"/>
  <c r="DX34"/>
  <c r="DW34"/>
  <c r="DY33"/>
  <c r="DX33"/>
  <c r="DW33"/>
  <c r="DY32"/>
  <c r="DX32"/>
  <c r="DW32"/>
  <c r="DY31"/>
  <c r="DX31"/>
  <c r="DW31"/>
  <c r="DY30"/>
  <c r="DX30"/>
  <c r="DW30"/>
  <c r="IP34"/>
  <c r="IO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P34"/>
  <c r="HO34"/>
  <c r="HN34"/>
  <c r="HM34"/>
  <c r="HL34"/>
  <c r="HK34"/>
  <c r="HJ34"/>
  <c r="HI34"/>
  <c r="HD34"/>
  <c r="HC34"/>
  <c r="GU34"/>
  <c r="GT34"/>
  <c r="GS34"/>
  <c r="GP34"/>
  <c r="GO34"/>
  <c r="GN34"/>
  <c r="GM34"/>
  <c r="GL34"/>
  <c r="GK34"/>
  <c r="GJ34"/>
  <c r="GH34"/>
  <c r="GG34"/>
  <c r="GF34"/>
  <c r="GE34"/>
  <c r="GD34"/>
  <c r="GC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G34"/>
  <c r="FF34"/>
  <c r="EY34"/>
  <c r="EX34"/>
  <c r="ER34"/>
  <c r="EQ34"/>
  <c r="EP34"/>
  <c r="EO34"/>
  <c r="EN34"/>
  <c r="EK34"/>
  <c r="EI34"/>
  <c r="EH34"/>
  <c r="EG34"/>
  <c r="EF34"/>
  <c r="EE34"/>
  <c r="ED34"/>
  <c r="EC34"/>
  <c r="EB34"/>
  <c r="EA34"/>
  <c r="DV34"/>
  <c r="DU34"/>
  <c r="DT34"/>
  <c r="ED31"/>
  <c r="ED30"/>
  <c r="EC33"/>
  <c r="EB33"/>
  <c r="EA33"/>
  <c r="DZ33"/>
  <c r="DV33"/>
  <c r="DU33"/>
  <c r="EC32"/>
  <c r="EB32"/>
  <c r="EA32"/>
  <c r="DZ32"/>
  <c r="DV32"/>
  <c r="DU32"/>
  <c r="DT32"/>
  <c r="EC31"/>
  <c r="EB31"/>
  <c r="EA31"/>
  <c r="DZ31"/>
  <c r="DV31"/>
  <c r="DU31"/>
  <c r="DT31"/>
  <c r="EC30"/>
  <c r="EB30"/>
  <c r="EA30"/>
  <c r="DZ30"/>
  <c r="DV30"/>
  <c r="DU30"/>
  <c r="DT30"/>
  <c r="DT36"/>
  <c r="DS36"/>
  <c r="DR36"/>
  <c r="DQ36"/>
  <c r="DS35"/>
  <c r="DR35"/>
  <c r="DQ35"/>
  <c r="DP35"/>
  <c r="DS34"/>
  <c r="DR34"/>
  <c r="DQ34"/>
  <c r="DP34"/>
  <c r="DS33"/>
  <c r="DR33"/>
  <c r="DQ33"/>
  <c r="DP33"/>
  <c r="DS32"/>
  <c r="DR32"/>
  <c r="DQ32"/>
  <c r="DP32"/>
  <c r="DS31"/>
  <c r="DR31"/>
  <c r="DQ31"/>
  <c r="DP31"/>
  <c r="DS30"/>
  <c r="DR30"/>
  <c r="DQ30"/>
  <c r="DP30"/>
  <c r="DS47"/>
  <c r="DR47"/>
  <c r="DQ47"/>
  <c r="DP47"/>
  <c r="DO36"/>
  <c r="DO35"/>
  <c r="DO34"/>
  <c r="DO32"/>
  <c r="DO31"/>
  <c r="DO30"/>
  <c r="DN47"/>
  <c r="DM47"/>
  <c r="DL47"/>
  <c r="DN42"/>
  <c r="DN48"/>
  <c r="DM48"/>
  <c r="DN44"/>
  <c r="DM44"/>
  <c r="DN43"/>
  <c r="DM43"/>
  <c r="DM42"/>
  <c r="DN41"/>
  <c r="DM41"/>
  <c r="DN36"/>
  <c r="DM36"/>
  <c r="DN35"/>
  <c r="DM35"/>
  <c r="DN34"/>
  <c r="DM34"/>
  <c r="DN33"/>
  <c r="DM33"/>
  <c r="DN32"/>
  <c r="DM32"/>
  <c r="DN31"/>
  <c r="DM31"/>
  <c r="DN30"/>
  <c r="DM30"/>
  <c r="DL35"/>
  <c r="DL34"/>
  <c r="DL33"/>
  <c r="DL32"/>
  <c r="DL31"/>
  <c r="DL30"/>
  <c r="BN55"/>
  <c r="CH55"/>
  <c r="CQ55"/>
  <c r="IV44"/>
  <c r="IU44"/>
  <c r="JI44" s="1"/>
  <c r="IT44"/>
  <c r="IS44"/>
  <c r="IR44"/>
  <c r="IQ44"/>
  <c r="IP44"/>
  <c r="IO44"/>
  <c r="IN44"/>
  <c r="IM44"/>
  <c r="IL44"/>
  <c r="IK44"/>
  <c r="IJ44"/>
  <c r="II44"/>
  <c r="IH44"/>
  <c r="IG44"/>
  <c r="IF44"/>
  <c r="IE44"/>
  <c r="ID44"/>
  <c r="IC44"/>
  <c r="IB44"/>
  <c r="IA44"/>
  <c r="HZ44"/>
  <c r="HY44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P44"/>
  <c r="GO44"/>
  <c r="GN44"/>
  <c r="GM44"/>
  <c r="GL44"/>
  <c r="GK44"/>
  <c r="GJ44"/>
  <c r="GH44"/>
  <c r="GG44"/>
  <c r="GF44"/>
  <c r="GE44"/>
  <c r="GD44"/>
  <c r="GC44"/>
  <c r="GB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U44"/>
  <c r="DT44"/>
  <c r="DS44"/>
  <c r="DR44"/>
  <c r="DQ44"/>
  <c r="DP44"/>
  <c r="DO44"/>
  <c r="DL44"/>
  <c r="IV43"/>
  <c r="IU43"/>
  <c r="IT43"/>
  <c r="IS43"/>
  <c r="IR43"/>
  <c r="IQ43"/>
  <c r="IP43"/>
  <c r="IO43"/>
  <c r="IN43"/>
  <c r="IM43"/>
  <c r="IL43"/>
  <c r="IK43"/>
  <c r="IJ43"/>
  <c r="II43"/>
  <c r="IH43"/>
  <c r="IG43"/>
  <c r="IF43"/>
  <c r="IE43"/>
  <c r="ID43"/>
  <c r="IC43"/>
  <c r="IB43"/>
  <c r="IA43"/>
  <c r="HZ43"/>
  <c r="HY43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P43"/>
  <c r="GO43"/>
  <c r="GN43"/>
  <c r="GM43"/>
  <c r="GL43"/>
  <c r="GK43"/>
  <c r="GJ43"/>
  <c r="GH43"/>
  <c r="GG43"/>
  <c r="GF43"/>
  <c r="GE43"/>
  <c r="GD43"/>
  <c r="GC43"/>
  <c r="GB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U43"/>
  <c r="DT43"/>
  <c r="DS43"/>
  <c r="DR43"/>
  <c r="DQ43"/>
  <c r="DP43"/>
  <c r="DO43"/>
  <c r="DL43"/>
  <c r="IV42"/>
  <c r="IU42"/>
  <c r="IT42"/>
  <c r="IS42"/>
  <c r="IR42"/>
  <c r="IQ42"/>
  <c r="IP42"/>
  <c r="IO42"/>
  <c r="IN42"/>
  <c r="IM42"/>
  <c r="IL42"/>
  <c r="IK42"/>
  <c r="IJ42"/>
  <c r="II42"/>
  <c r="IH42"/>
  <c r="IG42"/>
  <c r="IF42"/>
  <c r="IE42"/>
  <c r="ID42"/>
  <c r="IC42"/>
  <c r="IB42"/>
  <c r="IA42"/>
  <c r="HZ42"/>
  <c r="HY42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P42"/>
  <c r="GO42"/>
  <c r="GN42"/>
  <c r="GM42"/>
  <c r="GL42"/>
  <c r="GK42"/>
  <c r="GJ42"/>
  <c r="GH42"/>
  <c r="GG42"/>
  <c r="GF42"/>
  <c r="GE42"/>
  <c r="GD42"/>
  <c r="GC42"/>
  <c r="GB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U42"/>
  <c r="DT42"/>
  <c r="DS42"/>
  <c r="DR42"/>
  <c r="DQ42"/>
  <c r="DP42"/>
  <c r="DO42"/>
  <c r="DL42"/>
  <c r="IV41"/>
  <c r="IU41"/>
  <c r="IT41"/>
  <c r="IS41"/>
  <c r="IR41"/>
  <c r="IQ41"/>
  <c r="IP41"/>
  <c r="IO41"/>
  <c r="IN41"/>
  <c r="IM41"/>
  <c r="IL41"/>
  <c r="IK41"/>
  <c r="IJ41"/>
  <c r="II41"/>
  <c r="IH41"/>
  <c r="IG41"/>
  <c r="IF41"/>
  <c r="IE41"/>
  <c r="ID41"/>
  <c r="IC41"/>
  <c r="IB41"/>
  <c r="IA41"/>
  <c r="HZ41"/>
  <c r="HY4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P41"/>
  <c r="GO41"/>
  <c r="GN41"/>
  <c r="GM41"/>
  <c r="GL41"/>
  <c r="GK41"/>
  <c r="GJ41"/>
  <c r="GH41"/>
  <c r="GG41"/>
  <c r="GF41"/>
  <c r="GE41"/>
  <c r="GD41"/>
  <c r="GC41"/>
  <c r="GB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U41"/>
  <c r="DT41"/>
  <c r="DS41"/>
  <c r="DR41"/>
  <c r="DQ41"/>
  <c r="DP41"/>
  <c r="DO41"/>
  <c r="DL41"/>
  <c r="J97"/>
  <c r="EE30"/>
  <c r="EF30"/>
  <c r="EM30"/>
  <c r="EP30"/>
  <c r="EQ30"/>
  <c r="ER30"/>
  <c r="EX30"/>
  <c r="FG30"/>
  <c r="FH30"/>
  <c r="FQ30"/>
  <c r="FU30"/>
  <c r="GP30"/>
  <c r="GS30"/>
  <c r="GU30"/>
  <c r="HC30"/>
  <c r="HD30"/>
  <c r="HI30"/>
  <c r="HJ30"/>
  <c r="HK30"/>
  <c r="HL30"/>
  <c r="HM30"/>
  <c r="HN30"/>
  <c r="HO30"/>
  <c r="HP30"/>
  <c r="IG30"/>
  <c r="IH30"/>
  <c r="II30"/>
  <c r="IJ30"/>
  <c r="IK30"/>
  <c r="IL30"/>
  <c r="IO30"/>
  <c r="IP30"/>
  <c r="DT35"/>
  <c r="DU35"/>
  <c r="DV35"/>
  <c r="FF35"/>
  <c r="FH35"/>
  <c r="FI35"/>
  <c r="FJ35"/>
  <c r="FK35"/>
  <c r="FL35"/>
  <c r="FM35"/>
  <c r="FN35"/>
  <c r="FO35"/>
  <c r="FP35"/>
  <c r="FQ35"/>
  <c r="FR35"/>
  <c r="FS35"/>
  <c r="FT35"/>
  <c r="FV35"/>
  <c r="FW35"/>
  <c r="FX35"/>
  <c r="FY35"/>
  <c r="FZ35"/>
  <c r="GK35"/>
  <c r="GL35"/>
  <c r="GM35"/>
  <c r="GN35"/>
  <c r="GO35"/>
  <c r="HC35"/>
  <c r="HD35"/>
  <c r="HJ35"/>
  <c r="HK35"/>
  <c r="HL35"/>
  <c r="HM35"/>
  <c r="HP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O35"/>
  <c r="IP35"/>
  <c r="DL48"/>
  <c r="DO48"/>
  <c r="DP48"/>
  <c r="DQ48"/>
  <c r="DR48"/>
  <c r="DS48"/>
  <c r="DT48"/>
  <c r="DU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B48"/>
  <c r="GC48"/>
  <c r="GD48"/>
  <c r="GE48"/>
  <c r="GF48"/>
  <c r="GG48"/>
  <c r="GH48"/>
  <c r="GJ48"/>
  <c r="GK48"/>
  <c r="GL48"/>
  <c r="GM48"/>
  <c r="GN48"/>
  <c r="GO48"/>
  <c r="GP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JH48"/>
  <c r="JH45"/>
  <c r="JH35"/>
  <c r="IX48"/>
  <c r="IX45"/>
  <c r="IX44"/>
  <c r="IX43"/>
  <c r="IX42"/>
  <c r="IX41"/>
  <c r="JH34"/>
  <c r="JH32"/>
  <c r="J98"/>
  <c r="G80"/>
  <c r="IX34"/>
  <c r="IX36"/>
  <c r="IX35"/>
  <c r="IX33"/>
  <c r="IX32"/>
  <c r="IX31"/>
  <c r="JI41"/>
  <c r="JI40"/>
  <c r="JI31"/>
  <c r="JI26"/>
  <c r="JI25"/>
  <c r="JI24"/>
  <c r="JI23"/>
  <c r="JI22"/>
  <c r="JI21"/>
  <c r="JI20"/>
  <c r="JI18"/>
  <c r="JI13"/>
  <c r="JH15"/>
  <c r="JG15"/>
  <c r="JF15"/>
  <c r="JE15"/>
  <c r="JD15"/>
  <c r="JC15"/>
  <c r="JB15"/>
  <c r="JA15"/>
  <c r="IZ15"/>
  <c r="IY15"/>
  <c r="JH14"/>
  <c r="JG14"/>
  <c r="JF14"/>
  <c r="JE14"/>
  <c r="JD14"/>
  <c r="JC14"/>
  <c r="JB14"/>
  <c r="JA14"/>
  <c r="IY14"/>
  <c r="IX15"/>
  <c r="IX14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JI15" s="1"/>
  <c r="DL15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J84"/>
  <c r="IW48" i="87"/>
  <c r="IW43"/>
  <c r="IW42"/>
  <c r="IW41"/>
  <c r="IW40"/>
  <c r="IW35"/>
  <c r="IW32"/>
  <c r="IW31"/>
  <c r="IW26"/>
  <c r="IW25"/>
  <c r="IW24"/>
  <c r="IW23"/>
  <c r="IW22"/>
  <c r="IW21"/>
  <c r="IW15"/>
  <c r="IW13"/>
  <c r="IW9"/>
  <c r="IV11" i="90"/>
  <c r="IU11"/>
  <c r="IT11"/>
  <c r="IS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H11"/>
  <c r="GF11"/>
  <c r="GE11"/>
  <c r="GD11"/>
  <c r="GC11"/>
  <c r="GB11"/>
  <c r="GA11"/>
  <c r="FZ11"/>
  <c r="FY11"/>
  <c r="FX11"/>
  <c r="FW11"/>
  <c r="FV11"/>
  <c r="FU11"/>
  <c r="FT11"/>
  <c r="FS11"/>
  <c r="FR11"/>
  <c r="FP11"/>
  <c r="FO11"/>
  <c r="FL11"/>
  <c r="FK11"/>
  <c r="FJ11"/>
  <c r="FI11"/>
  <c r="FH11"/>
  <c r="FG11"/>
  <c r="FF11"/>
  <c r="FE11"/>
  <c r="FD11"/>
  <c r="FC11"/>
  <c r="EZ11"/>
  <c r="EY11"/>
  <c r="EX11"/>
  <c r="EW11"/>
  <c r="EV11"/>
  <c r="EU11"/>
  <c r="ET11"/>
  <c r="ES11"/>
  <c r="EQ11"/>
  <c r="EP11"/>
  <c r="EO11"/>
  <c r="EN11"/>
  <c r="EM11"/>
  <c r="EL11"/>
  <c r="EK11"/>
  <c r="EJ11"/>
  <c r="EI11"/>
  <c r="EH11"/>
  <c r="EF11"/>
  <c r="EE11"/>
  <c r="ED11"/>
  <c r="EB11"/>
  <c r="EA11"/>
  <c r="DZ11"/>
  <c r="DY11"/>
  <c r="DX11"/>
  <c r="DW11"/>
  <c r="DU11"/>
  <c r="DT11"/>
  <c r="DS11"/>
  <c r="DR11"/>
  <c r="DQ11"/>
  <c r="DP11"/>
  <c r="DO11"/>
  <c r="DN11"/>
  <c r="DM11"/>
  <c r="DL11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IV9"/>
  <c r="IU9"/>
  <c r="IT9"/>
  <c r="IS9"/>
  <c r="IR9"/>
  <c r="IQ9"/>
  <c r="IP9"/>
  <c r="IO9"/>
  <c r="IN9"/>
  <c r="IM9"/>
  <c r="IL9"/>
  <c r="IK9"/>
  <c r="IJ9"/>
  <c r="II9"/>
  <c r="IH9"/>
  <c r="IG9"/>
  <c r="IF9"/>
  <c r="IE9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JH8"/>
  <c r="JG8"/>
  <c r="JF8"/>
  <c r="JE8"/>
  <c r="JD8"/>
  <c r="JC8"/>
  <c r="JB8"/>
  <c r="JA8"/>
  <c r="IZ8"/>
  <c r="IY8"/>
  <c r="IX8"/>
  <c r="IV8"/>
  <c r="IU8"/>
  <c r="IT8"/>
  <c r="IS8"/>
  <c r="IR8"/>
  <c r="IQ8"/>
  <c r="IP8"/>
  <c r="IO8"/>
  <c r="IN8"/>
  <c r="IM8"/>
  <c r="IL8"/>
  <c r="IK8"/>
  <c r="IJ8"/>
  <c r="II8"/>
  <c r="IH8"/>
  <c r="IG8"/>
  <c r="IF8"/>
  <c r="IE8"/>
  <c r="ID8"/>
  <c r="IC8"/>
  <c r="IB8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JI43" l="1"/>
  <c r="JI48"/>
  <c r="JI30"/>
  <c r="JI42"/>
  <c r="DV49"/>
  <c r="DV53" s="1"/>
  <c r="JI35"/>
  <c r="AO16"/>
  <c r="BJ16"/>
  <c r="GG12" i="87"/>
  <c r="GG12" i="90" s="1"/>
  <c r="JI12" s="1"/>
  <c r="Q39" i="91"/>
  <c r="FN16" i="87" l="1"/>
  <c r="G14" i="91"/>
  <c r="G13"/>
  <c r="M49"/>
  <c r="M47"/>
  <c r="K43"/>
  <c r="K41"/>
  <c r="I39"/>
  <c r="I37"/>
  <c r="I35"/>
  <c r="G33"/>
  <c r="BJ19" i="90"/>
  <c r="R36" i="91" l="1"/>
  <c r="K62"/>
  <c r="I62"/>
  <c r="Q49"/>
  <c r="Q51" s="1"/>
  <c r="R51" s="1"/>
  <c r="I60"/>
  <c r="G21"/>
  <c r="K21"/>
  <c r="BH45" i="90"/>
  <c r="R49" i="91" l="1"/>
  <c r="M60"/>
  <c r="BG17" i="90"/>
  <c r="BF17"/>
  <c r="BE17" l="1"/>
  <c r="BD17" l="1"/>
  <c r="BB17" l="1"/>
  <c r="BB16"/>
  <c r="N77"/>
  <c r="N76"/>
  <c r="G77"/>
  <c r="G76"/>
  <c r="GA75" i="87"/>
  <c r="GA74"/>
  <c r="GU75"/>
  <c r="GU74"/>
  <c r="HC75"/>
  <c r="HC74"/>
  <c r="HM75"/>
  <c r="HM74"/>
  <c r="HP75"/>
  <c r="HP74"/>
  <c r="HV75"/>
  <c r="HV74"/>
  <c r="IG75"/>
  <c r="IG74"/>
  <c r="IL75"/>
  <c r="IL74"/>
  <c r="IP75"/>
  <c r="IP74"/>
  <c r="IV75" l="1"/>
  <c r="K108" i="90" s="1"/>
  <c r="IU75" i="87"/>
  <c r="K104" i="90" s="1"/>
  <c r="IV74" i="87"/>
  <c r="K107" i="90" s="1"/>
  <c r="IU74" i="87"/>
  <c r="K103" i="90" s="1"/>
  <c r="AZ37"/>
  <c r="AZ19"/>
  <c r="AX17"/>
  <c r="IF33" l="1"/>
  <c r="JA33"/>
  <c r="IO33"/>
  <c r="JB36"/>
  <c r="IP36"/>
  <c r="FQ33"/>
  <c r="FG33"/>
  <c r="GJ33"/>
  <c r="DT33"/>
  <c r="EN33"/>
  <c r="GS33"/>
  <c r="ED33"/>
  <c r="HV33"/>
  <c r="EX33"/>
  <c r="FH36"/>
  <c r="DU36"/>
  <c r="EO36"/>
  <c r="EY36"/>
  <c r="FR36"/>
  <c r="GT36"/>
  <c r="EE36"/>
  <c r="GK36"/>
  <c r="HW36"/>
  <c r="HM33"/>
  <c r="HC33"/>
  <c r="HD36"/>
  <c r="HN36"/>
  <c r="IG36"/>
  <c r="AU37"/>
  <c r="AU19"/>
  <c r="AT17" l="1"/>
  <c r="AP37"/>
  <c r="AP19"/>
  <c r="AK19"/>
  <c r="AK37"/>
  <c r="AI10" l="1"/>
  <c r="AH9"/>
  <c r="JI9" s="1"/>
  <c r="AF17"/>
  <c r="AF11"/>
  <c r="AE46"/>
  <c r="AD17"/>
  <c r="AA17"/>
  <c r="AA37"/>
  <c r="AA19"/>
  <c r="Y17" l="1"/>
  <c r="W37"/>
  <c r="JI37" s="1"/>
  <c r="W19"/>
  <c r="JI19" s="1"/>
  <c r="X45"/>
  <c r="U45"/>
  <c r="JI45" l="1"/>
  <c r="X64"/>
  <c r="Y64" s="1"/>
  <c r="Z64" s="1"/>
  <c r="AA64" s="1"/>
  <c r="AB64" s="1"/>
  <c r="AC64" s="1"/>
  <c r="AD64" s="1"/>
  <c r="AE64" s="1"/>
  <c r="AF64" s="1"/>
  <c r="AG64" s="1"/>
  <c r="AH64" s="1"/>
  <c r="AI64" s="1"/>
  <c r="AJ64" s="1"/>
  <c r="X63"/>
  <c r="Y63" s="1"/>
  <c r="Z63" s="1"/>
  <c r="AA63" s="1"/>
  <c r="AB63" s="1"/>
  <c r="AC63" s="1"/>
  <c r="AD63" s="1"/>
  <c r="AE63" s="1"/>
  <c r="AF63" s="1"/>
  <c r="AG63" s="1"/>
  <c r="AH63" s="1"/>
  <c r="AI63" s="1"/>
  <c r="AJ63" s="1"/>
  <c r="AK63" s="1"/>
  <c r="AL63" s="1"/>
  <c r="AM63" s="1"/>
  <c r="AN63" s="1"/>
  <c r="AO63" s="1"/>
  <c r="AP63" s="1"/>
  <c r="AQ63" s="1"/>
  <c r="AR63" s="1"/>
  <c r="AS63" s="1"/>
  <c r="AU63" s="1"/>
  <c r="AV63" s="1"/>
  <c r="AW63" s="1"/>
  <c r="AX63" s="1"/>
  <c r="AY63" s="1"/>
  <c r="AZ63" s="1"/>
  <c r="BA63" s="1"/>
  <c r="BB63" s="1"/>
  <c r="BC63" s="1"/>
  <c r="BD63" s="1"/>
  <c r="BE63" s="1"/>
  <c r="BF63" s="1"/>
  <c r="BG63" s="1"/>
  <c r="BH63" s="1"/>
  <c r="BI63" s="1"/>
  <c r="BJ63" s="1"/>
  <c r="BK63" s="1"/>
  <c r="BL63" s="1"/>
  <c r="BM63" s="1"/>
  <c r="BN63" s="1"/>
  <c r="BP63" s="1"/>
  <c r="BQ63" s="1"/>
  <c r="BR63" s="1"/>
  <c r="BS63" s="1"/>
  <c r="BT63" s="1"/>
  <c r="BU63" s="1"/>
  <c r="BV63" s="1"/>
  <c r="BW63" s="1"/>
  <c r="BX63" s="1"/>
  <c r="BY63" s="1"/>
  <c r="BZ63" s="1"/>
  <c r="CA63" s="1"/>
  <c r="CB63" s="1"/>
  <c r="CC63" s="1"/>
  <c r="CD63" s="1"/>
  <c r="CE63" s="1"/>
  <c r="CF63" s="1"/>
  <c r="CG63" s="1"/>
  <c r="CH63" s="1"/>
  <c r="CI63" s="1"/>
  <c r="CK63" s="1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DA63" s="1"/>
  <c r="DB63" s="1"/>
  <c r="DC63" s="1"/>
  <c r="DD63" s="1"/>
  <c r="DE63" s="1"/>
  <c r="DG63" s="1"/>
  <c r="DH63" s="1"/>
  <c r="DI63" s="1"/>
  <c r="DJ63" s="1"/>
  <c r="DK63" s="1"/>
  <c r="DL63" s="1"/>
  <c r="DM63" s="1"/>
  <c r="DN63" s="1"/>
  <c r="DO63" s="1"/>
  <c r="DP63" s="1"/>
  <c r="DQ63" s="1"/>
  <c r="DR63" s="1"/>
  <c r="DS63" s="1"/>
  <c r="DT63" s="1"/>
  <c r="DU63" s="1"/>
  <c r="DV63" s="1"/>
  <c r="DW63" s="1"/>
  <c r="DX63" s="1"/>
  <c r="DY63" s="1"/>
  <c r="DZ63" s="1"/>
  <c r="EA63" s="1"/>
  <c r="EB63" s="1"/>
  <c r="EC63" s="1"/>
  <c r="ED63" s="1"/>
  <c r="EE63" s="1"/>
  <c r="EF63" s="1"/>
  <c r="EG63" s="1"/>
  <c r="EH63" s="1"/>
  <c r="EI63" s="1"/>
  <c r="EJ63" s="1"/>
  <c r="EK63" s="1"/>
  <c r="EL63" s="1"/>
  <c r="EM63" s="1"/>
  <c r="EN63" s="1"/>
  <c r="EO63" s="1"/>
  <c r="EP63" s="1"/>
  <c r="EQ63" s="1"/>
  <c r="ER63" s="1"/>
  <c r="ES63" s="1"/>
  <c r="ET63" s="1"/>
  <c r="EU63" s="1"/>
  <c r="EV63" s="1"/>
  <c r="EW63" s="1"/>
  <c r="EX63" s="1"/>
  <c r="EY63" s="1"/>
  <c r="EZ63" s="1"/>
  <c r="FA63" s="1"/>
  <c r="FB63" s="1"/>
  <c r="FC63" s="1"/>
  <c r="FD63" s="1"/>
  <c r="FE63" s="1"/>
  <c r="FF63" s="1"/>
  <c r="FG63" s="1"/>
  <c r="FH63" s="1"/>
  <c r="FI63" s="1"/>
  <c r="FJ63" s="1"/>
  <c r="FK63" s="1"/>
  <c r="FL63" s="1"/>
  <c r="FM63" s="1"/>
  <c r="FN63" s="1"/>
  <c r="FO63" s="1"/>
  <c r="FP63" s="1"/>
  <c r="FQ63" s="1"/>
  <c r="FR63" s="1"/>
  <c r="FS63" s="1"/>
  <c r="FT63" s="1"/>
  <c r="FU63" s="1"/>
  <c r="FV63" s="1"/>
  <c r="FW63" s="1"/>
  <c r="FX63" s="1"/>
  <c r="FY63" s="1"/>
  <c r="FZ63" s="1"/>
  <c r="GA63" s="1"/>
  <c r="GB63" s="1"/>
  <c r="GC63" s="1"/>
  <c r="GD63" s="1"/>
  <c r="GE63" s="1"/>
  <c r="GF63" s="1"/>
  <c r="GG63" s="1"/>
  <c r="GH63" s="1"/>
  <c r="GI63" s="1"/>
  <c r="GJ63" s="1"/>
  <c r="GK63" s="1"/>
  <c r="GL63" s="1"/>
  <c r="GM63" s="1"/>
  <c r="GN63" s="1"/>
  <c r="GO63" s="1"/>
  <c r="GP63" s="1"/>
  <c r="GQ63" s="1"/>
  <c r="GR63" s="1"/>
  <c r="GS63" s="1"/>
  <c r="GT63" s="1"/>
  <c r="GU63" s="1"/>
  <c r="GV63" s="1"/>
  <c r="GW63" s="1"/>
  <c r="GX63" s="1"/>
  <c r="GY63" s="1"/>
  <c r="GZ63" s="1"/>
  <c r="HA63" s="1"/>
  <c r="HB63" s="1"/>
  <c r="HC63" s="1"/>
  <c r="HD63" s="1"/>
  <c r="HE63" s="1"/>
  <c r="HF63" s="1"/>
  <c r="HG63" s="1"/>
  <c r="HH63" s="1"/>
  <c r="HI63" s="1"/>
  <c r="HJ63" s="1"/>
  <c r="HK63" s="1"/>
  <c r="HL63" s="1"/>
  <c r="HM63" s="1"/>
  <c r="HN63" s="1"/>
  <c r="HO63" s="1"/>
  <c r="HP63" s="1"/>
  <c r="HQ63" s="1"/>
  <c r="HR63" s="1"/>
  <c r="HS63" s="1"/>
  <c r="HT63" s="1"/>
  <c r="HU63" s="1"/>
  <c r="HV63" s="1"/>
  <c r="HW63" s="1"/>
  <c r="HX63" s="1"/>
  <c r="HY63" s="1"/>
  <c r="HZ63" s="1"/>
  <c r="IA63" s="1"/>
  <c r="IB63" s="1"/>
  <c r="IC63" s="1"/>
  <c r="ID63" s="1"/>
  <c r="IE63" s="1"/>
  <c r="IF63" s="1"/>
  <c r="IG63" s="1"/>
  <c r="IH63" s="1"/>
  <c r="II63" s="1"/>
  <c r="IJ63" s="1"/>
  <c r="IK63" s="1"/>
  <c r="IL63" s="1"/>
  <c r="IM63" s="1"/>
  <c r="IN63" s="1"/>
  <c r="IO63" s="1"/>
  <c r="IP63" s="1"/>
  <c r="IQ63" s="1"/>
  <c r="IR63" s="1"/>
  <c r="IS63" s="1"/>
  <c r="IT63" s="1"/>
  <c r="IU63" s="1"/>
  <c r="IV63" s="1"/>
  <c r="IX63" s="1"/>
  <c r="IY63" s="1"/>
  <c r="IZ63" s="1"/>
  <c r="JA63" s="1"/>
  <c r="JB63" s="1"/>
  <c r="JC63" s="1"/>
  <c r="JD63" s="1"/>
  <c r="JE63" s="1"/>
  <c r="JF63" s="1"/>
  <c r="JG63" s="1"/>
  <c r="JH63" s="1"/>
  <c r="X62"/>
  <c r="Y62" s="1"/>
  <c r="Z62" s="1"/>
  <c r="X61"/>
  <c r="Y61" s="1"/>
  <c r="Z61" s="1"/>
  <c r="AA61" s="1"/>
  <c r="AB61" s="1"/>
  <c r="AC61" s="1"/>
  <c r="AD61" s="1"/>
  <c r="AE61" s="1"/>
  <c r="AF61" s="1"/>
  <c r="AG61" s="1"/>
  <c r="AH61" s="1"/>
  <c r="AI61" s="1"/>
  <c r="AJ61" s="1"/>
  <c r="AK61" s="1"/>
  <c r="AL61" s="1"/>
  <c r="AM61" s="1"/>
  <c r="AN61" s="1"/>
  <c r="AO61" s="1"/>
  <c r="AP61" s="1"/>
  <c r="AQ61" s="1"/>
  <c r="AR61" s="1"/>
  <c r="AS61" s="1"/>
  <c r="AT61" s="1"/>
  <c r="AV61" s="1"/>
  <c r="AW61" s="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BP61" s="1"/>
  <c r="BQ61" s="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CI61" s="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DE61" s="1"/>
  <c r="DG61" s="1"/>
  <c r="DH61" s="1"/>
  <c r="DI61" s="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DZ61" s="1"/>
  <c r="EA61" s="1"/>
  <c r="EB61" s="1"/>
  <c r="EC61" s="1"/>
  <c r="ED61" s="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FN61" s="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L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HE61" s="1"/>
  <c r="HF61" s="1"/>
  <c r="HG61" s="1"/>
  <c r="HH61" s="1"/>
  <c r="HI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HW61" s="1"/>
  <c r="HX61" s="1"/>
  <c r="HY61" s="1"/>
  <c r="HZ61" s="1"/>
  <c r="IA61" s="1"/>
  <c r="IB61" s="1"/>
  <c r="IC61" s="1"/>
  <c r="ID61" s="1"/>
  <c r="IE61" s="1"/>
  <c r="IF61" s="1"/>
  <c r="IG61" s="1"/>
  <c r="IH61" s="1"/>
  <c r="II61" s="1"/>
  <c r="IJ61" s="1"/>
  <c r="IK61" s="1"/>
  <c r="IL61" s="1"/>
  <c r="IM61" s="1"/>
  <c r="IN61" s="1"/>
  <c r="IO61" s="1"/>
  <c r="IP61" s="1"/>
  <c r="IQ61" s="1"/>
  <c r="IR61" s="1"/>
  <c r="IS61" s="1"/>
  <c r="IT61" s="1"/>
  <c r="IU61" s="1"/>
  <c r="IV61" s="1"/>
  <c r="IX61" s="1"/>
  <c r="IY61" s="1"/>
  <c r="IZ61" s="1"/>
  <c r="JA61" s="1"/>
  <c r="JB61" s="1"/>
  <c r="JC61" s="1"/>
  <c r="JD61" s="1"/>
  <c r="JE61" s="1"/>
  <c r="JF61" s="1"/>
  <c r="JG61" s="1"/>
  <c r="JH61" s="1"/>
  <c r="P17"/>
  <c r="JI17" s="1"/>
  <c r="N11"/>
  <c r="JH11" s="1"/>
  <c r="N16"/>
  <c r="JH16" s="1"/>
  <c r="J82"/>
  <c r="M34"/>
  <c r="K55"/>
  <c r="L55"/>
  <c r="M55"/>
  <c r="AA62" l="1"/>
  <c r="AB62" s="1"/>
  <c r="AC62" s="1"/>
  <c r="AD62" s="1"/>
  <c r="AE62" s="1"/>
  <c r="AF62" s="1"/>
  <c r="AG62" s="1"/>
  <c r="AH62" s="1"/>
  <c r="AI62" s="1"/>
  <c r="AJ62" s="1"/>
  <c r="AK62" s="1"/>
  <c r="AL62" s="1"/>
  <c r="AM62" s="1"/>
  <c r="AN62" s="1"/>
  <c r="AO62" s="1"/>
  <c r="AP62" s="1"/>
  <c r="AQ62" s="1"/>
  <c r="AR62" s="1"/>
  <c r="AS62" s="1"/>
  <c r="AT62" s="1"/>
  <c r="AV62" s="1"/>
  <c r="AW62" s="1"/>
  <c r="AX62" s="1"/>
  <c r="AY62" s="1"/>
  <c r="AZ62" s="1"/>
  <c r="BA62" s="1"/>
  <c r="BB62" s="1"/>
  <c r="BC62" s="1"/>
  <c r="BD62" s="1"/>
  <c r="BE62" s="1"/>
  <c r="BF62" s="1"/>
  <c r="BG62" s="1"/>
  <c r="BH62" s="1"/>
  <c r="BI62" s="1"/>
  <c r="BK62" s="1"/>
  <c r="BL62" s="1"/>
  <c r="BM62" s="1"/>
  <c r="BN62" s="1"/>
  <c r="BP62" s="1"/>
  <c r="BQ62" s="1"/>
  <c r="BR62" s="1"/>
  <c r="BS62" s="1"/>
  <c r="BT62" s="1"/>
  <c r="BU62" s="1"/>
  <c r="BV62" s="1"/>
  <c r="BW62" s="1"/>
  <c r="BX62" s="1"/>
  <c r="BY62" s="1"/>
  <c r="BZ62" s="1"/>
  <c r="CA62" s="1"/>
  <c r="CB62" s="1"/>
  <c r="CC62" s="1"/>
  <c r="CD62" s="1"/>
  <c r="CE62" s="1"/>
  <c r="CF62" s="1"/>
  <c r="CG62" s="1"/>
  <c r="CH62" s="1"/>
  <c r="CI62" s="1"/>
  <c r="CK62" s="1"/>
  <c r="CL62" s="1"/>
  <c r="CM62" s="1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DA62" s="1"/>
  <c r="DB62" s="1"/>
  <c r="DC62" s="1"/>
  <c r="DD62" s="1"/>
  <c r="DE62" s="1"/>
  <c r="DG62" s="1"/>
  <c r="DH62" s="1"/>
  <c r="DI62" s="1"/>
  <c r="DJ62" s="1"/>
  <c r="DK62" s="1"/>
  <c r="DL62" s="1"/>
  <c r="DM62" s="1"/>
  <c r="DN62" s="1"/>
  <c r="DO62" s="1"/>
  <c r="DP62" s="1"/>
  <c r="DQ62" s="1"/>
  <c r="DR62" s="1"/>
  <c r="DS62" s="1"/>
  <c r="DT62" s="1"/>
  <c r="DU62" s="1"/>
  <c r="DV62" s="1"/>
  <c r="DW62" s="1"/>
  <c r="DX62" s="1"/>
  <c r="DY62" s="1"/>
  <c r="DZ62" s="1"/>
  <c r="EA62" s="1"/>
  <c r="EB62" s="1"/>
  <c r="EC62" s="1"/>
  <c r="ED62" s="1"/>
  <c r="EE62" s="1"/>
  <c r="EF62" s="1"/>
  <c r="EG62" s="1"/>
  <c r="EH62" s="1"/>
  <c r="EI62" s="1"/>
  <c r="EJ62" s="1"/>
  <c r="EK62" s="1"/>
  <c r="EL62" s="1"/>
  <c r="EM62" s="1"/>
  <c r="EN62" s="1"/>
  <c r="EO62" s="1"/>
  <c r="EP62" s="1"/>
  <c r="EQ62" s="1"/>
  <c r="ER62" s="1"/>
  <c r="ES62" s="1"/>
  <c r="ET62" s="1"/>
  <c r="EU62" s="1"/>
  <c r="EV62" s="1"/>
  <c r="EW62" s="1"/>
  <c r="EX62" s="1"/>
  <c r="EY62" s="1"/>
  <c r="EZ62" s="1"/>
  <c r="FA62" s="1"/>
  <c r="FB62" s="1"/>
  <c r="FC62" s="1"/>
  <c r="FD62" s="1"/>
  <c r="FE62" s="1"/>
  <c r="FF62" s="1"/>
  <c r="FG62" s="1"/>
  <c r="FH62" s="1"/>
  <c r="FI62" s="1"/>
  <c r="FJ62" s="1"/>
  <c r="FK62" s="1"/>
  <c r="FL62" s="1"/>
  <c r="FM62" s="1"/>
  <c r="FN62" s="1"/>
  <c r="FO62" s="1"/>
  <c r="FP62" s="1"/>
  <c r="FQ62" s="1"/>
  <c r="FR62" s="1"/>
  <c r="FS62" s="1"/>
  <c r="FT62" s="1"/>
  <c r="FU62" s="1"/>
  <c r="FV62" s="1"/>
  <c r="FW62" s="1"/>
  <c r="FX62" s="1"/>
  <c r="FY62" s="1"/>
  <c r="FZ62" s="1"/>
  <c r="GA62" s="1"/>
  <c r="GB62" s="1"/>
  <c r="GC62" s="1"/>
  <c r="GD62" s="1"/>
  <c r="GE62" s="1"/>
  <c r="GF62" s="1"/>
  <c r="GG62" s="1"/>
  <c r="GH62" s="1"/>
  <c r="GI62" s="1"/>
  <c r="GJ62" s="1"/>
  <c r="GK62" s="1"/>
  <c r="GL62" s="1"/>
  <c r="GM62" s="1"/>
  <c r="GN62" s="1"/>
  <c r="GO62" s="1"/>
  <c r="GP62" s="1"/>
  <c r="GQ62" s="1"/>
  <c r="GR62" s="1"/>
  <c r="GS62" s="1"/>
  <c r="GT62" s="1"/>
  <c r="GU62" s="1"/>
  <c r="GV62" s="1"/>
  <c r="GW62" s="1"/>
  <c r="GX62" s="1"/>
  <c r="GY62" s="1"/>
  <c r="GZ62" s="1"/>
  <c r="HA62" s="1"/>
  <c r="HB62" s="1"/>
  <c r="HC62" s="1"/>
  <c r="HD62" s="1"/>
  <c r="HE62" s="1"/>
  <c r="HF62" s="1"/>
  <c r="HG62" s="1"/>
  <c r="HH62" s="1"/>
  <c r="HI62" s="1"/>
  <c r="HJ62" s="1"/>
  <c r="HK62" s="1"/>
  <c r="HL62" s="1"/>
  <c r="HM62" s="1"/>
  <c r="HN62" s="1"/>
  <c r="HO62" s="1"/>
  <c r="HP62" s="1"/>
  <c r="HQ62" s="1"/>
  <c r="HR62" s="1"/>
  <c r="HS62" s="1"/>
  <c r="HT62" s="1"/>
  <c r="HU62" s="1"/>
  <c r="HV62" s="1"/>
  <c r="HW62" s="1"/>
  <c r="HX62" s="1"/>
  <c r="HY62" s="1"/>
  <c r="HZ62" s="1"/>
  <c r="IA62" s="1"/>
  <c r="IB62" s="1"/>
  <c r="IC62" s="1"/>
  <c r="ID62" s="1"/>
  <c r="IE62" s="1"/>
  <c r="IF62" s="1"/>
  <c r="IG62" s="1"/>
  <c r="IH62" s="1"/>
  <c r="II62" s="1"/>
  <c r="IJ62" s="1"/>
  <c r="IK62" s="1"/>
  <c r="IL62" s="1"/>
  <c r="IM62" s="1"/>
  <c r="IN62" s="1"/>
  <c r="IO62" s="1"/>
  <c r="IP62" s="1"/>
  <c r="IQ62" s="1"/>
  <c r="IR62" s="1"/>
  <c r="IS62" s="1"/>
  <c r="IT62" s="1"/>
  <c r="IU62" s="1"/>
  <c r="IV62" s="1"/>
  <c r="IX62" s="1"/>
  <c r="IY62" s="1"/>
  <c r="IZ62" s="1"/>
  <c r="JA62" s="1"/>
  <c r="JB62" s="1"/>
  <c r="JC62" s="1"/>
  <c r="JD62" s="1"/>
  <c r="JE62" s="1"/>
  <c r="JF62" s="1"/>
  <c r="JG62" s="1"/>
  <c r="JH62" s="1"/>
  <c r="AK64"/>
  <c r="AL64" s="1"/>
  <c r="AM64" s="1"/>
  <c r="AN64" s="1"/>
  <c r="AO64" s="1"/>
  <c r="C66"/>
  <c r="C68" s="1"/>
  <c r="C69" s="1"/>
  <c r="H46"/>
  <c r="JB46" s="1"/>
  <c r="JB49" s="1"/>
  <c r="AV4"/>
  <c r="W4"/>
  <c r="X4" s="1"/>
  <c r="Y4" s="1"/>
  <c r="Z4" s="1"/>
  <c r="AB4" s="1"/>
  <c r="AC4" s="1"/>
  <c r="AD4" s="1"/>
  <c r="AE4" s="1"/>
  <c r="N4"/>
  <c r="O4" s="1"/>
  <c r="P4" s="1"/>
  <c r="Q4" s="1"/>
  <c r="S4" s="1"/>
  <c r="T4" s="1"/>
  <c r="U4" s="1"/>
  <c r="D65"/>
  <c r="E65" s="1"/>
  <c r="F65" s="1"/>
  <c r="G65" s="1"/>
  <c r="D64"/>
  <c r="E64" s="1"/>
  <c r="F64" s="1"/>
  <c r="G64" s="1"/>
  <c r="H64" s="1"/>
  <c r="I64" s="1"/>
  <c r="J64" s="1"/>
  <c r="K64" s="1"/>
  <c r="L64" s="1"/>
  <c r="M64" s="1"/>
  <c r="N64" s="1"/>
  <c r="O64" s="1"/>
  <c r="P64" s="1"/>
  <c r="Q64" s="1"/>
  <c r="R64" s="1"/>
  <c r="S64" s="1"/>
  <c r="U64" s="1"/>
  <c r="V64" s="1"/>
  <c r="D63"/>
  <c r="E63" s="1"/>
  <c r="F63" s="1"/>
  <c r="G63" s="1"/>
  <c r="H63" s="1"/>
  <c r="I63" s="1"/>
  <c r="J63" s="1"/>
  <c r="K63" s="1"/>
  <c r="L63" s="1"/>
  <c r="M63" s="1"/>
  <c r="N63" s="1"/>
  <c r="O63" s="1"/>
  <c r="P63" s="1"/>
  <c r="Q63" s="1"/>
  <c r="R63" s="1"/>
  <c r="S63" s="1"/>
  <c r="T63" s="1"/>
  <c r="U63" s="1"/>
  <c r="V63" s="1"/>
  <c r="D62"/>
  <c r="E62" s="1"/>
  <c r="F62" s="1"/>
  <c r="G62" s="1"/>
  <c r="H62" s="1"/>
  <c r="I62" s="1"/>
  <c r="J62" s="1"/>
  <c r="K62" s="1"/>
  <c r="L62" s="1"/>
  <c r="M62" s="1"/>
  <c r="N62" s="1"/>
  <c r="O62" s="1"/>
  <c r="P62" s="1"/>
  <c r="Q62" s="1"/>
  <c r="R62" s="1"/>
  <c r="S62" s="1"/>
  <c r="U62" s="1"/>
  <c r="V62" s="1"/>
  <c r="D61"/>
  <c r="E61" s="1"/>
  <c r="F61" s="1"/>
  <c r="G61" s="1"/>
  <c r="H61" s="1"/>
  <c r="I61" s="1"/>
  <c r="J61" s="1"/>
  <c r="K61" s="1"/>
  <c r="L61" s="1"/>
  <c r="M61" s="1"/>
  <c r="N61" s="1"/>
  <c r="O61" s="1"/>
  <c r="P61" s="1"/>
  <c r="Q61" s="1"/>
  <c r="R61" s="1"/>
  <c r="S61" s="1"/>
  <c r="T61" s="1"/>
  <c r="U61" s="1"/>
  <c r="V61" s="1"/>
  <c r="D60"/>
  <c r="E60" s="1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V60" s="1"/>
  <c r="W60" s="1"/>
  <c r="X60" s="1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K60" s="1"/>
  <c r="BL60" s="1"/>
  <c r="BM60" s="1"/>
  <c r="BN60" s="1"/>
  <c r="D59"/>
  <c r="E59" s="1"/>
  <c r="F59" s="1"/>
  <c r="G59" s="1"/>
  <c r="H59" s="1"/>
  <c r="I59" s="1"/>
  <c r="J59" s="1"/>
  <c r="K59" s="1"/>
  <c r="L59" s="1"/>
  <c r="M59" s="1"/>
  <c r="N59" s="1"/>
  <c r="O59" s="1"/>
  <c r="P59" s="1"/>
  <c r="Q59" s="1"/>
  <c r="R59" s="1"/>
  <c r="S59" s="1"/>
  <c r="T59" s="1"/>
  <c r="U59" s="1"/>
  <c r="V59" s="1"/>
  <c r="W59" s="1"/>
  <c r="X59" s="1"/>
  <c r="Y59" s="1"/>
  <c r="Z59" s="1"/>
  <c r="AA59" s="1"/>
  <c r="AB59" s="1"/>
  <c r="AC59" s="1"/>
  <c r="AD59" s="1"/>
  <c r="AE59" s="1"/>
  <c r="AF59" s="1"/>
  <c r="AG59" s="1"/>
  <c r="AH59" s="1"/>
  <c r="AI59" s="1"/>
  <c r="AJ59" s="1"/>
  <c r="AK59" s="1"/>
  <c r="AL59" s="1"/>
  <c r="AM59" s="1"/>
  <c r="AN59" s="1"/>
  <c r="AO59" s="1"/>
  <c r="AP59" s="1"/>
  <c r="AQ59" s="1"/>
  <c r="AR59" s="1"/>
  <c r="AS59" s="1"/>
  <c r="AU59" s="1"/>
  <c r="AV59" s="1"/>
  <c r="AW59" s="1"/>
  <c r="AX59" s="1"/>
  <c r="AY59" s="1"/>
  <c r="AZ59" s="1"/>
  <c r="BA59" s="1"/>
  <c r="BB59" s="1"/>
  <c r="BC59" s="1"/>
  <c r="BD59" s="1"/>
  <c r="BE59" s="1"/>
  <c r="BF59" s="1"/>
  <c r="BG59" s="1"/>
  <c r="BH59" s="1"/>
  <c r="BI59" s="1"/>
  <c r="I55"/>
  <c r="H55"/>
  <c r="G55"/>
  <c r="F55"/>
  <c r="E55"/>
  <c r="D55"/>
  <c r="D58" s="1"/>
  <c r="H49"/>
  <c r="H53" s="1"/>
  <c r="G49"/>
  <c r="G53" s="1"/>
  <c r="F49"/>
  <c r="F53" s="1"/>
  <c r="E49"/>
  <c r="E53" s="1"/>
  <c r="D49"/>
  <c r="D53" s="1"/>
  <c r="I49"/>
  <c r="I53" s="1"/>
  <c r="H27"/>
  <c r="G27"/>
  <c r="E27"/>
  <c r="D27"/>
  <c r="F14"/>
  <c r="F10"/>
  <c r="IZ10" s="1"/>
  <c r="I27"/>
  <c r="D6"/>
  <c r="D94"/>
  <c r="J83"/>
  <c r="G94"/>
  <c r="J80"/>
  <c r="JJ65"/>
  <c r="JJ64"/>
  <c r="JK64" s="1"/>
  <c r="JJ63"/>
  <c r="JJ62"/>
  <c r="JJ61"/>
  <c r="JJ60"/>
  <c r="JJ59"/>
  <c r="JK59" s="1"/>
  <c r="JK55"/>
  <c r="JJ55"/>
  <c r="JH55"/>
  <c r="JG55"/>
  <c r="JF55"/>
  <c r="JE55"/>
  <c r="JD55"/>
  <c r="JC55"/>
  <c r="JB55"/>
  <c r="JA55"/>
  <c r="IZ55"/>
  <c r="IY55"/>
  <c r="IX55"/>
  <c r="IV55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B55"/>
  <c r="IA55"/>
  <c r="HZ55"/>
  <c r="HY55"/>
  <c r="HX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P55"/>
  <c r="CO55"/>
  <c r="CN55"/>
  <c r="CM55"/>
  <c r="CL55"/>
  <c r="CK55"/>
  <c r="CJ55"/>
  <c r="CI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J55"/>
  <c r="JJ49"/>
  <c r="JJ53" s="1"/>
  <c r="IZ53"/>
  <c r="IY53"/>
  <c r="IX49"/>
  <c r="IX53" s="1"/>
  <c r="IV49"/>
  <c r="IV53" s="1"/>
  <c r="IU49"/>
  <c r="IU53" s="1"/>
  <c r="IT49"/>
  <c r="IT53" s="1"/>
  <c r="IS49"/>
  <c r="IS53" s="1"/>
  <c r="IR49"/>
  <c r="IR53" s="1"/>
  <c r="IQ49"/>
  <c r="IQ53" s="1"/>
  <c r="IP49"/>
  <c r="IP53" s="1"/>
  <c r="IO49"/>
  <c r="IO53" s="1"/>
  <c r="IN49"/>
  <c r="IN53" s="1"/>
  <c r="IK49"/>
  <c r="IK53" s="1"/>
  <c r="IG49"/>
  <c r="IG53" s="1"/>
  <c r="IE49"/>
  <c r="IE53" s="1"/>
  <c r="IC49"/>
  <c r="IC53" s="1"/>
  <c r="IB49"/>
  <c r="IB53" s="1"/>
  <c r="IA49"/>
  <c r="IA53" s="1"/>
  <c r="HZ49"/>
  <c r="HZ53" s="1"/>
  <c r="HY49"/>
  <c r="HY53" s="1"/>
  <c r="HX49"/>
  <c r="HX53" s="1"/>
  <c r="HW49"/>
  <c r="HW53" s="1"/>
  <c r="HU49"/>
  <c r="HU53" s="1"/>
  <c r="HT49"/>
  <c r="HT53" s="1"/>
  <c r="HS49"/>
  <c r="HS53" s="1"/>
  <c r="HR49"/>
  <c r="HR53" s="1"/>
  <c r="HO49"/>
  <c r="HO53" s="1"/>
  <c r="HN49"/>
  <c r="HN53" s="1"/>
  <c r="HM49"/>
  <c r="HM53" s="1"/>
  <c r="HL49"/>
  <c r="HL53" s="1"/>
  <c r="HK49"/>
  <c r="HK53" s="1"/>
  <c r="HJ49"/>
  <c r="HJ53" s="1"/>
  <c r="HH49"/>
  <c r="HH53" s="1"/>
  <c r="HG49"/>
  <c r="HG53" s="1"/>
  <c r="HE49"/>
  <c r="HE53" s="1"/>
  <c r="HD49"/>
  <c r="HD53" s="1"/>
  <c r="HC49"/>
  <c r="HC53" s="1"/>
  <c r="HB49"/>
  <c r="HB53" s="1"/>
  <c r="HA49"/>
  <c r="HA53" s="1"/>
  <c r="GZ49"/>
  <c r="GZ53" s="1"/>
  <c r="GY49"/>
  <c r="GY53" s="1"/>
  <c r="GX49"/>
  <c r="GX53" s="1"/>
  <c r="GW49"/>
  <c r="GW53" s="1"/>
  <c r="GT49"/>
  <c r="GT53" s="1"/>
  <c r="GS49"/>
  <c r="GS53" s="1"/>
  <c r="GR49"/>
  <c r="GR53" s="1"/>
  <c r="GP49"/>
  <c r="GP53" s="1"/>
  <c r="GN49"/>
  <c r="GN53" s="1"/>
  <c r="GM49"/>
  <c r="GM53" s="1"/>
  <c r="GL49"/>
  <c r="GL53" s="1"/>
  <c r="GK49"/>
  <c r="GK53" s="1"/>
  <c r="GJ49"/>
  <c r="GJ53" s="1"/>
  <c r="GI49"/>
  <c r="GI53" s="1"/>
  <c r="GH49"/>
  <c r="GH53" s="1"/>
  <c r="GG49"/>
  <c r="GG53" s="1"/>
  <c r="GF49"/>
  <c r="GF53" s="1"/>
  <c r="GE49"/>
  <c r="GE53" s="1"/>
  <c r="GD49"/>
  <c r="GD53" s="1"/>
  <c r="GC49"/>
  <c r="GC53" s="1"/>
  <c r="FY49"/>
  <c r="FY53" s="1"/>
  <c r="FW49"/>
  <c r="FW53" s="1"/>
  <c r="FV49"/>
  <c r="FV53" s="1"/>
  <c r="FT49"/>
  <c r="FT53" s="1"/>
  <c r="FS49"/>
  <c r="FS53" s="1"/>
  <c r="FR49"/>
  <c r="FR53" s="1"/>
  <c r="FQ49"/>
  <c r="FQ53" s="1"/>
  <c r="FP49"/>
  <c r="FP53" s="1"/>
  <c r="FN49"/>
  <c r="FN53" s="1"/>
  <c r="FM49"/>
  <c r="FM53" s="1"/>
  <c r="FL49"/>
  <c r="FL53" s="1"/>
  <c r="FK49"/>
  <c r="FK53" s="1"/>
  <c r="FJ49"/>
  <c r="FJ53" s="1"/>
  <c r="FI49"/>
  <c r="FI53" s="1"/>
  <c r="FH49"/>
  <c r="FH53" s="1"/>
  <c r="FE49"/>
  <c r="FE53" s="1"/>
  <c r="FD49"/>
  <c r="FD53" s="1"/>
  <c r="FC49"/>
  <c r="FC53" s="1"/>
  <c r="FB49"/>
  <c r="FB53" s="1"/>
  <c r="FA49"/>
  <c r="FA53" s="1"/>
  <c r="EZ49"/>
  <c r="EZ53" s="1"/>
  <c r="EX49"/>
  <c r="EX53" s="1"/>
  <c r="EW49"/>
  <c r="EW53" s="1"/>
  <c r="EV49"/>
  <c r="EV53" s="1"/>
  <c r="EU49"/>
  <c r="EU53" s="1"/>
  <c r="ET49"/>
  <c r="ET53" s="1"/>
  <c r="ES49"/>
  <c r="ES53" s="1"/>
  <c r="ER49"/>
  <c r="ER53" s="1"/>
  <c r="EQ49"/>
  <c r="EQ53" s="1"/>
  <c r="EP49"/>
  <c r="EP53" s="1"/>
  <c r="EO49"/>
  <c r="EO53" s="1"/>
  <c r="EN49"/>
  <c r="EN53" s="1"/>
  <c r="EM49"/>
  <c r="EM53" s="1"/>
  <c r="EL49"/>
  <c r="EL53" s="1"/>
  <c r="EI49"/>
  <c r="EI53" s="1"/>
  <c r="EH49"/>
  <c r="EH53" s="1"/>
  <c r="EG49"/>
  <c r="EG53" s="1"/>
  <c r="EF49"/>
  <c r="EF53" s="1"/>
  <c r="EC49"/>
  <c r="EC53" s="1"/>
  <c r="EB49"/>
  <c r="EB53" s="1"/>
  <c r="DZ49"/>
  <c r="DZ53" s="1"/>
  <c r="DX49"/>
  <c r="DX53" s="1"/>
  <c r="DU49"/>
  <c r="DU53" s="1"/>
  <c r="DS49"/>
  <c r="DS53" s="1"/>
  <c r="DR49"/>
  <c r="DR53" s="1"/>
  <c r="DQ49"/>
  <c r="DQ53" s="1"/>
  <c r="DL49"/>
  <c r="DL53" s="1"/>
  <c r="DK49"/>
  <c r="DK53" s="1"/>
  <c r="DJ49"/>
  <c r="DJ53" s="1"/>
  <c r="DI49"/>
  <c r="DI53" s="1"/>
  <c r="DH49"/>
  <c r="DH53" s="1"/>
  <c r="DG49"/>
  <c r="DG53" s="1"/>
  <c r="DF49"/>
  <c r="DF53" s="1"/>
  <c r="DD49"/>
  <c r="DD53" s="1"/>
  <c r="DC49"/>
  <c r="DC53" s="1"/>
  <c r="DB49"/>
  <c r="DB53" s="1"/>
  <c r="DA49"/>
  <c r="DA53" s="1"/>
  <c r="CY49"/>
  <c r="CY53" s="1"/>
  <c r="CX49"/>
  <c r="CX53" s="1"/>
  <c r="CW49"/>
  <c r="CW53" s="1"/>
  <c r="CV49"/>
  <c r="CV53" s="1"/>
  <c r="CS49"/>
  <c r="CS53" s="1"/>
  <c r="CR49"/>
  <c r="CR53" s="1"/>
  <c r="CQ49"/>
  <c r="CQ53" s="1"/>
  <c r="CP49"/>
  <c r="CP53" s="1"/>
  <c r="CO49"/>
  <c r="CO53" s="1"/>
  <c r="CN49"/>
  <c r="CN53" s="1"/>
  <c r="CL49"/>
  <c r="CL53" s="1"/>
  <c r="CK49"/>
  <c r="CK53" s="1"/>
  <c r="CJ49"/>
  <c r="CJ53" s="1"/>
  <c r="CI49"/>
  <c r="CI53" s="1"/>
  <c r="CH49"/>
  <c r="CH53" s="1"/>
  <c r="CG49"/>
  <c r="CG53" s="1"/>
  <c r="CF49"/>
  <c r="CF53" s="1"/>
  <c r="CE49"/>
  <c r="CE53" s="1"/>
  <c r="CD49"/>
  <c r="CD53" s="1"/>
  <c r="CC49"/>
  <c r="CC53" s="1"/>
  <c r="CB49"/>
  <c r="CB53" s="1"/>
  <c r="CA49"/>
  <c r="CA53" s="1"/>
  <c r="BV49"/>
  <c r="BV53" s="1"/>
  <c r="BU49"/>
  <c r="BU53" s="1"/>
  <c r="BT49"/>
  <c r="BT53" s="1"/>
  <c r="BR49"/>
  <c r="BR53" s="1"/>
  <c r="BQ49"/>
  <c r="BQ53" s="1"/>
  <c r="BP49"/>
  <c r="BP53" s="1"/>
  <c r="BN49"/>
  <c r="BN53" s="1"/>
  <c r="BL49"/>
  <c r="BL53" s="1"/>
  <c r="BK49"/>
  <c r="BJ49"/>
  <c r="BJ53" s="1"/>
  <c r="BI49"/>
  <c r="BI53" s="1"/>
  <c r="BH49"/>
  <c r="BH53" s="1"/>
  <c r="BG49"/>
  <c r="BG53" s="1"/>
  <c r="BF49"/>
  <c r="BF53" s="1"/>
  <c r="BE49"/>
  <c r="BE53" s="1"/>
  <c r="BD49"/>
  <c r="BD53" s="1"/>
  <c r="BC49"/>
  <c r="BC53" s="1"/>
  <c r="AZ49"/>
  <c r="AZ53" s="1"/>
  <c r="AY49"/>
  <c r="AY53" s="1"/>
  <c r="AX49"/>
  <c r="AX53" s="1"/>
  <c r="AW49"/>
  <c r="AW53" s="1"/>
  <c r="AU49"/>
  <c r="AU53" s="1"/>
  <c r="AT49"/>
  <c r="AT53" s="1"/>
  <c r="AS49"/>
  <c r="AS53" s="1"/>
  <c r="AR49"/>
  <c r="AR53" s="1"/>
  <c r="AP49"/>
  <c r="AP53" s="1"/>
  <c r="AO49"/>
  <c r="AO53" s="1"/>
  <c r="AN49"/>
  <c r="AN53" s="1"/>
  <c r="AL49"/>
  <c r="AL53" s="1"/>
  <c r="AK49"/>
  <c r="AK53" s="1"/>
  <c r="AJ49"/>
  <c r="AJ53" s="1"/>
  <c r="AI49"/>
  <c r="AI53" s="1"/>
  <c r="AH49"/>
  <c r="AH53" s="1"/>
  <c r="AF49"/>
  <c r="AF53" s="1"/>
  <c r="AE49"/>
  <c r="AE53" s="1"/>
  <c r="AD49"/>
  <c r="AD53" s="1"/>
  <c r="AC49"/>
  <c r="AC53" s="1"/>
  <c r="AB49"/>
  <c r="AB53" s="1"/>
  <c r="AA49"/>
  <c r="AA53" s="1"/>
  <c r="Z49"/>
  <c r="Z53" s="1"/>
  <c r="Y49"/>
  <c r="Y53" s="1"/>
  <c r="X49"/>
  <c r="X53" s="1"/>
  <c r="W49"/>
  <c r="W53" s="1"/>
  <c r="T49"/>
  <c r="T53" s="1"/>
  <c r="S49"/>
  <c r="S53" s="1"/>
  <c r="R49"/>
  <c r="R53" s="1"/>
  <c r="Q49"/>
  <c r="Q53" s="1"/>
  <c r="O49"/>
  <c r="O53" s="1"/>
  <c r="L49"/>
  <c r="L53" s="1"/>
  <c r="J49"/>
  <c r="J53" s="1"/>
  <c r="AQ49"/>
  <c r="AQ53" s="1"/>
  <c r="AG49"/>
  <c r="AG53" s="1"/>
  <c r="HF49"/>
  <c r="HF53" s="1"/>
  <c r="DY49"/>
  <c r="DY53" s="1"/>
  <c r="DW49"/>
  <c r="DW53" s="1"/>
  <c r="DT49"/>
  <c r="DT53" s="1"/>
  <c r="CZ49"/>
  <c r="CZ53" s="1"/>
  <c r="BZ49"/>
  <c r="BZ53" s="1"/>
  <c r="BA49"/>
  <c r="BA53" s="1"/>
  <c r="AM49"/>
  <c r="AM53" s="1"/>
  <c r="U49"/>
  <c r="U53" s="1"/>
  <c r="K49"/>
  <c r="K53" s="1"/>
  <c r="JI39"/>
  <c r="IH49"/>
  <c r="IH53" s="1"/>
  <c r="ID49"/>
  <c r="ID53" s="1"/>
  <c r="FO49"/>
  <c r="FO53" s="1"/>
  <c r="JI34"/>
  <c r="M49"/>
  <c r="M53" s="1"/>
  <c r="JD53"/>
  <c r="HV49"/>
  <c r="HV53" s="1"/>
  <c r="BW49"/>
  <c r="BW53" s="1"/>
  <c r="AV49"/>
  <c r="AV53" s="1"/>
  <c r="JB27"/>
  <c r="JA27"/>
  <c r="IY27"/>
  <c r="IX27"/>
  <c r="IV27"/>
  <c r="IT27"/>
  <c r="IQ27"/>
  <c r="IP27"/>
  <c r="IL27"/>
  <c r="IK27"/>
  <c r="IJ27"/>
  <c r="II27"/>
  <c r="IG27"/>
  <c r="IC27"/>
  <c r="IB27"/>
  <c r="IA27"/>
  <c r="HZ27"/>
  <c r="HY27"/>
  <c r="HX27"/>
  <c r="HW27"/>
  <c r="HU27"/>
  <c r="HT27"/>
  <c r="HS27"/>
  <c r="HR27"/>
  <c r="HQ27"/>
  <c r="HO27"/>
  <c r="HM27"/>
  <c r="HK27"/>
  <c r="HJ27"/>
  <c r="HH27"/>
  <c r="HG27"/>
  <c r="HF27"/>
  <c r="HE27"/>
  <c r="HD27"/>
  <c r="HB27"/>
  <c r="HA27"/>
  <c r="GZ27"/>
  <c r="GY27"/>
  <c r="GW27"/>
  <c r="GU27"/>
  <c r="GS27"/>
  <c r="GR27"/>
  <c r="GO27"/>
  <c r="GL27"/>
  <c r="GK27"/>
  <c r="GJ27"/>
  <c r="GI27"/>
  <c r="GH27"/>
  <c r="GF27"/>
  <c r="GE27"/>
  <c r="GD27"/>
  <c r="GC27"/>
  <c r="GA27"/>
  <c r="FZ27"/>
  <c r="FY27"/>
  <c r="FW27"/>
  <c r="FV27"/>
  <c r="FU27"/>
  <c r="FT27"/>
  <c r="FR27"/>
  <c r="FP27"/>
  <c r="FO27"/>
  <c r="FL27"/>
  <c r="FJ27"/>
  <c r="FI27"/>
  <c r="FF27"/>
  <c r="FD27"/>
  <c r="FC27"/>
  <c r="FA27"/>
  <c r="EZ27"/>
  <c r="EY27"/>
  <c r="EX27"/>
  <c r="EW27"/>
  <c r="EV27"/>
  <c r="EU27"/>
  <c r="ET27"/>
  <c r="ES27"/>
  <c r="EP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V27"/>
  <c r="DS27"/>
  <c r="DR27"/>
  <c r="DP27"/>
  <c r="DO27"/>
  <c r="DN27"/>
  <c r="DL27"/>
  <c r="DK27"/>
  <c r="DJ27"/>
  <c r="DI27"/>
  <c r="DH27"/>
  <c r="DG27"/>
  <c r="DF27"/>
  <c r="DE27"/>
  <c r="DC27"/>
  <c r="DA27"/>
  <c r="CZ27"/>
  <c r="CX27"/>
  <c r="CW27"/>
  <c r="CS27"/>
  <c r="CR27"/>
  <c r="CQ27"/>
  <c r="CP27"/>
  <c r="CN27"/>
  <c r="CM27"/>
  <c r="CL27"/>
  <c r="CK27"/>
  <c r="CJ27"/>
  <c r="CI27"/>
  <c r="CH27"/>
  <c r="CG27"/>
  <c r="CF27"/>
  <c r="CE27"/>
  <c r="CD27"/>
  <c r="CC27"/>
  <c r="CB27"/>
  <c r="CA27"/>
  <c r="BY27"/>
  <c r="BW27"/>
  <c r="BU27"/>
  <c r="BT27"/>
  <c r="BS27"/>
  <c r="BR27"/>
  <c r="BQ27"/>
  <c r="BO27"/>
  <c r="BN27"/>
  <c r="BM27"/>
  <c r="BK27"/>
  <c r="BJ27"/>
  <c r="BI27"/>
  <c r="BG27"/>
  <c r="BE27"/>
  <c r="BD27"/>
  <c r="BC27"/>
  <c r="AY27"/>
  <c r="AX27"/>
  <c r="AW27"/>
  <c r="AV27"/>
  <c r="AU27"/>
  <c r="AS27"/>
  <c r="AR27"/>
  <c r="AQ27"/>
  <c r="AP27"/>
  <c r="AO27"/>
  <c r="AM27"/>
  <c r="AL27"/>
  <c r="AK27"/>
  <c r="AJ27"/>
  <c r="AI27"/>
  <c r="AH27"/>
  <c r="AG27"/>
  <c r="AF27"/>
  <c r="AE27"/>
  <c r="AD27"/>
  <c r="AC27"/>
  <c r="AB27"/>
  <c r="Y27"/>
  <c r="X27"/>
  <c r="W27"/>
  <c r="V27"/>
  <c r="U27"/>
  <c r="S27"/>
  <c r="R27"/>
  <c r="Q27"/>
  <c r="P27"/>
  <c r="O27"/>
  <c r="M27"/>
  <c r="L27"/>
  <c r="K27"/>
  <c r="EQ55"/>
  <c r="JK19"/>
  <c r="JJ19"/>
  <c r="IH27"/>
  <c r="ID27"/>
  <c r="FE27"/>
  <c r="DM27"/>
  <c r="JJ18"/>
  <c r="GM27"/>
  <c r="FG27"/>
  <c r="JK17"/>
  <c r="JJ17"/>
  <c r="IU27"/>
  <c r="IS27"/>
  <c r="IR27"/>
  <c r="IO27"/>
  <c r="IN27"/>
  <c r="IM27"/>
  <c r="IF27"/>
  <c r="IE27"/>
  <c r="HP27"/>
  <c r="HN27"/>
  <c r="HL27"/>
  <c r="HI27"/>
  <c r="GX27"/>
  <c r="GV27"/>
  <c r="GT27"/>
  <c r="GQ27"/>
  <c r="GP27"/>
  <c r="GN27"/>
  <c r="GB27"/>
  <c r="FX27"/>
  <c r="FS27"/>
  <c r="FQ27"/>
  <c r="FM27"/>
  <c r="FK27"/>
  <c r="FH27"/>
  <c r="EO27"/>
  <c r="DW27"/>
  <c r="DU27"/>
  <c r="DT27"/>
  <c r="DQ27"/>
  <c r="DD27"/>
  <c r="DB27"/>
  <c r="CY27"/>
  <c r="CV27"/>
  <c r="CU27"/>
  <c r="CO27"/>
  <c r="BX27"/>
  <c r="BL27"/>
  <c r="BH27"/>
  <c r="BF27"/>
  <c r="AT27"/>
  <c r="AN27"/>
  <c r="AA27"/>
  <c r="Z27"/>
  <c r="T27"/>
  <c r="JJ16"/>
  <c r="FN27"/>
  <c r="ER27"/>
  <c r="JK15"/>
  <c r="JJ14"/>
  <c r="JJ12"/>
  <c r="JK11"/>
  <c r="JK69" s="1"/>
  <c r="JJ11"/>
  <c r="GG27"/>
  <c r="FB27"/>
  <c r="AZ27"/>
  <c r="JK10"/>
  <c r="JJ10"/>
  <c r="JK9"/>
  <c r="JJ9"/>
  <c r="JK8"/>
  <c r="JJ8"/>
  <c r="JF27"/>
  <c r="BA27"/>
  <c r="JJ4"/>
  <c r="IN4"/>
  <c r="IO4" s="1"/>
  <c r="HY4"/>
  <c r="HZ4" s="1"/>
  <c r="IA4" s="1"/>
  <c r="HT4"/>
  <c r="HU4" s="1"/>
  <c r="HV4" s="1"/>
  <c r="HO4"/>
  <c r="HP4" s="1"/>
  <c r="HQ4" s="1"/>
  <c r="HJ4"/>
  <c r="HK4" s="1"/>
  <c r="HL4" s="1"/>
  <c r="HE4"/>
  <c r="HF4" s="1"/>
  <c r="HG4" s="1"/>
  <c r="HA4"/>
  <c r="GM4"/>
  <c r="GN4" s="1"/>
  <c r="GO4" s="1"/>
  <c r="GI4"/>
  <c r="GJ4" s="1"/>
  <c r="FO4"/>
  <c r="FP4" s="1"/>
  <c r="FQ4" s="1"/>
  <c r="EV4"/>
  <c r="EW4" s="1"/>
  <c r="EX4" s="1"/>
  <c r="EQ4"/>
  <c r="ER4" s="1"/>
  <c r="ES4" s="1"/>
  <c r="EL4"/>
  <c r="EM4" s="1"/>
  <c r="EN4" s="1"/>
  <c r="EG4"/>
  <c r="EH4" s="1"/>
  <c r="EI4" s="1"/>
  <c r="EB4"/>
  <c r="EC4" s="1"/>
  <c r="ED4" s="1"/>
  <c r="CK4"/>
  <c r="CL4" s="1"/>
  <c r="CF4"/>
  <c r="CG4" s="1"/>
  <c r="CH4" s="1"/>
  <c r="CA4"/>
  <c r="CB4" s="1"/>
  <c r="CC4" s="1"/>
  <c r="BQ4"/>
  <c r="BR4" s="1"/>
  <c r="BS4" s="1"/>
  <c r="AW4"/>
  <c r="AX4" s="1"/>
  <c r="AY4" s="1"/>
  <c r="AR4"/>
  <c r="AS4" s="1"/>
  <c r="AT4" s="1"/>
  <c r="AM4"/>
  <c r="AN4" s="1"/>
  <c r="AO4" s="1"/>
  <c r="AH4"/>
  <c r="AI4" s="1"/>
  <c r="AJ4" s="1"/>
  <c r="J4"/>
  <c r="K4" s="1"/>
  <c r="L4" s="1"/>
  <c r="FB2"/>
  <c r="IU17" i="87"/>
  <c r="IS17"/>
  <c r="IR17"/>
  <c r="IO17"/>
  <c r="BO60" i="90" l="1"/>
  <c r="BP60" s="1"/>
  <c r="BQ60" s="1"/>
  <c r="BR60" s="1"/>
  <c r="BS60" s="1"/>
  <c r="BT60" s="1"/>
  <c r="BU60" s="1"/>
  <c r="BV60" s="1"/>
  <c r="BW60" s="1"/>
  <c r="BX60" s="1"/>
  <c r="BY60" s="1"/>
  <c r="BZ60" s="1"/>
  <c r="CA60" s="1"/>
  <c r="CB60" s="1"/>
  <c r="CC60" s="1"/>
  <c r="CD60" s="1"/>
  <c r="CE60" s="1"/>
  <c r="CF60" s="1"/>
  <c r="CG60" s="1"/>
  <c r="CH60" s="1"/>
  <c r="J90"/>
  <c r="L90" s="1"/>
  <c r="K85"/>
  <c r="BK59"/>
  <c r="BL59" s="1"/>
  <c r="BM59" s="1"/>
  <c r="BN59" s="1"/>
  <c r="BP59" s="1"/>
  <c r="BQ59" s="1"/>
  <c r="BR59" s="1"/>
  <c r="BS59" s="1"/>
  <c r="BT59" s="1"/>
  <c r="BU59" s="1"/>
  <c r="BV59" s="1"/>
  <c r="BW59" s="1"/>
  <c r="BX59" s="1"/>
  <c r="BY59" s="1"/>
  <c r="BZ59" s="1"/>
  <c r="CA59" s="1"/>
  <c r="CB59" s="1"/>
  <c r="CC59" s="1"/>
  <c r="CD59" s="1"/>
  <c r="CE59" s="1"/>
  <c r="CF59" s="1"/>
  <c r="CG59" s="1"/>
  <c r="CH59" s="1"/>
  <c r="BJ59"/>
  <c r="D54"/>
  <c r="AP64"/>
  <c r="AQ64" s="1"/>
  <c r="AR64" s="1"/>
  <c r="AS64" s="1"/>
  <c r="AT64" s="1"/>
  <c r="AV64" s="1"/>
  <c r="AW64" s="1"/>
  <c r="AX64" s="1"/>
  <c r="AY64" s="1"/>
  <c r="J93"/>
  <c r="J91"/>
  <c r="J89"/>
  <c r="J92"/>
  <c r="K84"/>
  <c r="J87"/>
  <c r="J88"/>
  <c r="F27"/>
  <c r="H65"/>
  <c r="I65" s="1"/>
  <c r="J65" s="1"/>
  <c r="K65" s="1"/>
  <c r="L65" s="1"/>
  <c r="M65" s="1"/>
  <c r="N65" s="1"/>
  <c r="O65" s="1"/>
  <c r="P65" s="1"/>
  <c r="Q65" s="1"/>
  <c r="R65" s="1"/>
  <c r="S65" s="1"/>
  <c r="U65" s="1"/>
  <c r="V65" s="1"/>
  <c r="X65" s="1"/>
  <c r="Y65" s="1"/>
  <c r="JB53"/>
  <c r="IZ14"/>
  <c r="JI38"/>
  <c r="BK53"/>
  <c r="G95"/>
  <c r="BB49"/>
  <c r="BB53" s="1"/>
  <c r="FX49"/>
  <c r="FX53" s="1"/>
  <c r="BO49"/>
  <c r="BO53" s="1"/>
  <c r="GB49"/>
  <c r="GB53" s="1"/>
  <c r="JF53"/>
  <c r="JK31"/>
  <c r="K82"/>
  <c r="JG27"/>
  <c r="JK42"/>
  <c r="JE27"/>
  <c r="JK35"/>
  <c r="JK41"/>
  <c r="K83"/>
  <c r="K99"/>
  <c r="JK40"/>
  <c r="JC53"/>
  <c r="JK48"/>
  <c r="JC27"/>
  <c r="E6"/>
  <c r="E54" s="1"/>
  <c r="D66"/>
  <c r="D68" s="1"/>
  <c r="D69" s="1"/>
  <c r="E58"/>
  <c r="JH27"/>
  <c r="JD27"/>
  <c r="J27"/>
  <c r="N27"/>
  <c r="BB27"/>
  <c r="JK37"/>
  <c r="JK44"/>
  <c r="N49"/>
  <c r="N53" s="1"/>
  <c r="P49"/>
  <c r="P53" s="1"/>
  <c r="V49"/>
  <c r="V53" s="1"/>
  <c r="EQ27"/>
  <c r="JK34"/>
  <c r="H94"/>
  <c r="IN17" i="87"/>
  <c r="IM17"/>
  <c r="FZ47" i="90" l="1"/>
  <c r="HP47"/>
  <c r="IF32" s="1"/>
  <c r="IF49" s="1"/>
  <c r="IF53" s="1"/>
  <c r="L92"/>
  <c r="GU47"/>
  <c r="L91"/>
  <c r="CL59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DG59" s="1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DZ59" s="1"/>
  <c r="EA59" s="1"/>
  <c r="EB59" s="1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HG59" s="1"/>
  <c r="HH59" s="1"/>
  <c r="HI59" s="1"/>
  <c r="HJ59" s="1"/>
  <c r="HK59" s="1"/>
  <c r="HL59" s="1"/>
  <c r="HM59" s="1"/>
  <c r="HN59" s="1"/>
  <c r="HO59" s="1"/>
  <c r="HP59" s="1"/>
  <c r="HQ59" s="1"/>
  <c r="HR59" s="1"/>
  <c r="HS59" s="1"/>
  <c r="HT59" s="1"/>
  <c r="HU59" s="1"/>
  <c r="HV59" s="1"/>
  <c r="HW59" s="1"/>
  <c r="HX59" s="1"/>
  <c r="HY59" s="1"/>
  <c r="HZ59" s="1"/>
  <c r="IA59" s="1"/>
  <c r="IB59" s="1"/>
  <c r="IC59" s="1"/>
  <c r="ID59" s="1"/>
  <c r="IE59" s="1"/>
  <c r="IF59" s="1"/>
  <c r="IG59" s="1"/>
  <c r="IH59" s="1"/>
  <c r="II59" s="1"/>
  <c r="IJ59" s="1"/>
  <c r="IK59" s="1"/>
  <c r="IL59" s="1"/>
  <c r="IM59" s="1"/>
  <c r="IN59" s="1"/>
  <c r="IO59" s="1"/>
  <c r="IP59" s="1"/>
  <c r="IQ59" s="1"/>
  <c r="IR59" s="1"/>
  <c r="IS59" s="1"/>
  <c r="IT59" s="1"/>
  <c r="IU59" s="1"/>
  <c r="IV59" s="1"/>
  <c r="IX59" s="1"/>
  <c r="IY59" s="1"/>
  <c r="IZ59" s="1"/>
  <c r="JA59" s="1"/>
  <c r="JB59" s="1"/>
  <c r="JC59" s="1"/>
  <c r="JD59" s="1"/>
  <c r="JE59" s="1"/>
  <c r="JF59" s="1"/>
  <c r="JG59" s="1"/>
  <c r="JH59" s="1"/>
  <c r="CI59"/>
  <c r="EJ47"/>
  <c r="EJ33" s="1"/>
  <c r="EJ49" s="1"/>
  <c r="EJ53" s="1"/>
  <c r="L88"/>
  <c r="FF47"/>
  <c r="FG36" s="1"/>
  <c r="FG49" s="1"/>
  <c r="FG53" s="1"/>
  <c r="L89"/>
  <c r="IL47"/>
  <c r="IM36" s="1"/>
  <c r="L93"/>
  <c r="DO47"/>
  <c r="ED32" s="1"/>
  <c r="L87"/>
  <c r="CU49"/>
  <c r="CU53" s="1"/>
  <c r="L86"/>
  <c r="L94" s="1"/>
  <c r="JH47"/>
  <c r="HI32"/>
  <c r="HI49" s="1"/>
  <c r="HI53" s="1"/>
  <c r="GO32"/>
  <c r="GO49" s="1"/>
  <c r="GO53" s="1"/>
  <c r="GA36"/>
  <c r="GA49" s="1"/>
  <c r="GA53" s="1"/>
  <c r="FZ33"/>
  <c r="FZ49" s="1"/>
  <c r="FZ53" s="1"/>
  <c r="Z65"/>
  <c r="AA65" s="1"/>
  <c r="AB65" s="1"/>
  <c r="AC65" s="1"/>
  <c r="AD65" s="1"/>
  <c r="AE65" s="1"/>
  <c r="AF65" s="1"/>
  <c r="AG65" s="1"/>
  <c r="AH65" s="1"/>
  <c r="AI65" s="1"/>
  <c r="AJ65" s="1"/>
  <c r="AK65" s="1"/>
  <c r="AL65" s="1"/>
  <c r="AM65" s="1"/>
  <c r="AN65" s="1"/>
  <c r="AO65" s="1"/>
  <c r="CT49"/>
  <c r="CT53" s="1"/>
  <c r="FF33"/>
  <c r="FF49" s="1"/>
  <c r="FF53" s="1"/>
  <c r="AZ64"/>
  <c r="BA64" s="1"/>
  <c r="BB64" s="1"/>
  <c r="BC64" s="1"/>
  <c r="BD64" s="1"/>
  <c r="BE64" s="1"/>
  <c r="BF64" s="1"/>
  <c r="BG64" s="1"/>
  <c r="BH64" s="1"/>
  <c r="BI64" s="1"/>
  <c r="BK64" s="1"/>
  <c r="BL64" s="1"/>
  <c r="BM64" s="1"/>
  <c r="BN64" s="1"/>
  <c r="BP64" s="1"/>
  <c r="BQ64" s="1"/>
  <c r="BR64" s="1"/>
  <c r="BS64" s="1"/>
  <c r="BT64" s="1"/>
  <c r="BU64" s="1"/>
  <c r="BV64" s="1"/>
  <c r="BW64" s="1"/>
  <c r="BX64" s="1"/>
  <c r="BY64" s="1"/>
  <c r="BZ64" s="1"/>
  <c r="CA64" s="1"/>
  <c r="CB64" s="1"/>
  <c r="CC64" s="1"/>
  <c r="CD64" s="1"/>
  <c r="CE64" s="1"/>
  <c r="CF64" s="1"/>
  <c r="CG64" s="1"/>
  <c r="CH64" s="1"/>
  <c r="CI64" s="1"/>
  <c r="CK64" s="1"/>
  <c r="CL64" s="1"/>
  <c r="CM64" s="1"/>
  <c r="CN64" s="1"/>
  <c r="CO64" s="1"/>
  <c r="CP64" s="1"/>
  <c r="CQ64" s="1"/>
  <c r="CS64" s="1"/>
  <c r="CT64" s="1"/>
  <c r="CU64" s="1"/>
  <c r="CV64" s="1"/>
  <c r="CW64" s="1"/>
  <c r="CX64" s="1"/>
  <c r="CY64" s="1"/>
  <c r="CZ64" s="1"/>
  <c r="DA64" s="1"/>
  <c r="DB64" s="1"/>
  <c r="DC64" s="1"/>
  <c r="DD64" s="1"/>
  <c r="DE64" s="1"/>
  <c r="DG64" s="1"/>
  <c r="DH64" s="1"/>
  <c r="DI64" s="1"/>
  <c r="DJ64" s="1"/>
  <c r="DK64" s="1"/>
  <c r="DL64" s="1"/>
  <c r="DM64" s="1"/>
  <c r="DN64" s="1"/>
  <c r="DO64" s="1"/>
  <c r="DP64" s="1"/>
  <c r="DQ64" s="1"/>
  <c r="DR64" s="1"/>
  <c r="DS64" s="1"/>
  <c r="DT64" s="1"/>
  <c r="DU64" s="1"/>
  <c r="DV64" s="1"/>
  <c r="DW64" s="1"/>
  <c r="DX64" s="1"/>
  <c r="DY64" s="1"/>
  <c r="DZ64" s="1"/>
  <c r="EA64" s="1"/>
  <c r="EB64" s="1"/>
  <c r="EC64" s="1"/>
  <c r="ED64" s="1"/>
  <c r="EE64" s="1"/>
  <c r="EF64" s="1"/>
  <c r="EG64" s="1"/>
  <c r="EH64" s="1"/>
  <c r="EI64" s="1"/>
  <c r="EJ64" s="1"/>
  <c r="EK64" s="1"/>
  <c r="EL64" s="1"/>
  <c r="EM64" s="1"/>
  <c r="EN64" s="1"/>
  <c r="EO64" s="1"/>
  <c r="EP64" s="1"/>
  <c r="EQ64" s="1"/>
  <c r="ER64" s="1"/>
  <c r="ES64" s="1"/>
  <c r="ET64" s="1"/>
  <c r="EU64" s="1"/>
  <c r="EV64" s="1"/>
  <c r="EW64" s="1"/>
  <c r="EX64" s="1"/>
  <c r="EY64" s="1"/>
  <c r="EZ64" s="1"/>
  <c r="FA64" s="1"/>
  <c r="FB64" s="1"/>
  <c r="FC64" s="1"/>
  <c r="FD64" s="1"/>
  <c r="FE64" s="1"/>
  <c r="FF64" s="1"/>
  <c r="FG64" s="1"/>
  <c r="FH64" s="1"/>
  <c r="FI64" s="1"/>
  <c r="FJ64" s="1"/>
  <c r="FK64" s="1"/>
  <c r="FL64" s="1"/>
  <c r="FM64" s="1"/>
  <c r="FN64" s="1"/>
  <c r="FO64" s="1"/>
  <c r="FP64" s="1"/>
  <c r="FQ64" s="1"/>
  <c r="FR64" s="1"/>
  <c r="FS64" s="1"/>
  <c r="FT64" s="1"/>
  <c r="FU64" s="1"/>
  <c r="FV64" s="1"/>
  <c r="FW64" s="1"/>
  <c r="FX64" s="1"/>
  <c r="FY64" s="1"/>
  <c r="FZ64" s="1"/>
  <c r="GA64" s="1"/>
  <c r="GB64" s="1"/>
  <c r="GC64" s="1"/>
  <c r="GD64" s="1"/>
  <c r="GE64" s="1"/>
  <c r="GF64" s="1"/>
  <c r="GG64" s="1"/>
  <c r="GH64" s="1"/>
  <c r="GI64" s="1"/>
  <c r="GJ64" s="1"/>
  <c r="GK64" s="1"/>
  <c r="GL64" s="1"/>
  <c r="GM64" s="1"/>
  <c r="GN64" s="1"/>
  <c r="GO64" s="1"/>
  <c r="GP64" s="1"/>
  <c r="GQ64" s="1"/>
  <c r="GR64" s="1"/>
  <c r="GS64" s="1"/>
  <c r="GT64" s="1"/>
  <c r="GU64" s="1"/>
  <c r="GV64" s="1"/>
  <c r="GW64" s="1"/>
  <c r="GX64" s="1"/>
  <c r="GY64" s="1"/>
  <c r="GZ64" s="1"/>
  <c r="HA64" s="1"/>
  <c r="HB64" s="1"/>
  <c r="HC64" s="1"/>
  <c r="HD64" s="1"/>
  <c r="HE64" s="1"/>
  <c r="HF64" s="1"/>
  <c r="HG64" s="1"/>
  <c r="HH64" s="1"/>
  <c r="HI64" s="1"/>
  <c r="HJ64" s="1"/>
  <c r="HK64" s="1"/>
  <c r="HL64" s="1"/>
  <c r="HM64" s="1"/>
  <c r="HN64" s="1"/>
  <c r="HO64" s="1"/>
  <c r="HP64" s="1"/>
  <c r="HQ64" s="1"/>
  <c r="HR64" s="1"/>
  <c r="HS64" s="1"/>
  <c r="HT64" s="1"/>
  <c r="HU64" s="1"/>
  <c r="HV64" s="1"/>
  <c r="HW64" s="1"/>
  <c r="HX64" s="1"/>
  <c r="HY64" s="1"/>
  <c r="HZ64" s="1"/>
  <c r="IA64" s="1"/>
  <c r="IB64" s="1"/>
  <c r="IC64" s="1"/>
  <c r="ID64" s="1"/>
  <c r="IE64" s="1"/>
  <c r="IF64" s="1"/>
  <c r="IG64" s="1"/>
  <c r="IH64" s="1"/>
  <c r="II64" s="1"/>
  <c r="IJ64" s="1"/>
  <c r="IK64" s="1"/>
  <c r="IL64" s="1"/>
  <c r="IM64" s="1"/>
  <c r="IN64" s="1"/>
  <c r="IO64" s="1"/>
  <c r="IP64" s="1"/>
  <c r="IQ64" s="1"/>
  <c r="IR64" s="1"/>
  <c r="IS64" s="1"/>
  <c r="IT64" s="1"/>
  <c r="IU64" s="1"/>
  <c r="IV64" s="1"/>
  <c r="IX64" s="1"/>
  <c r="IY64" s="1"/>
  <c r="IZ64" s="1"/>
  <c r="JA64" s="1"/>
  <c r="JB64" s="1"/>
  <c r="JC64" s="1"/>
  <c r="JD64" s="1"/>
  <c r="JE64" s="1"/>
  <c r="JF64" s="1"/>
  <c r="JG64" s="1"/>
  <c r="JH64" s="1"/>
  <c r="EK36"/>
  <c r="EK49" s="1"/>
  <c r="EK53" s="1"/>
  <c r="BY49"/>
  <c r="BY53" s="1"/>
  <c r="JI47"/>
  <c r="JK47" s="1"/>
  <c r="HP33"/>
  <c r="HP49" s="1"/>
  <c r="HP53" s="1"/>
  <c r="HQ36"/>
  <c r="HQ49" s="1"/>
  <c r="HQ53" s="1"/>
  <c r="GU33"/>
  <c r="GU49" s="1"/>
  <c r="GU53" s="1"/>
  <c r="GV36"/>
  <c r="GV49" s="1"/>
  <c r="GV53" s="1"/>
  <c r="J94"/>
  <c r="IZ27"/>
  <c r="CM49"/>
  <c r="JK38"/>
  <c r="JK30"/>
  <c r="JG53"/>
  <c r="JE53"/>
  <c r="JK45"/>
  <c r="JK39"/>
  <c r="F58"/>
  <c r="E66"/>
  <c r="F6"/>
  <c r="F54" s="1"/>
  <c r="E68"/>
  <c r="E69" s="1"/>
  <c r="IM37" i="87"/>
  <c r="IM19"/>
  <c r="FU32" i="90" l="1"/>
  <c r="FU49" s="1"/>
  <c r="FU53" s="1"/>
  <c r="EY32"/>
  <c r="EY49" s="1"/>
  <c r="EY53" s="1"/>
  <c r="DO33"/>
  <c r="DO49" s="1"/>
  <c r="DO53" s="1"/>
  <c r="IL33"/>
  <c r="EE49"/>
  <c r="EE53" s="1"/>
  <c r="ED49"/>
  <c r="ED53" s="1"/>
  <c r="DE49"/>
  <c r="DE53" s="1"/>
  <c r="JH36"/>
  <c r="IM49"/>
  <c r="IM53" s="1"/>
  <c r="DP36"/>
  <c r="DP49" s="1"/>
  <c r="DP53" s="1"/>
  <c r="JA32"/>
  <c r="JA49" s="1"/>
  <c r="JA53" s="1"/>
  <c r="CM53"/>
  <c r="AP65"/>
  <c r="AQ65" s="1"/>
  <c r="AR65" s="1"/>
  <c r="AS65" s="1"/>
  <c r="AT65" s="1"/>
  <c r="AV65" s="1"/>
  <c r="AW65" s="1"/>
  <c r="AX65" s="1"/>
  <c r="AY65" s="1"/>
  <c r="JI36"/>
  <c r="JK36" s="1"/>
  <c r="J95"/>
  <c r="K94"/>
  <c r="BS49"/>
  <c r="BS53" s="1"/>
  <c r="G6"/>
  <c r="G54" s="1"/>
  <c r="F66"/>
  <c r="F68" s="1"/>
  <c r="F69" s="1"/>
  <c r="G58"/>
  <c r="J93" i="87"/>
  <c r="IJ46"/>
  <c r="IJ49" i="90" s="1"/>
  <c r="IJ53" s="1"/>
  <c r="II46" i="87"/>
  <c r="II49" i="90" s="1"/>
  <c r="II53" s="1"/>
  <c r="IH37" i="87"/>
  <c r="IH19"/>
  <c r="JI32" i="90" l="1"/>
  <c r="JK32" s="1"/>
  <c r="JH33"/>
  <c r="IL49"/>
  <c r="IL53" s="1"/>
  <c r="AZ65"/>
  <c r="BA65" s="1"/>
  <c r="BB65" s="1"/>
  <c r="BC65" s="1"/>
  <c r="BD65" s="1"/>
  <c r="BE65" s="1"/>
  <c r="BF65" s="1"/>
  <c r="BG65" s="1"/>
  <c r="BH65" s="1"/>
  <c r="BI65" s="1"/>
  <c r="BK65" s="1"/>
  <c r="BL65" s="1"/>
  <c r="BM65" s="1"/>
  <c r="BN65" s="1"/>
  <c r="BP65" s="1"/>
  <c r="BQ65" s="1"/>
  <c r="BR65" s="1"/>
  <c r="BS65" s="1"/>
  <c r="BT65" s="1"/>
  <c r="BU65" s="1"/>
  <c r="BV65" s="1"/>
  <c r="BW65" s="1"/>
  <c r="BX65" s="1"/>
  <c r="BY65" s="1"/>
  <c r="BZ65" s="1"/>
  <c r="CA65" s="1"/>
  <c r="CB65" s="1"/>
  <c r="CC65" s="1"/>
  <c r="CD65" s="1"/>
  <c r="CE65" s="1"/>
  <c r="CF65" s="1"/>
  <c r="CG65" s="1"/>
  <c r="CH65" s="1"/>
  <c r="H58"/>
  <c r="G66"/>
  <c r="H6"/>
  <c r="H54" s="1"/>
  <c r="G68"/>
  <c r="G69" s="1"/>
  <c r="IF30" i="87"/>
  <c r="IF17"/>
  <c r="IE17"/>
  <c r="JI33" i="90" l="1"/>
  <c r="JK33" s="1"/>
  <c r="JH49"/>
  <c r="JH53" s="1"/>
  <c r="CK65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DA65" s="1"/>
  <c r="DB65" s="1"/>
  <c r="DC65" s="1"/>
  <c r="DD65" s="1"/>
  <c r="DE65" s="1"/>
  <c r="DG65" s="1"/>
  <c r="DH65" s="1"/>
  <c r="DI65" s="1"/>
  <c r="DJ65" s="1"/>
  <c r="DK65" s="1"/>
  <c r="DL65" s="1"/>
  <c r="DM65" s="1"/>
  <c r="DN65" s="1"/>
  <c r="DO65" s="1"/>
  <c r="DP65" s="1"/>
  <c r="DQ65" s="1"/>
  <c r="DR65" s="1"/>
  <c r="DS65" s="1"/>
  <c r="DT65" s="1"/>
  <c r="DU65" s="1"/>
  <c r="DV65" s="1"/>
  <c r="DW65" s="1"/>
  <c r="DX65" s="1"/>
  <c r="DY65" s="1"/>
  <c r="DZ65" s="1"/>
  <c r="EA65" s="1"/>
  <c r="EB65" s="1"/>
  <c r="EC65" s="1"/>
  <c r="ED65" s="1"/>
  <c r="EE65" s="1"/>
  <c r="EF65" s="1"/>
  <c r="EG65" s="1"/>
  <c r="EH65" s="1"/>
  <c r="EI65" s="1"/>
  <c r="EJ65" s="1"/>
  <c r="EK65" s="1"/>
  <c r="EL65" s="1"/>
  <c r="EM65" s="1"/>
  <c r="EN65" s="1"/>
  <c r="EO65" s="1"/>
  <c r="EP65" s="1"/>
  <c r="EQ65" s="1"/>
  <c r="ER65" s="1"/>
  <c r="ES65" s="1"/>
  <c r="ET65" s="1"/>
  <c r="EU65" s="1"/>
  <c r="EV65" s="1"/>
  <c r="EW65" s="1"/>
  <c r="EX65" s="1"/>
  <c r="EY65" s="1"/>
  <c r="EZ65" s="1"/>
  <c r="FA65" s="1"/>
  <c r="FB65" s="1"/>
  <c r="FC65" s="1"/>
  <c r="FD65" s="1"/>
  <c r="FE65" s="1"/>
  <c r="FF65" s="1"/>
  <c r="FG65" s="1"/>
  <c r="FH65" s="1"/>
  <c r="FI65" s="1"/>
  <c r="FJ65" s="1"/>
  <c r="FK65" s="1"/>
  <c r="FL65" s="1"/>
  <c r="FM65" s="1"/>
  <c r="FN65" s="1"/>
  <c r="FO65" s="1"/>
  <c r="FP65" s="1"/>
  <c r="FQ65" s="1"/>
  <c r="FR65" s="1"/>
  <c r="FS65" s="1"/>
  <c r="FT65" s="1"/>
  <c r="FU65" s="1"/>
  <c r="FV65" s="1"/>
  <c r="FW65" s="1"/>
  <c r="FX65" s="1"/>
  <c r="FY65" s="1"/>
  <c r="FZ65" s="1"/>
  <c r="GA65" s="1"/>
  <c r="GB65" s="1"/>
  <c r="GC65" s="1"/>
  <c r="GD65" s="1"/>
  <c r="GE65" s="1"/>
  <c r="GF65" s="1"/>
  <c r="GG65" s="1"/>
  <c r="GH65" s="1"/>
  <c r="GI65" s="1"/>
  <c r="GJ65" s="1"/>
  <c r="GK65" s="1"/>
  <c r="GL65" s="1"/>
  <c r="GM65" s="1"/>
  <c r="GN65" s="1"/>
  <c r="GO65" s="1"/>
  <c r="GP65" s="1"/>
  <c r="GQ65" s="1"/>
  <c r="GR65" s="1"/>
  <c r="GS65" s="1"/>
  <c r="GT65" s="1"/>
  <c r="GU65" s="1"/>
  <c r="GV65" s="1"/>
  <c r="GW65" s="1"/>
  <c r="GX65" s="1"/>
  <c r="GY65" s="1"/>
  <c r="GZ65" s="1"/>
  <c r="HA65" s="1"/>
  <c r="HB65" s="1"/>
  <c r="HC65" s="1"/>
  <c r="HD65" s="1"/>
  <c r="HE65" s="1"/>
  <c r="HF65" s="1"/>
  <c r="HG65" s="1"/>
  <c r="HH65" s="1"/>
  <c r="HI65" s="1"/>
  <c r="HJ65" s="1"/>
  <c r="HK65" s="1"/>
  <c r="HL65" s="1"/>
  <c r="HM65" s="1"/>
  <c r="HN65" s="1"/>
  <c r="HO65" s="1"/>
  <c r="HP65" s="1"/>
  <c r="HQ65" s="1"/>
  <c r="HR65" s="1"/>
  <c r="HS65" s="1"/>
  <c r="HT65" s="1"/>
  <c r="HU65" s="1"/>
  <c r="HV65" s="1"/>
  <c r="HW65" s="1"/>
  <c r="HX65" s="1"/>
  <c r="HY65" s="1"/>
  <c r="HZ65" s="1"/>
  <c r="IA65" s="1"/>
  <c r="IB65" s="1"/>
  <c r="IC65" s="1"/>
  <c r="ID65" s="1"/>
  <c r="IE65" s="1"/>
  <c r="IF65" s="1"/>
  <c r="IG65" s="1"/>
  <c r="IH65" s="1"/>
  <c r="II65" s="1"/>
  <c r="IJ65" s="1"/>
  <c r="IK65" s="1"/>
  <c r="IL65" s="1"/>
  <c r="IM65" s="1"/>
  <c r="IN65" s="1"/>
  <c r="IO65" s="1"/>
  <c r="IP65" s="1"/>
  <c r="IQ65" s="1"/>
  <c r="IR65" s="1"/>
  <c r="IS65" s="1"/>
  <c r="IT65" s="1"/>
  <c r="IU65" s="1"/>
  <c r="IV65" s="1"/>
  <c r="IX65" s="1"/>
  <c r="IY65" s="1"/>
  <c r="IZ65" s="1"/>
  <c r="JA65" s="1"/>
  <c r="JB65" s="1"/>
  <c r="JC65" s="1"/>
  <c r="JD65" s="1"/>
  <c r="JE65" s="1"/>
  <c r="JF65" s="1"/>
  <c r="JG65" s="1"/>
  <c r="JH65" s="1"/>
  <c r="CI65"/>
  <c r="I6"/>
  <c r="I54" s="1"/>
  <c r="H66"/>
  <c r="H68" s="1"/>
  <c r="H69" s="1"/>
  <c r="I58"/>
  <c r="I66" s="1"/>
  <c r="J92" i="87"/>
  <c r="J91"/>
  <c r="M49" i="88"/>
  <c r="IC63" i="87"/>
  <c r="IC65"/>
  <c r="IC64"/>
  <c r="IC62"/>
  <c r="IC61"/>
  <c r="I68" i="90" l="1"/>
  <c r="I69" s="1"/>
  <c r="J58"/>
  <c r="ID37" i="87"/>
  <c r="ID65"/>
  <c r="ID64"/>
  <c r="ID19"/>
  <c r="J66" i="90" l="1"/>
  <c r="K58"/>
  <c r="J6"/>
  <c r="J54" s="1"/>
  <c r="J68" l="1"/>
  <c r="J69" s="1"/>
  <c r="K6"/>
  <c r="K54" s="1"/>
  <c r="K66"/>
  <c r="L58"/>
  <c r="IB55" i="87"/>
  <c r="IB49"/>
  <c r="IB53" s="1"/>
  <c r="IB27"/>
  <c r="HW49"/>
  <c r="HW53" s="1"/>
  <c r="HW27"/>
  <c r="HV30"/>
  <c r="HV10"/>
  <c r="HP17"/>
  <c r="HN17"/>
  <c r="HL17"/>
  <c r="HI17"/>
  <c r="HF45"/>
  <c r="HC16"/>
  <c r="HC16" i="90" s="1"/>
  <c r="GX17" i="87"/>
  <c r="GV17"/>
  <c r="GT17"/>
  <c r="HC27" i="90" l="1"/>
  <c r="JI16"/>
  <c r="IW10" i="87"/>
  <c r="HV10" i="90"/>
  <c r="L66"/>
  <c r="M58"/>
  <c r="K68"/>
  <c r="K69" s="1"/>
  <c r="L6"/>
  <c r="L54" s="1"/>
  <c r="GQ46" i="87"/>
  <c r="GQ49" i="90" s="1"/>
  <c r="GQ53" s="1"/>
  <c r="GQ17" i="87"/>
  <c r="JI10" i="90" l="1"/>
  <c r="HV27"/>
  <c r="L68"/>
  <c r="L69" s="1"/>
  <c r="M6"/>
  <c r="M54" s="1"/>
  <c r="M66"/>
  <c r="N58"/>
  <c r="GP17" i="87"/>
  <c r="GN17"/>
  <c r="GM18"/>
  <c r="N66" i="90" l="1"/>
  <c r="O58"/>
  <c r="M68"/>
  <c r="M69" s="1"/>
  <c r="N6"/>
  <c r="N54" s="1"/>
  <c r="GG17" i="87"/>
  <c r="GE49"/>
  <c r="GD49"/>
  <c r="GC49"/>
  <c r="GE27"/>
  <c r="GD27"/>
  <c r="GC27"/>
  <c r="GB17"/>
  <c r="J90"/>
  <c r="N68" i="90" l="1"/>
  <c r="N69" s="1"/>
  <c r="O6"/>
  <c r="O54" s="1"/>
  <c r="O66"/>
  <c r="P58"/>
  <c r="FX17" i="87"/>
  <c r="P66" i="90" l="1"/>
  <c r="Q58"/>
  <c r="O68"/>
  <c r="O69" s="1"/>
  <c r="P6"/>
  <c r="P54" s="1"/>
  <c r="FS17" i="87"/>
  <c r="FQ17"/>
  <c r="P68" i="90" l="1"/>
  <c r="P69" s="1"/>
  <c r="Q6"/>
  <c r="Q54" s="1"/>
  <c r="Q66"/>
  <c r="R58"/>
  <c r="FQ19" i="87"/>
  <c r="R66" i="90" l="1"/>
  <c r="S58"/>
  <c r="Q68"/>
  <c r="Q69" s="1"/>
  <c r="R6"/>
  <c r="R54" s="1"/>
  <c r="FO37" i="87"/>
  <c r="IW37" s="1"/>
  <c r="M47" i="88"/>
  <c r="P53" s="1"/>
  <c r="P55" s="1"/>
  <c r="M51" s="1"/>
  <c r="R68" i="90" l="1"/>
  <c r="R69" s="1"/>
  <c r="S6"/>
  <c r="S54" s="1"/>
  <c r="S66"/>
  <c r="T58"/>
  <c r="FM17" i="87"/>
  <c r="FK17"/>
  <c r="K13" i="88"/>
  <c r="P56"/>
  <c r="P43"/>
  <c r="K43"/>
  <c r="K41"/>
  <c r="I39"/>
  <c r="I37"/>
  <c r="I35"/>
  <c r="G33"/>
  <c r="G15"/>
  <c r="G14"/>
  <c r="G13"/>
  <c r="K108" i="87"/>
  <c r="K107"/>
  <c r="K104"/>
  <c r="K103"/>
  <c r="J98"/>
  <c r="J97"/>
  <c r="D94"/>
  <c r="G93"/>
  <c r="G92"/>
  <c r="G91"/>
  <c r="G90"/>
  <c r="J89"/>
  <c r="G89"/>
  <c r="J88"/>
  <c r="G88"/>
  <c r="J87"/>
  <c r="G87"/>
  <c r="J86"/>
  <c r="G86"/>
  <c r="J85"/>
  <c r="G85"/>
  <c r="J84"/>
  <c r="G84"/>
  <c r="J83"/>
  <c r="G83"/>
  <c r="J82"/>
  <c r="G82"/>
  <c r="J80"/>
  <c r="G80"/>
  <c r="H88" s="1"/>
  <c r="D80"/>
  <c r="E92" s="1"/>
  <c r="EJ79"/>
  <c r="H77"/>
  <c r="M76"/>
  <c r="H76"/>
  <c r="JH65"/>
  <c r="EV65"/>
  <c r="EW65" s="1"/>
  <c r="EX65" s="1"/>
  <c r="EY65" s="1"/>
  <c r="EZ65" s="1"/>
  <c r="FA65" s="1"/>
  <c r="FB65" s="1"/>
  <c r="FC65" s="1"/>
  <c r="FD65" s="1"/>
  <c r="FE65" s="1"/>
  <c r="FF65" s="1"/>
  <c r="FG65" s="1"/>
  <c r="FH65" s="1"/>
  <c r="FI65" s="1"/>
  <c r="FJ65" s="1"/>
  <c r="FK65" s="1"/>
  <c r="FL65" s="1"/>
  <c r="FM65" s="1"/>
  <c r="FN65" s="1"/>
  <c r="FO65" s="1"/>
  <c r="EB65"/>
  <c r="EC65" s="1"/>
  <c r="ED65" s="1"/>
  <c r="EE65" s="1"/>
  <c r="EF65" s="1"/>
  <c r="EG65" s="1"/>
  <c r="EH65" s="1"/>
  <c r="EI65" s="1"/>
  <c r="EJ65" s="1"/>
  <c r="EK65" s="1"/>
  <c r="EL65" s="1"/>
  <c r="EM65" s="1"/>
  <c r="EN65" s="1"/>
  <c r="EO65" s="1"/>
  <c r="EP65" s="1"/>
  <c r="EQ65" s="1"/>
  <c r="ER65" s="1"/>
  <c r="ES65" s="1"/>
  <c r="ET65" s="1"/>
  <c r="DG65"/>
  <c r="DH65" s="1"/>
  <c r="DI65" s="1"/>
  <c r="DJ65" s="1"/>
  <c r="DK65" s="1"/>
  <c r="DL65" s="1"/>
  <c r="DM65" s="1"/>
  <c r="DN65" s="1"/>
  <c r="DO65" s="1"/>
  <c r="DP65" s="1"/>
  <c r="DQ65" s="1"/>
  <c r="DR65" s="1"/>
  <c r="DS65" s="1"/>
  <c r="DT65" s="1"/>
  <c r="DU65" s="1"/>
  <c r="DV65" s="1"/>
  <c r="DW65" s="1"/>
  <c r="DX65" s="1"/>
  <c r="DY65" s="1"/>
  <c r="DZ65" s="1"/>
  <c r="CK65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CZ65" s="1"/>
  <c r="DA65" s="1"/>
  <c r="DB65" s="1"/>
  <c r="DC65" s="1"/>
  <c r="DD65" s="1"/>
  <c r="DE65" s="1"/>
  <c r="BQ65"/>
  <c r="BR65" s="1"/>
  <c r="BS65" s="1"/>
  <c r="BT65" s="1"/>
  <c r="BU65" s="1"/>
  <c r="BV65" s="1"/>
  <c r="BW65" s="1"/>
  <c r="BX65" s="1"/>
  <c r="BY65" s="1"/>
  <c r="BZ65" s="1"/>
  <c r="CA65" s="1"/>
  <c r="CB65" s="1"/>
  <c r="CC65" s="1"/>
  <c r="CD65" s="1"/>
  <c r="CE65" s="1"/>
  <c r="CF65" s="1"/>
  <c r="CG65" s="1"/>
  <c r="CH65" s="1"/>
  <c r="CI65" s="1"/>
  <c r="AT65"/>
  <c r="AU65" s="1"/>
  <c r="AV65" s="1"/>
  <c r="AW65" s="1"/>
  <c r="AX65" s="1"/>
  <c r="AY65" s="1"/>
  <c r="AZ65" s="1"/>
  <c r="BA65" s="1"/>
  <c r="BB65" s="1"/>
  <c r="BC65" s="1"/>
  <c r="BD65" s="1"/>
  <c r="BE65" s="1"/>
  <c r="BF65" s="1"/>
  <c r="BG65" s="1"/>
  <c r="BH65" s="1"/>
  <c r="BI65" s="1"/>
  <c r="BJ65" s="1"/>
  <c r="BK65" s="1"/>
  <c r="BL65" s="1"/>
  <c r="BM65" s="1"/>
  <c r="BN65" s="1"/>
  <c r="BO65" s="1"/>
  <c r="X65"/>
  <c r="Y65" s="1"/>
  <c r="Z65" s="1"/>
  <c r="AA65" s="1"/>
  <c r="AB65" s="1"/>
  <c r="AC65" s="1"/>
  <c r="AD65" s="1"/>
  <c r="AE65" s="1"/>
  <c r="AF65" s="1"/>
  <c r="AG65" s="1"/>
  <c r="AH65" s="1"/>
  <c r="AI65" s="1"/>
  <c r="AJ65" s="1"/>
  <c r="AK65" s="1"/>
  <c r="AL65" s="1"/>
  <c r="AM65" s="1"/>
  <c r="AN65" s="1"/>
  <c r="AO65" s="1"/>
  <c r="AP65" s="1"/>
  <c r="AQ65" s="1"/>
  <c r="AR65" s="1"/>
  <c r="E65"/>
  <c r="F65" s="1"/>
  <c r="G65" s="1"/>
  <c r="H65" s="1"/>
  <c r="I65" s="1"/>
  <c r="J65" s="1"/>
  <c r="K65" s="1"/>
  <c r="L65" s="1"/>
  <c r="M65" s="1"/>
  <c r="N65" s="1"/>
  <c r="O65" s="1"/>
  <c r="P65" s="1"/>
  <c r="Q65" s="1"/>
  <c r="R65" s="1"/>
  <c r="S65" s="1"/>
  <c r="T65" s="1"/>
  <c r="U65" s="1"/>
  <c r="V65" s="1"/>
  <c r="JH64"/>
  <c r="JI64" s="1"/>
  <c r="EV64"/>
  <c r="EW64" s="1"/>
  <c r="EX64" s="1"/>
  <c r="EY64" s="1"/>
  <c r="EZ64" s="1"/>
  <c r="FA64" s="1"/>
  <c r="FB64" s="1"/>
  <c r="FC64" s="1"/>
  <c r="FD64" s="1"/>
  <c r="FE64" s="1"/>
  <c r="FF64" s="1"/>
  <c r="FG64" s="1"/>
  <c r="FH64" s="1"/>
  <c r="FI64" s="1"/>
  <c r="FJ64" s="1"/>
  <c r="FK64" s="1"/>
  <c r="FL64" s="1"/>
  <c r="FM64" s="1"/>
  <c r="EB64"/>
  <c r="EC64" s="1"/>
  <c r="ED64" s="1"/>
  <c r="EE64" s="1"/>
  <c r="EF64" s="1"/>
  <c r="EG64" s="1"/>
  <c r="EH64" s="1"/>
  <c r="EI64" s="1"/>
  <c r="EJ64" s="1"/>
  <c r="EK64" s="1"/>
  <c r="EL64" s="1"/>
  <c r="EM64" s="1"/>
  <c r="EN64" s="1"/>
  <c r="EO64" s="1"/>
  <c r="EP64" s="1"/>
  <c r="EQ64" s="1"/>
  <c r="ER64" s="1"/>
  <c r="ES64" s="1"/>
  <c r="ET64" s="1"/>
  <c r="DG64"/>
  <c r="DH64" s="1"/>
  <c r="DI64" s="1"/>
  <c r="DJ64" s="1"/>
  <c r="DK64" s="1"/>
  <c r="DL64" s="1"/>
  <c r="DM64" s="1"/>
  <c r="DN64" s="1"/>
  <c r="DO64" s="1"/>
  <c r="DP64" s="1"/>
  <c r="DQ64" s="1"/>
  <c r="DR64" s="1"/>
  <c r="DS64" s="1"/>
  <c r="DT64" s="1"/>
  <c r="DU64" s="1"/>
  <c r="DV64" s="1"/>
  <c r="DW64" s="1"/>
  <c r="DX64" s="1"/>
  <c r="DY64" s="1"/>
  <c r="DZ64" s="1"/>
  <c r="CK64"/>
  <c r="CL64" s="1"/>
  <c r="CM64" s="1"/>
  <c r="CN64" s="1"/>
  <c r="CO64" s="1"/>
  <c r="CP64" s="1"/>
  <c r="CQ64" s="1"/>
  <c r="CR64" s="1"/>
  <c r="CS64" s="1"/>
  <c r="CT64" s="1"/>
  <c r="CU64" s="1"/>
  <c r="CV64" s="1"/>
  <c r="CW64" s="1"/>
  <c r="CX64" s="1"/>
  <c r="CY64" s="1"/>
  <c r="CZ64" s="1"/>
  <c r="DA64" s="1"/>
  <c r="DB64" s="1"/>
  <c r="DC64" s="1"/>
  <c r="DD64" s="1"/>
  <c r="DE64" s="1"/>
  <c r="BQ64"/>
  <c r="BR64" s="1"/>
  <c r="BS64" s="1"/>
  <c r="BT64" s="1"/>
  <c r="BU64" s="1"/>
  <c r="BV64" s="1"/>
  <c r="BW64" s="1"/>
  <c r="BX64" s="1"/>
  <c r="BY64" s="1"/>
  <c r="BZ64" s="1"/>
  <c r="CA64" s="1"/>
  <c r="CB64" s="1"/>
  <c r="CC64" s="1"/>
  <c r="CD64" s="1"/>
  <c r="CE64" s="1"/>
  <c r="CF64" s="1"/>
  <c r="CG64" s="1"/>
  <c r="CH64" s="1"/>
  <c r="CI64" s="1"/>
  <c r="AT64"/>
  <c r="AU64" s="1"/>
  <c r="AV64" s="1"/>
  <c r="AW64" s="1"/>
  <c r="AX64" s="1"/>
  <c r="AY64" s="1"/>
  <c r="AZ64" s="1"/>
  <c r="BA64" s="1"/>
  <c r="BB64" s="1"/>
  <c r="BC64" s="1"/>
  <c r="BD64" s="1"/>
  <c r="BE64" s="1"/>
  <c r="BF64" s="1"/>
  <c r="BG64" s="1"/>
  <c r="BH64" s="1"/>
  <c r="BI64" s="1"/>
  <c r="BJ64" s="1"/>
  <c r="BK64" s="1"/>
  <c r="BL64" s="1"/>
  <c r="BM64" s="1"/>
  <c r="BN64" s="1"/>
  <c r="BO64" s="1"/>
  <c r="X64"/>
  <c r="Y64" s="1"/>
  <c r="Z64" s="1"/>
  <c r="AA64" s="1"/>
  <c r="AB64" s="1"/>
  <c r="AC64" s="1"/>
  <c r="AD64" s="1"/>
  <c r="AE64" s="1"/>
  <c r="AF64" s="1"/>
  <c r="AG64" s="1"/>
  <c r="AH64" s="1"/>
  <c r="AI64" s="1"/>
  <c r="AJ64" s="1"/>
  <c r="AK64" s="1"/>
  <c r="AL64" s="1"/>
  <c r="AM64" s="1"/>
  <c r="AN64" s="1"/>
  <c r="AO64" s="1"/>
  <c r="AP64" s="1"/>
  <c r="AQ64" s="1"/>
  <c r="AR64" s="1"/>
  <c r="E64"/>
  <c r="F64" s="1"/>
  <c r="G64" s="1"/>
  <c r="H64" s="1"/>
  <c r="I64" s="1"/>
  <c r="J64" s="1"/>
  <c r="K64" s="1"/>
  <c r="L64" s="1"/>
  <c r="M64" s="1"/>
  <c r="N64" s="1"/>
  <c r="O64" s="1"/>
  <c r="P64" s="1"/>
  <c r="Q64" s="1"/>
  <c r="R64" s="1"/>
  <c r="S64" s="1"/>
  <c r="T64" s="1"/>
  <c r="U64" s="1"/>
  <c r="V64" s="1"/>
  <c r="JH63"/>
  <c r="EV63"/>
  <c r="EW63" s="1"/>
  <c r="EX63" s="1"/>
  <c r="EY63" s="1"/>
  <c r="EZ63" s="1"/>
  <c r="FA63" s="1"/>
  <c r="FB63" s="1"/>
  <c r="FC63" s="1"/>
  <c r="FD63" s="1"/>
  <c r="FE63" s="1"/>
  <c r="FF63" s="1"/>
  <c r="FG63" s="1"/>
  <c r="FH63" s="1"/>
  <c r="FI63" s="1"/>
  <c r="FJ63" s="1"/>
  <c r="FK63" s="1"/>
  <c r="FL63" s="1"/>
  <c r="FM63" s="1"/>
  <c r="EB63"/>
  <c r="EC63" s="1"/>
  <c r="ED63" s="1"/>
  <c r="EE63" s="1"/>
  <c r="EF63" s="1"/>
  <c r="EG63" s="1"/>
  <c r="EH63" s="1"/>
  <c r="EI63" s="1"/>
  <c r="EJ63" s="1"/>
  <c r="EK63" s="1"/>
  <c r="EL63" s="1"/>
  <c r="EM63" s="1"/>
  <c r="EN63" s="1"/>
  <c r="EO63" s="1"/>
  <c r="EP63" s="1"/>
  <c r="EQ63" s="1"/>
  <c r="ER63" s="1"/>
  <c r="ES63" s="1"/>
  <c r="ET63" s="1"/>
  <c r="DG63"/>
  <c r="DH63" s="1"/>
  <c r="DI63" s="1"/>
  <c r="DJ63" s="1"/>
  <c r="DK63" s="1"/>
  <c r="DL63" s="1"/>
  <c r="DM63" s="1"/>
  <c r="DN63" s="1"/>
  <c r="DO63" s="1"/>
  <c r="DP63" s="1"/>
  <c r="DQ63" s="1"/>
  <c r="DR63" s="1"/>
  <c r="DS63" s="1"/>
  <c r="DT63" s="1"/>
  <c r="DU63" s="1"/>
  <c r="DV63" s="1"/>
  <c r="DW63" s="1"/>
  <c r="DX63" s="1"/>
  <c r="DY63" s="1"/>
  <c r="DZ63" s="1"/>
  <c r="CK63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DA63" s="1"/>
  <c r="DB63" s="1"/>
  <c r="DC63" s="1"/>
  <c r="DD63" s="1"/>
  <c r="DE63" s="1"/>
  <c r="BQ63"/>
  <c r="BR63" s="1"/>
  <c r="BS63" s="1"/>
  <c r="BT63" s="1"/>
  <c r="BU63" s="1"/>
  <c r="BV63" s="1"/>
  <c r="BW63" s="1"/>
  <c r="BX63" s="1"/>
  <c r="BY63" s="1"/>
  <c r="BZ63" s="1"/>
  <c r="CA63" s="1"/>
  <c r="CB63" s="1"/>
  <c r="CC63" s="1"/>
  <c r="CD63" s="1"/>
  <c r="CE63" s="1"/>
  <c r="CF63" s="1"/>
  <c r="CG63" s="1"/>
  <c r="CH63" s="1"/>
  <c r="CI63" s="1"/>
  <c r="AT63"/>
  <c r="AU63" s="1"/>
  <c r="AV63" s="1"/>
  <c r="AW63" s="1"/>
  <c r="AX63" s="1"/>
  <c r="AY63" s="1"/>
  <c r="AZ63" s="1"/>
  <c r="BA63" s="1"/>
  <c r="BB63" s="1"/>
  <c r="BC63" s="1"/>
  <c r="BD63" s="1"/>
  <c r="BE63" s="1"/>
  <c r="BF63" s="1"/>
  <c r="BG63" s="1"/>
  <c r="BH63" s="1"/>
  <c r="BI63" s="1"/>
  <c r="BJ63" s="1"/>
  <c r="BK63" s="1"/>
  <c r="BL63" s="1"/>
  <c r="BM63" s="1"/>
  <c r="BN63" s="1"/>
  <c r="BO63" s="1"/>
  <c r="X63"/>
  <c r="Y63" s="1"/>
  <c r="Z63" s="1"/>
  <c r="AA63" s="1"/>
  <c r="AB63" s="1"/>
  <c r="AC63" s="1"/>
  <c r="AD63" s="1"/>
  <c r="AE63" s="1"/>
  <c r="AF63" s="1"/>
  <c r="AG63" s="1"/>
  <c r="AH63" s="1"/>
  <c r="AI63" s="1"/>
  <c r="AJ63" s="1"/>
  <c r="AK63" s="1"/>
  <c r="AL63" s="1"/>
  <c r="AM63" s="1"/>
  <c r="AN63" s="1"/>
  <c r="AO63" s="1"/>
  <c r="AP63" s="1"/>
  <c r="AQ63" s="1"/>
  <c r="AR63" s="1"/>
  <c r="E63"/>
  <c r="F63" s="1"/>
  <c r="G63" s="1"/>
  <c r="H63" s="1"/>
  <c r="I63" s="1"/>
  <c r="J63" s="1"/>
  <c r="K63" s="1"/>
  <c r="L63" s="1"/>
  <c r="M63" s="1"/>
  <c r="N63" s="1"/>
  <c r="O63" s="1"/>
  <c r="P63" s="1"/>
  <c r="Q63" s="1"/>
  <c r="R63" s="1"/>
  <c r="S63" s="1"/>
  <c r="T63" s="1"/>
  <c r="U63" s="1"/>
  <c r="V63" s="1"/>
  <c r="JH62"/>
  <c r="EV62"/>
  <c r="EW62" s="1"/>
  <c r="EX62" s="1"/>
  <c r="EY62" s="1"/>
  <c r="EZ62" s="1"/>
  <c r="FA62" s="1"/>
  <c r="FB62" s="1"/>
  <c r="FC62" s="1"/>
  <c r="FD62" s="1"/>
  <c r="FE62" s="1"/>
  <c r="FF62" s="1"/>
  <c r="FG62" s="1"/>
  <c r="FH62" s="1"/>
  <c r="FI62" s="1"/>
  <c r="FJ62" s="1"/>
  <c r="FK62" s="1"/>
  <c r="FL62" s="1"/>
  <c r="FM62" s="1"/>
  <c r="EQ62"/>
  <c r="ER62" s="1"/>
  <c r="ES62" s="1"/>
  <c r="ET62" s="1"/>
  <c r="EB62"/>
  <c r="EC62" s="1"/>
  <c r="ED62" s="1"/>
  <c r="EE62" s="1"/>
  <c r="EF62" s="1"/>
  <c r="EG62" s="1"/>
  <c r="EH62" s="1"/>
  <c r="EI62" s="1"/>
  <c r="EJ62" s="1"/>
  <c r="EK62" s="1"/>
  <c r="EL62" s="1"/>
  <c r="EM62" s="1"/>
  <c r="EN62" s="1"/>
  <c r="EO62" s="1"/>
  <c r="DG62"/>
  <c r="DH62" s="1"/>
  <c r="DI62" s="1"/>
  <c r="DJ62" s="1"/>
  <c r="DK62" s="1"/>
  <c r="DL62" s="1"/>
  <c r="DM62" s="1"/>
  <c r="DN62" s="1"/>
  <c r="DO62" s="1"/>
  <c r="DP62" s="1"/>
  <c r="DQ62" s="1"/>
  <c r="DR62" s="1"/>
  <c r="DS62" s="1"/>
  <c r="DT62" s="1"/>
  <c r="DU62" s="1"/>
  <c r="DV62" s="1"/>
  <c r="DW62" s="1"/>
  <c r="DX62" s="1"/>
  <c r="DY62" s="1"/>
  <c r="DZ62" s="1"/>
  <c r="CK62"/>
  <c r="CL62" s="1"/>
  <c r="CM62" s="1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DA62" s="1"/>
  <c r="DB62" s="1"/>
  <c r="DC62" s="1"/>
  <c r="DD62" s="1"/>
  <c r="DE62" s="1"/>
  <c r="BQ62"/>
  <c r="BR62" s="1"/>
  <c r="BS62" s="1"/>
  <c r="BT62" s="1"/>
  <c r="BU62" s="1"/>
  <c r="BV62" s="1"/>
  <c r="BW62" s="1"/>
  <c r="BX62" s="1"/>
  <c r="BY62" s="1"/>
  <c r="BZ62" s="1"/>
  <c r="CA62" s="1"/>
  <c r="CB62" s="1"/>
  <c r="CC62" s="1"/>
  <c r="CD62" s="1"/>
  <c r="CE62" s="1"/>
  <c r="CF62" s="1"/>
  <c r="CG62" s="1"/>
  <c r="CH62" s="1"/>
  <c r="CI62" s="1"/>
  <c r="AT62"/>
  <c r="AU62" s="1"/>
  <c r="AV62" s="1"/>
  <c r="AW62" s="1"/>
  <c r="AX62" s="1"/>
  <c r="AY62" s="1"/>
  <c r="AZ62" s="1"/>
  <c r="BA62" s="1"/>
  <c r="BB62" s="1"/>
  <c r="BC62" s="1"/>
  <c r="BD62" s="1"/>
  <c r="BE62" s="1"/>
  <c r="BF62" s="1"/>
  <c r="BG62" s="1"/>
  <c r="BH62" s="1"/>
  <c r="BI62" s="1"/>
  <c r="BJ62" s="1"/>
  <c r="BK62" s="1"/>
  <c r="BL62" s="1"/>
  <c r="BM62" s="1"/>
  <c r="BN62" s="1"/>
  <c r="BO62" s="1"/>
  <c r="X62"/>
  <c r="Y62" s="1"/>
  <c r="Z62" s="1"/>
  <c r="AA62" s="1"/>
  <c r="AB62" s="1"/>
  <c r="AC62" s="1"/>
  <c r="AD62" s="1"/>
  <c r="AE62" s="1"/>
  <c r="AF62" s="1"/>
  <c r="AG62" s="1"/>
  <c r="AH62" s="1"/>
  <c r="AI62" s="1"/>
  <c r="AJ62" s="1"/>
  <c r="AK62" s="1"/>
  <c r="AL62" s="1"/>
  <c r="AM62" s="1"/>
  <c r="AN62" s="1"/>
  <c r="AO62" s="1"/>
  <c r="AP62" s="1"/>
  <c r="AQ62" s="1"/>
  <c r="AR62" s="1"/>
  <c r="E62"/>
  <c r="F62" s="1"/>
  <c r="G62" s="1"/>
  <c r="H62" s="1"/>
  <c r="I62" s="1"/>
  <c r="J62" s="1"/>
  <c r="K62" s="1"/>
  <c r="L62" s="1"/>
  <c r="M62" s="1"/>
  <c r="N62" s="1"/>
  <c r="O62" s="1"/>
  <c r="P62" s="1"/>
  <c r="Q62" s="1"/>
  <c r="R62" s="1"/>
  <c r="S62" s="1"/>
  <c r="T62" s="1"/>
  <c r="U62" s="1"/>
  <c r="V62" s="1"/>
  <c r="JH61"/>
  <c r="EB61"/>
  <c r="EC61" s="1"/>
  <c r="ED61" s="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DG61"/>
  <c r="DH61" s="1"/>
  <c r="DI61" s="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DZ61" s="1"/>
  <c r="CK6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DE61" s="1"/>
  <c r="BQ6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CI61" s="1"/>
  <c r="AT61"/>
  <c r="AU61" s="1"/>
  <c r="AV61" s="1"/>
  <c r="AW61" s="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BO61" s="1"/>
  <c r="X61"/>
  <c r="Y61" s="1"/>
  <c r="Z61" s="1"/>
  <c r="AA61" s="1"/>
  <c r="AB61" s="1"/>
  <c r="AC61" s="1"/>
  <c r="AD61" s="1"/>
  <c r="AE61" s="1"/>
  <c r="AF61" s="1"/>
  <c r="AG61" s="1"/>
  <c r="AH61" s="1"/>
  <c r="AI61" s="1"/>
  <c r="AJ61" s="1"/>
  <c r="AK61" s="1"/>
  <c r="AL61" s="1"/>
  <c r="AM61" s="1"/>
  <c r="AN61" s="1"/>
  <c r="AO61" s="1"/>
  <c r="AP61" s="1"/>
  <c r="AQ61" s="1"/>
  <c r="AR61" s="1"/>
  <c r="E61"/>
  <c r="F61" s="1"/>
  <c r="G61" s="1"/>
  <c r="H61" s="1"/>
  <c r="I61" s="1"/>
  <c r="J61" s="1"/>
  <c r="K61" s="1"/>
  <c r="L61" s="1"/>
  <c r="M61" s="1"/>
  <c r="N61" s="1"/>
  <c r="O61" s="1"/>
  <c r="P61" s="1"/>
  <c r="Q61" s="1"/>
  <c r="R61" s="1"/>
  <c r="S61" s="1"/>
  <c r="T61" s="1"/>
  <c r="U61" s="1"/>
  <c r="V61" s="1"/>
  <c r="JH60"/>
  <c r="HQ60"/>
  <c r="HR60" s="1"/>
  <c r="HS60" s="1"/>
  <c r="HT60" s="1"/>
  <c r="HU60" s="1"/>
  <c r="HV60" s="1"/>
  <c r="GV60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GB60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FG60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FZ60" s="1"/>
  <c r="EK60"/>
  <c r="EL60" s="1"/>
  <c r="EM60" s="1"/>
  <c r="EN60" s="1"/>
  <c r="EO60" s="1"/>
  <c r="EP60" s="1"/>
  <c r="EQ60" s="1"/>
  <c r="ER60" s="1"/>
  <c r="ES60" s="1"/>
  <c r="ET60" s="1"/>
  <c r="EU60" s="1"/>
  <c r="EV60" s="1"/>
  <c r="D60"/>
  <c r="E60" s="1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V60" s="1"/>
  <c r="W60" s="1"/>
  <c r="JH59"/>
  <c r="JI59" s="1"/>
  <c r="EW59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HG59" s="1"/>
  <c r="HH59" s="1"/>
  <c r="HJ59" s="1"/>
  <c r="HK59" s="1"/>
  <c r="HL59" s="1"/>
  <c r="HM59" s="1"/>
  <c r="HN59" s="1"/>
  <c r="HO59" s="1"/>
  <c r="HP59" s="1"/>
  <c r="HQ59" s="1"/>
  <c r="HR59" s="1"/>
  <c r="HS59" s="1"/>
  <c r="HT59" s="1"/>
  <c r="HU59" s="1"/>
  <c r="HV59" s="1"/>
  <c r="EB59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DG59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DZ59" s="1"/>
  <c r="CK59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BQ59"/>
  <c r="BR59" s="1"/>
  <c r="BS59" s="1"/>
  <c r="BT59" s="1"/>
  <c r="BU59" s="1"/>
  <c r="BV59" s="1"/>
  <c r="BW59" s="1"/>
  <c r="BX59" s="1"/>
  <c r="BY59" s="1"/>
  <c r="BZ59" s="1"/>
  <c r="CA59" s="1"/>
  <c r="CB59" s="1"/>
  <c r="CC59" s="1"/>
  <c r="CD59" s="1"/>
  <c r="CE59" s="1"/>
  <c r="CF59" s="1"/>
  <c r="CG59" s="1"/>
  <c r="CH59" s="1"/>
  <c r="CI59" s="1"/>
  <c r="AU59"/>
  <c r="AV59" s="1"/>
  <c r="AW59" s="1"/>
  <c r="AX59" s="1"/>
  <c r="AY59" s="1"/>
  <c r="AZ59" s="1"/>
  <c r="BA59" s="1"/>
  <c r="BB59" s="1"/>
  <c r="BC59" s="1"/>
  <c r="BD59" s="1"/>
  <c r="BE59" s="1"/>
  <c r="BF59" s="1"/>
  <c r="BG59" s="1"/>
  <c r="BH59" s="1"/>
  <c r="BI59" s="1"/>
  <c r="BJ59" s="1"/>
  <c r="BK59" s="1"/>
  <c r="BL59" s="1"/>
  <c r="BM59" s="1"/>
  <c r="BN59" s="1"/>
  <c r="BO59" s="1"/>
  <c r="X59"/>
  <c r="Y59" s="1"/>
  <c r="Z59" s="1"/>
  <c r="AA59" s="1"/>
  <c r="AB59" s="1"/>
  <c r="AC59" s="1"/>
  <c r="AD59" s="1"/>
  <c r="AE59" s="1"/>
  <c r="AF59" s="1"/>
  <c r="AG59" s="1"/>
  <c r="AH59" s="1"/>
  <c r="AI59" s="1"/>
  <c r="AJ59" s="1"/>
  <c r="AK59" s="1"/>
  <c r="AL59" s="1"/>
  <c r="AM59" s="1"/>
  <c r="AN59" s="1"/>
  <c r="AO59" s="1"/>
  <c r="AP59" s="1"/>
  <c r="AQ59" s="1"/>
  <c r="AR59" s="1"/>
  <c r="AS59" s="1"/>
  <c r="D59"/>
  <c r="E59" s="1"/>
  <c r="F59" s="1"/>
  <c r="G59" s="1"/>
  <c r="H59" s="1"/>
  <c r="I59" s="1"/>
  <c r="J59" s="1"/>
  <c r="K59" s="1"/>
  <c r="L59" s="1"/>
  <c r="M59" s="1"/>
  <c r="N59" s="1"/>
  <c r="O59" s="1"/>
  <c r="P59" s="1"/>
  <c r="Q59" s="1"/>
  <c r="R59" s="1"/>
  <c r="S59" s="1"/>
  <c r="T59" s="1"/>
  <c r="U59" s="1"/>
  <c r="V59" s="1"/>
  <c r="JI55"/>
  <c r="JH55"/>
  <c r="IV55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A55"/>
  <c r="HZ55"/>
  <c r="HY55"/>
  <c r="HX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W58" s="1"/>
  <c r="EV55"/>
  <c r="EU55"/>
  <c r="ET55"/>
  <c r="ES55"/>
  <c r="ER55"/>
  <c r="EP55"/>
  <c r="EO55"/>
  <c r="EN55"/>
  <c r="EM55"/>
  <c r="EL55"/>
  <c r="EK55"/>
  <c r="EJ55"/>
  <c r="EI55"/>
  <c r="EH55"/>
  <c r="EG55"/>
  <c r="EF55"/>
  <c r="EE55"/>
  <c r="ED55"/>
  <c r="EC55"/>
  <c r="EB55"/>
  <c r="EB58" s="1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K58" s="1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Q58" s="1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X58" s="1"/>
  <c r="W55"/>
  <c r="V55"/>
  <c r="U55"/>
  <c r="T55"/>
  <c r="S55"/>
  <c r="R55"/>
  <c r="Q55"/>
  <c r="P55"/>
  <c r="O55"/>
  <c r="N55"/>
  <c r="M55"/>
  <c r="L55"/>
  <c r="J55"/>
  <c r="I55"/>
  <c r="H55"/>
  <c r="G55"/>
  <c r="F55"/>
  <c r="E55"/>
  <c r="D55"/>
  <c r="JH49"/>
  <c r="JH53" s="1"/>
  <c r="FI49"/>
  <c r="FI53" s="1"/>
  <c r="FH49"/>
  <c r="FH53" s="1"/>
  <c r="FG49"/>
  <c r="FG53" s="1"/>
  <c r="FF49"/>
  <c r="FF53" s="1"/>
  <c r="FE49"/>
  <c r="FE53" s="1"/>
  <c r="FD49"/>
  <c r="FD53" s="1"/>
  <c r="FC49"/>
  <c r="FC53" s="1"/>
  <c r="FB49"/>
  <c r="FB53" s="1"/>
  <c r="FA49"/>
  <c r="FA53" s="1"/>
  <c r="EZ49"/>
  <c r="EZ53" s="1"/>
  <c r="EY49"/>
  <c r="EY53" s="1"/>
  <c r="EX49"/>
  <c r="EX53" s="1"/>
  <c r="EW49"/>
  <c r="EW53" s="1"/>
  <c r="EV49"/>
  <c r="EV53" s="1"/>
  <c r="EU49"/>
  <c r="EU53" s="1"/>
  <c r="ET49"/>
  <c r="ET53" s="1"/>
  <c r="ES49"/>
  <c r="ES53" s="1"/>
  <c r="ER49"/>
  <c r="ER53" s="1"/>
  <c r="EQ49"/>
  <c r="EQ53" s="1"/>
  <c r="EP49"/>
  <c r="EP53" s="1"/>
  <c r="EO49"/>
  <c r="EO53" s="1"/>
  <c r="EN49"/>
  <c r="EN53" s="1"/>
  <c r="EM49"/>
  <c r="EM53" s="1"/>
  <c r="EL49"/>
  <c r="EL53" s="1"/>
  <c r="EI49"/>
  <c r="EI53" s="1"/>
  <c r="EH49"/>
  <c r="EH53" s="1"/>
  <c r="EG49"/>
  <c r="EG53" s="1"/>
  <c r="EF49"/>
  <c r="EF53" s="1"/>
  <c r="EE49"/>
  <c r="EE53" s="1"/>
  <c r="ED49"/>
  <c r="ED53" s="1"/>
  <c r="EC49"/>
  <c r="EC53" s="1"/>
  <c r="EB49"/>
  <c r="EB53" s="1"/>
  <c r="DZ49"/>
  <c r="DZ53" s="1"/>
  <c r="DX49"/>
  <c r="DX53" s="1"/>
  <c r="DV49"/>
  <c r="DV53" s="1"/>
  <c r="DU49"/>
  <c r="DU53" s="1"/>
  <c r="DS49"/>
  <c r="DS53" s="1"/>
  <c r="DR49"/>
  <c r="DR53" s="1"/>
  <c r="DQ49"/>
  <c r="DQ53" s="1"/>
  <c r="DP49"/>
  <c r="DP53" s="1"/>
  <c r="DL49"/>
  <c r="DL53" s="1"/>
  <c r="DK49"/>
  <c r="DK53" s="1"/>
  <c r="DJ49"/>
  <c r="DJ53" s="1"/>
  <c r="DI49"/>
  <c r="DI53" s="1"/>
  <c r="DH49"/>
  <c r="DH53" s="1"/>
  <c r="DG49"/>
  <c r="DG53" s="1"/>
  <c r="DF49"/>
  <c r="DF53" s="1"/>
  <c r="DE49"/>
  <c r="DE53" s="1"/>
  <c r="DD49"/>
  <c r="DD53" s="1"/>
  <c r="DC49"/>
  <c r="DC53" s="1"/>
  <c r="DB49"/>
  <c r="DB53" s="1"/>
  <c r="DA49"/>
  <c r="DA53" s="1"/>
  <c r="CY49"/>
  <c r="CY53" s="1"/>
  <c r="CX49"/>
  <c r="CX53" s="1"/>
  <c r="CW49"/>
  <c r="CW53" s="1"/>
  <c r="CV49"/>
  <c r="CV53" s="1"/>
  <c r="CU49"/>
  <c r="CU53" s="1"/>
  <c r="CS49"/>
  <c r="CS53" s="1"/>
  <c r="CR49"/>
  <c r="CR53" s="1"/>
  <c r="CQ49"/>
  <c r="CQ53" s="1"/>
  <c r="CP49"/>
  <c r="CP53" s="1"/>
  <c r="CO49"/>
  <c r="CO53" s="1"/>
  <c r="CN49"/>
  <c r="CN53" s="1"/>
  <c r="CM49"/>
  <c r="CM53" s="1"/>
  <c r="CL49"/>
  <c r="CL53" s="1"/>
  <c r="CK49"/>
  <c r="CK53" s="1"/>
  <c r="CJ49"/>
  <c r="CJ53" s="1"/>
  <c r="CI49"/>
  <c r="CI53" s="1"/>
  <c r="CH49"/>
  <c r="CH53" s="1"/>
  <c r="CG49"/>
  <c r="CG53" s="1"/>
  <c r="CF49"/>
  <c r="CF53" s="1"/>
  <c r="CE49"/>
  <c r="CE53" s="1"/>
  <c r="CD49"/>
  <c r="CD53" s="1"/>
  <c r="CC49"/>
  <c r="CC53" s="1"/>
  <c r="CB49"/>
  <c r="CB53" s="1"/>
  <c r="CA49"/>
  <c r="CA53" s="1"/>
  <c r="BY49"/>
  <c r="BY53" s="1"/>
  <c r="BV49"/>
  <c r="BV53" s="1"/>
  <c r="BU49"/>
  <c r="BU53" s="1"/>
  <c r="BT49"/>
  <c r="BT53" s="1"/>
  <c r="BS49"/>
  <c r="BS53" s="1"/>
  <c r="BR49"/>
  <c r="BR53" s="1"/>
  <c r="BQ49"/>
  <c r="BQ53" s="1"/>
  <c r="BP49"/>
  <c r="BP53" s="1"/>
  <c r="BN49"/>
  <c r="BN53" s="1"/>
  <c r="BL49"/>
  <c r="BL53" s="1"/>
  <c r="BK49"/>
  <c r="BK53" s="1"/>
  <c r="BJ49"/>
  <c r="BJ53" s="1"/>
  <c r="BI49"/>
  <c r="BI53" s="1"/>
  <c r="BH49"/>
  <c r="BH53" s="1"/>
  <c r="BG49"/>
  <c r="BG53" s="1"/>
  <c r="BF49"/>
  <c r="BF53" s="1"/>
  <c r="BE49"/>
  <c r="BE53" s="1"/>
  <c r="BD49"/>
  <c r="BD53" s="1"/>
  <c r="BC49"/>
  <c r="BC53" s="1"/>
  <c r="AZ49"/>
  <c r="AZ53" s="1"/>
  <c r="AY49"/>
  <c r="AY53" s="1"/>
  <c r="AX49"/>
  <c r="AX53" s="1"/>
  <c r="AW49"/>
  <c r="AW53" s="1"/>
  <c r="AU49"/>
  <c r="AU53" s="1"/>
  <c r="AT49"/>
  <c r="AT53" s="1"/>
  <c r="AS49"/>
  <c r="AS53" s="1"/>
  <c r="AR49"/>
  <c r="AR53" s="1"/>
  <c r="AP49"/>
  <c r="AP53" s="1"/>
  <c r="AO49"/>
  <c r="AO53" s="1"/>
  <c r="AN49"/>
  <c r="AN53" s="1"/>
  <c r="AL49"/>
  <c r="AL53" s="1"/>
  <c r="AK49"/>
  <c r="AK53" s="1"/>
  <c r="AJ49"/>
  <c r="AJ53" s="1"/>
  <c r="AI49"/>
  <c r="AI53" s="1"/>
  <c r="AH49"/>
  <c r="AH53" s="1"/>
  <c r="AF49"/>
  <c r="AF53" s="1"/>
  <c r="AE49"/>
  <c r="AE53" s="1"/>
  <c r="AD49"/>
  <c r="AD53" s="1"/>
  <c r="AC49"/>
  <c r="AC53" s="1"/>
  <c r="AB49"/>
  <c r="AB53" s="1"/>
  <c r="AA49"/>
  <c r="AA53" s="1"/>
  <c r="Z49"/>
  <c r="Z53" s="1"/>
  <c r="Y49"/>
  <c r="Y53" s="1"/>
  <c r="X49"/>
  <c r="X53" s="1"/>
  <c r="W49"/>
  <c r="W53" s="1"/>
  <c r="T49"/>
  <c r="T53" s="1"/>
  <c r="S49"/>
  <c r="S53" s="1"/>
  <c r="R49"/>
  <c r="R53" s="1"/>
  <c r="Q49"/>
  <c r="Q53" s="1"/>
  <c r="O49"/>
  <c r="O53" s="1"/>
  <c r="L49"/>
  <c r="L53" s="1"/>
  <c r="J49"/>
  <c r="J53" s="1"/>
  <c r="I49"/>
  <c r="I53" s="1"/>
  <c r="H49"/>
  <c r="H53" s="1"/>
  <c r="G49"/>
  <c r="G53" s="1"/>
  <c r="E49"/>
  <c r="E53" s="1"/>
  <c r="D49"/>
  <c r="D53" s="1"/>
  <c r="V47"/>
  <c r="EA46"/>
  <c r="DN46"/>
  <c r="DN49" i="90" s="1"/>
  <c r="DN53" s="1"/>
  <c r="DM46" i="87"/>
  <c r="BX46"/>
  <c r="BM46"/>
  <c r="AQ46"/>
  <c r="AQ49" s="1"/>
  <c r="AQ53" s="1"/>
  <c r="AG46"/>
  <c r="AG49" s="1"/>
  <c r="AG53" s="1"/>
  <c r="P46"/>
  <c r="EK45"/>
  <c r="EK49" s="1"/>
  <c r="EK53" s="1"/>
  <c r="EJ45"/>
  <c r="DY45"/>
  <c r="DY49" s="1"/>
  <c r="DY53" s="1"/>
  <c r="DW45"/>
  <c r="DW49" s="1"/>
  <c r="DW53" s="1"/>
  <c r="DT45"/>
  <c r="DT49" s="1"/>
  <c r="DT53" s="1"/>
  <c r="CZ45"/>
  <c r="CZ49" s="1"/>
  <c r="CZ53" s="1"/>
  <c r="CT45"/>
  <c r="CT49" s="1"/>
  <c r="CT53" s="1"/>
  <c r="BZ45"/>
  <c r="BZ49" s="1"/>
  <c r="BZ53" s="1"/>
  <c r="BA45"/>
  <c r="BA49" s="1"/>
  <c r="BA53" s="1"/>
  <c r="AM45"/>
  <c r="AM49" s="1"/>
  <c r="AM53" s="1"/>
  <c r="U45"/>
  <c r="U49" s="1"/>
  <c r="U53" s="1"/>
  <c r="K45"/>
  <c r="F45"/>
  <c r="K44"/>
  <c r="GB39"/>
  <c r="FX39"/>
  <c r="DO39"/>
  <c r="DN39"/>
  <c r="BO39"/>
  <c r="BB39"/>
  <c r="M39"/>
  <c r="GB38"/>
  <c r="FX38"/>
  <c r="DO38"/>
  <c r="DN38"/>
  <c r="BO38"/>
  <c r="BB38"/>
  <c r="M38"/>
  <c r="M36"/>
  <c r="EJ34"/>
  <c r="M34"/>
  <c r="IW34" s="1"/>
  <c r="EJ33"/>
  <c r="IT49"/>
  <c r="IT53" s="1"/>
  <c r="IR49"/>
  <c r="IR53" s="1"/>
  <c r="IN49"/>
  <c r="IN53" s="1"/>
  <c r="IJ49"/>
  <c r="IJ53" s="1"/>
  <c r="IH49"/>
  <c r="IH53" s="1"/>
  <c r="IF49"/>
  <c r="IF53" s="1"/>
  <c r="ID49"/>
  <c r="ID53" s="1"/>
  <c r="IA49"/>
  <c r="IA53" s="1"/>
  <c r="HY49"/>
  <c r="HY53" s="1"/>
  <c r="HV49"/>
  <c r="HV53" s="1"/>
  <c r="HT49"/>
  <c r="HT53" s="1"/>
  <c r="HR49"/>
  <c r="HR53" s="1"/>
  <c r="HN49"/>
  <c r="HN53" s="1"/>
  <c r="HL49"/>
  <c r="HL53" s="1"/>
  <c r="HJ49"/>
  <c r="HJ53" s="1"/>
  <c r="HF49"/>
  <c r="HF53" s="1"/>
  <c r="HD49"/>
  <c r="HD53" s="1"/>
  <c r="HB49"/>
  <c r="HB53" s="1"/>
  <c r="GZ49"/>
  <c r="GZ53" s="1"/>
  <c r="GX49"/>
  <c r="GX53" s="1"/>
  <c r="GV49"/>
  <c r="GV53" s="1"/>
  <c r="GR49"/>
  <c r="GR53" s="1"/>
  <c r="GN49"/>
  <c r="GN53" s="1"/>
  <c r="GL49"/>
  <c r="GL53" s="1"/>
  <c r="GJ49"/>
  <c r="GJ53" s="1"/>
  <c r="GH49"/>
  <c r="GH53" s="1"/>
  <c r="GF49"/>
  <c r="GF53" s="1"/>
  <c r="GD53"/>
  <c r="GB49"/>
  <c r="GB53" s="1"/>
  <c r="GA49"/>
  <c r="GA53" s="1"/>
  <c r="FZ49"/>
  <c r="FZ53" s="1"/>
  <c r="FY49"/>
  <c r="FY53" s="1"/>
  <c r="FX49"/>
  <c r="FX53" s="1"/>
  <c r="FW49"/>
  <c r="FW53" s="1"/>
  <c r="FV49"/>
  <c r="FV53" s="1"/>
  <c r="FU49"/>
  <c r="FU53" s="1"/>
  <c r="FS49"/>
  <c r="FS53" s="1"/>
  <c r="FQ49"/>
  <c r="FQ53" s="1"/>
  <c r="FP49"/>
  <c r="FP53" s="1"/>
  <c r="FO49"/>
  <c r="FO53" s="1"/>
  <c r="FN49"/>
  <c r="FN53" s="1"/>
  <c r="FM49"/>
  <c r="FM53" s="1"/>
  <c r="FL49"/>
  <c r="FL53" s="1"/>
  <c r="FK49"/>
  <c r="FK53" s="1"/>
  <c r="FJ49"/>
  <c r="FJ53" s="1"/>
  <c r="BW30"/>
  <c r="BW49" s="1"/>
  <c r="BW53" s="1"/>
  <c r="AV30"/>
  <c r="AV49" s="1"/>
  <c r="AV53" s="1"/>
  <c r="N30"/>
  <c r="FI27"/>
  <c r="FF27"/>
  <c r="FD27"/>
  <c r="FC27"/>
  <c r="FA27"/>
  <c r="EZ27"/>
  <c r="EY27"/>
  <c r="EX27"/>
  <c r="EW27"/>
  <c r="EV27"/>
  <c r="EU27"/>
  <c r="ET27"/>
  <c r="ES27"/>
  <c r="EP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V27"/>
  <c r="DS27"/>
  <c r="DR27"/>
  <c r="DP27"/>
  <c r="DO27"/>
  <c r="DN27"/>
  <c r="DL27"/>
  <c r="DK27"/>
  <c r="DJ27"/>
  <c r="DI27"/>
  <c r="DH27"/>
  <c r="DG27"/>
  <c r="DF27"/>
  <c r="DE27"/>
  <c r="DC27"/>
  <c r="DA27"/>
  <c r="CZ27"/>
  <c r="CX27"/>
  <c r="CW27"/>
  <c r="CS27"/>
  <c r="CR27"/>
  <c r="CQ27"/>
  <c r="CP27"/>
  <c r="CN27"/>
  <c r="CM27"/>
  <c r="CL27"/>
  <c r="CK27"/>
  <c r="CJ27"/>
  <c r="CI27"/>
  <c r="CH27"/>
  <c r="CG27"/>
  <c r="CF27"/>
  <c r="CE27"/>
  <c r="CD27"/>
  <c r="CC27"/>
  <c r="CB27"/>
  <c r="CA27"/>
  <c r="BZ27"/>
  <c r="BY27"/>
  <c r="BW27"/>
  <c r="BU27"/>
  <c r="BT27"/>
  <c r="BS27"/>
  <c r="BR27"/>
  <c r="BQ27"/>
  <c r="BO27"/>
  <c r="BN27"/>
  <c r="BM27"/>
  <c r="BK27"/>
  <c r="BJ27"/>
  <c r="BI27"/>
  <c r="BG27"/>
  <c r="BE27"/>
  <c r="BD27"/>
  <c r="BC27"/>
  <c r="AY27"/>
  <c r="AX27"/>
  <c r="AW27"/>
  <c r="AV27"/>
  <c r="AU27"/>
  <c r="AS27"/>
  <c r="AR27"/>
  <c r="AQ27"/>
  <c r="AP27"/>
  <c r="AO27"/>
  <c r="AM27"/>
  <c r="AL27"/>
  <c r="AK27"/>
  <c r="AJ27"/>
  <c r="AI27"/>
  <c r="AH27"/>
  <c r="AG27"/>
  <c r="AF27"/>
  <c r="AE27"/>
  <c r="AD27"/>
  <c r="AC27"/>
  <c r="AB27"/>
  <c r="Y27"/>
  <c r="X27"/>
  <c r="W27"/>
  <c r="V27"/>
  <c r="U27"/>
  <c r="S27"/>
  <c r="R27"/>
  <c r="Q27"/>
  <c r="P27"/>
  <c r="O27"/>
  <c r="M27"/>
  <c r="L27"/>
  <c r="K27"/>
  <c r="I27"/>
  <c r="H27"/>
  <c r="G27"/>
  <c r="F27"/>
  <c r="E27"/>
  <c r="D27"/>
  <c r="EQ20"/>
  <c r="JI19"/>
  <c r="JH19"/>
  <c r="FE19"/>
  <c r="FE27" s="1"/>
  <c r="DW19"/>
  <c r="DM19"/>
  <c r="DM27" s="1"/>
  <c r="CY19"/>
  <c r="BV19"/>
  <c r="BB19"/>
  <c r="BB27" s="1"/>
  <c r="J19"/>
  <c r="IW19" s="1"/>
  <c r="JH18"/>
  <c r="FH18"/>
  <c r="FG18"/>
  <c r="FG27" s="1"/>
  <c r="BV18"/>
  <c r="N18"/>
  <c r="J18"/>
  <c r="JI17"/>
  <c r="JH17"/>
  <c r="FH17"/>
  <c r="FB17"/>
  <c r="EO17"/>
  <c r="EO27" s="1"/>
  <c r="DW17"/>
  <c r="DW27" s="1"/>
  <c r="DU17"/>
  <c r="DU27" s="1"/>
  <c r="DT17"/>
  <c r="DT27" s="1"/>
  <c r="DQ17"/>
  <c r="DQ27" s="1"/>
  <c r="DD17"/>
  <c r="DD27" s="1"/>
  <c r="DB17"/>
  <c r="DB27" s="1"/>
  <c r="CY17"/>
  <c r="CY27" s="1"/>
  <c r="CV17"/>
  <c r="CV27" s="1"/>
  <c r="CU17"/>
  <c r="CU27" s="1"/>
  <c r="CO17"/>
  <c r="CO27" s="1"/>
  <c r="BX17"/>
  <c r="BX27" s="1"/>
  <c r="BL17"/>
  <c r="BL27" s="1"/>
  <c r="BH17"/>
  <c r="BH27" s="1"/>
  <c r="BF17"/>
  <c r="BF27" s="1"/>
  <c r="BA17"/>
  <c r="AT17"/>
  <c r="AT27" s="1"/>
  <c r="AN17"/>
  <c r="AN27" s="1"/>
  <c r="AA17"/>
  <c r="AA27" s="1"/>
  <c r="Z17"/>
  <c r="Z27" s="1"/>
  <c r="T17"/>
  <c r="T27" s="1"/>
  <c r="N17"/>
  <c r="IW17" s="1"/>
  <c r="JH16"/>
  <c r="ER16"/>
  <c r="JI15"/>
  <c r="JH14"/>
  <c r="BV14"/>
  <c r="JH12"/>
  <c r="BA12"/>
  <c r="IW12" s="1"/>
  <c r="JI11"/>
  <c r="JH11"/>
  <c r="FB27"/>
  <c r="BP11"/>
  <c r="AZ11"/>
  <c r="AZ27" s="1"/>
  <c r="N11"/>
  <c r="JI10"/>
  <c r="JH10"/>
  <c r="JI9"/>
  <c r="JH9"/>
  <c r="JI8"/>
  <c r="JH8"/>
  <c r="GG27"/>
  <c r="GA27"/>
  <c r="FY27"/>
  <c r="FW27"/>
  <c r="FV27"/>
  <c r="FU27"/>
  <c r="FT27"/>
  <c r="FS27"/>
  <c r="FR27"/>
  <c r="FQ27"/>
  <c r="FP27"/>
  <c r="FO27"/>
  <c r="FN27"/>
  <c r="FM27"/>
  <c r="FL27"/>
  <c r="FK27"/>
  <c r="FJ27"/>
  <c r="CT8"/>
  <c r="BA8"/>
  <c r="JH4"/>
  <c r="IR4"/>
  <c r="IS4" s="1"/>
  <c r="IT4" s="1"/>
  <c r="IU4" s="1"/>
  <c r="IN4"/>
  <c r="IO4" s="1"/>
  <c r="IP4" s="1"/>
  <c r="II4"/>
  <c r="IJ4" s="1"/>
  <c r="IK4" s="1"/>
  <c r="IL4" s="1"/>
  <c r="ID4"/>
  <c r="IE4" s="1"/>
  <c r="IF4" s="1"/>
  <c r="IG4" s="1"/>
  <c r="HY4"/>
  <c r="HZ4" s="1"/>
  <c r="IA4" s="1"/>
  <c r="HT4"/>
  <c r="HU4" s="1"/>
  <c r="HV4" s="1"/>
  <c r="HO4"/>
  <c r="HP4" s="1"/>
  <c r="HQ4" s="1"/>
  <c r="HR4" s="1"/>
  <c r="HJ4"/>
  <c r="HK4" s="1"/>
  <c r="HL4" s="1"/>
  <c r="HM4" s="1"/>
  <c r="HE4"/>
  <c r="HF4" s="1"/>
  <c r="HG4" s="1"/>
  <c r="HH4" s="1"/>
  <c r="HA4"/>
  <c r="HB4" s="1"/>
  <c r="GV4"/>
  <c r="GW4" s="1"/>
  <c r="GX4" s="1"/>
  <c r="GY4" s="1"/>
  <c r="GR4"/>
  <c r="GS4" s="1"/>
  <c r="GM4"/>
  <c r="GN4" s="1"/>
  <c r="GO4" s="1"/>
  <c r="GP4" s="1"/>
  <c r="GH4"/>
  <c r="GI4" s="1"/>
  <c r="GJ4" s="1"/>
  <c r="GK4" s="1"/>
  <c r="GC4"/>
  <c r="GD4" s="1"/>
  <c r="GE4" s="1"/>
  <c r="GF4" s="1"/>
  <c r="FY4"/>
  <c r="FZ4" s="1"/>
  <c r="GA4" s="1"/>
  <c r="FT4"/>
  <c r="FU4" s="1"/>
  <c r="FV4" s="1"/>
  <c r="FW4" s="1"/>
  <c r="FO4"/>
  <c r="FP4" s="1"/>
  <c r="FQ4" s="1"/>
  <c r="FR4" s="1"/>
  <c r="FJ4"/>
  <c r="FK4" s="1"/>
  <c r="FL4" s="1"/>
  <c r="FM4" s="1"/>
  <c r="FE4"/>
  <c r="FF4" s="1"/>
  <c r="FG4" s="1"/>
  <c r="FH4" s="1"/>
  <c r="FA4"/>
  <c r="FB4" s="1"/>
  <c r="FC4" s="1"/>
  <c r="EV4"/>
  <c r="EW4" s="1"/>
  <c r="EX4" s="1"/>
  <c r="EY4" s="1"/>
  <c r="EQ4"/>
  <c r="ER4" s="1"/>
  <c r="ES4" s="1"/>
  <c r="ET4" s="1"/>
  <c r="EL4"/>
  <c r="EM4" s="1"/>
  <c r="EN4" s="1"/>
  <c r="EO4" s="1"/>
  <c r="EG4"/>
  <c r="EH4" s="1"/>
  <c r="EI4" s="1"/>
  <c r="EJ4" s="1"/>
  <c r="EB4"/>
  <c r="EC4" s="1"/>
  <c r="ED4" s="1"/>
  <c r="EE4" s="1"/>
  <c r="DW4"/>
  <c r="DX4" s="1"/>
  <c r="DY4" s="1"/>
  <c r="DZ4" s="1"/>
  <c r="DR4"/>
  <c r="DS4" s="1"/>
  <c r="DT4" s="1"/>
  <c r="DU4" s="1"/>
  <c r="DM4"/>
  <c r="DN4" s="1"/>
  <c r="DO4" s="1"/>
  <c r="DP4" s="1"/>
  <c r="DI4"/>
  <c r="DJ4" s="1"/>
  <c r="DK4" s="1"/>
  <c r="DD4"/>
  <c r="DE4" s="1"/>
  <c r="DF4" s="1"/>
  <c r="DG4" s="1"/>
  <c r="CY4"/>
  <c r="CZ4" s="1"/>
  <c r="DA4" s="1"/>
  <c r="DB4" s="1"/>
  <c r="CT4"/>
  <c r="CU4" s="1"/>
  <c r="CV4" s="1"/>
  <c r="CW4" s="1"/>
  <c r="CO4"/>
  <c r="CP4" s="1"/>
  <c r="CQ4" s="1"/>
  <c r="CR4" s="1"/>
  <c r="CK4"/>
  <c r="CL4" s="1"/>
  <c r="CM4" s="1"/>
  <c r="CF4"/>
  <c r="CG4" s="1"/>
  <c r="CH4" s="1"/>
  <c r="CI4" s="1"/>
  <c r="CA4"/>
  <c r="CB4" s="1"/>
  <c r="CC4" s="1"/>
  <c r="CD4" s="1"/>
  <c r="BV4"/>
  <c r="BW4" s="1"/>
  <c r="BX4" s="1"/>
  <c r="BY4" s="1"/>
  <c r="BQ4"/>
  <c r="BR4" s="1"/>
  <c r="BS4" s="1"/>
  <c r="BT4" s="1"/>
  <c r="BL4"/>
  <c r="BM4" s="1"/>
  <c r="BN4" s="1"/>
  <c r="BO4" s="1"/>
  <c r="BG4"/>
  <c r="BH4" s="1"/>
  <c r="BI4" s="1"/>
  <c r="BJ4" s="1"/>
  <c r="BB4"/>
  <c r="BC4" s="1"/>
  <c r="BD4" s="1"/>
  <c r="BE4" s="1"/>
  <c r="AW4"/>
  <c r="AX4" s="1"/>
  <c r="AY4" s="1"/>
  <c r="AZ4" s="1"/>
  <c r="AR4"/>
  <c r="AS4" s="1"/>
  <c r="AT4" s="1"/>
  <c r="AU4" s="1"/>
  <c r="AM4"/>
  <c r="AN4" s="1"/>
  <c r="AO4" s="1"/>
  <c r="AP4" s="1"/>
  <c r="AH4"/>
  <c r="AI4" s="1"/>
  <c r="AJ4" s="1"/>
  <c r="AK4" s="1"/>
  <c r="AC4"/>
  <c r="AD4" s="1"/>
  <c r="AE4" s="1"/>
  <c r="AF4" s="1"/>
  <c r="X4"/>
  <c r="Y4" s="1"/>
  <c r="Z4" s="1"/>
  <c r="AA4" s="1"/>
  <c r="S4"/>
  <c r="T4" s="1"/>
  <c r="U4" s="1"/>
  <c r="V4" s="1"/>
  <c r="O4"/>
  <c r="P4" s="1"/>
  <c r="Q4" s="1"/>
  <c r="J4"/>
  <c r="K4" s="1"/>
  <c r="L4" s="1"/>
  <c r="M4" s="1"/>
  <c r="E4"/>
  <c r="F4" s="1"/>
  <c r="G4" s="1"/>
  <c r="H4" s="1"/>
  <c r="FB2"/>
  <c r="IW39" l="1"/>
  <c r="CT27"/>
  <c r="N27"/>
  <c r="IW11"/>
  <c r="BP27"/>
  <c r="BV27"/>
  <c r="IW14"/>
  <c r="EQ55"/>
  <c r="IW20"/>
  <c r="N49"/>
  <c r="N53" s="1"/>
  <c r="IW30"/>
  <c r="EJ49"/>
  <c r="EJ53" s="1"/>
  <c r="IW33"/>
  <c r="K49"/>
  <c r="K53" s="1"/>
  <c r="IW44"/>
  <c r="P49"/>
  <c r="P53" s="1"/>
  <c r="IW56"/>
  <c r="IW46"/>
  <c r="BX49"/>
  <c r="BX53" s="1"/>
  <c r="BX49" i="90"/>
  <c r="BX53" s="1"/>
  <c r="V49" i="87"/>
  <c r="V53" s="1"/>
  <c r="IW47"/>
  <c r="FH27"/>
  <c r="IW38"/>
  <c r="BA27"/>
  <c r="IW8"/>
  <c r="K45" i="91"/>
  <c r="R39" s="1"/>
  <c r="IW16" i="87"/>
  <c r="J27"/>
  <c r="IW18"/>
  <c r="M77"/>
  <c r="IW36"/>
  <c r="F49"/>
  <c r="F53" s="1"/>
  <c r="IW45"/>
  <c r="BM49"/>
  <c r="BM53" s="1"/>
  <c r="DM49"/>
  <c r="DM53" s="1"/>
  <c r="DM49" i="90"/>
  <c r="DM53" s="1"/>
  <c r="EA49" i="87"/>
  <c r="EA53" s="1"/>
  <c r="EA49" i="90"/>
  <c r="EA53" s="1"/>
  <c r="T66"/>
  <c r="U58"/>
  <c r="S68"/>
  <c r="S69" s="1"/>
  <c r="T6"/>
  <c r="T54" s="1"/>
  <c r="M49" i="87"/>
  <c r="M53" s="1"/>
  <c r="K93"/>
  <c r="K92"/>
  <c r="K88"/>
  <c r="K90"/>
  <c r="K91"/>
  <c r="HX60"/>
  <c r="HY60" s="1"/>
  <c r="HZ60" s="1"/>
  <c r="HW60"/>
  <c r="HX59"/>
  <c r="HY59" s="1"/>
  <c r="HZ59" s="1"/>
  <c r="HW59"/>
  <c r="BO49"/>
  <c r="BO53" s="1"/>
  <c r="DO49"/>
  <c r="DO53" s="1"/>
  <c r="BB49"/>
  <c r="BB53" s="1"/>
  <c r="DN49"/>
  <c r="DN53" s="1"/>
  <c r="GI27"/>
  <c r="GK27"/>
  <c r="GM27"/>
  <c r="GO27"/>
  <c r="GQ27"/>
  <c r="GS27"/>
  <c r="GU27"/>
  <c r="GW27"/>
  <c r="GY27"/>
  <c r="HA27"/>
  <c r="HC27"/>
  <c r="HE27"/>
  <c r="HG27"/>
  <c r="HI27"/>
  <c r="HK27"/>
  <c r="HM27"/>
  <c r="HO27"/>
  <c r="GC53"/>
  <c r="GE53"/>
  <c r="GG49"/>
  <c r="GG53" s="1"/>
  <c r="GI49"/>
  <c r="GI53" s="1"/>
  <c r="GM49"/>
  <c r="GM53" s="1"/>
  <c r="GO49"/>
  <c r="GO53" s="1"/>
  <c r="GQ49"/>
  <c r="GQ53" s="1"/>
  <c r="GS49"/>
  <c r="GS53" s="1"/>
  <c r="GW49"/>
  <c r="GW53" s="1"/>
  <c r="GY49"/>
  <c r="GY53" s="1"/>
  <c r="HA49"/>
  <c r="HA53" s="1"/>
  <c r="HE49"/>
  <c r="HE53" s="1"/>
  <c r="HG49"/>
  <c r="HG53" s="1"/>
  <c r="HI49"/>
  <c r="HI53" s="1"/>
  <c r="HK49"/>
  <c r="HK53" s="1"/>
  <c r="HO49"/>
  <c r="HO53" s="1"/>
  <c r="HQ49"/>
  <c r="HQ53" s="1"/>
  <c r="HS49"/>
  <c r="HS53" s="1"/>
  <c r="HU49"/>
  <c r="HU53" s="1"/>
  <c r="HZ49"/>
  <c r="HZ53" s="1"/>
  <c r="IC49"/>
  <c r="IC53" s="1"/>
  <c r="II49"/>
  <c r="II53" s="1"/>
  <c r="IK49"/>
  <c r="IK53" s="1"/>
  <c r="IM49"/>
  <c r="IM53" s="1"/>
  <c r="IO49"/>
  <c r="IO53" s="1"/>
  <c r="IQ49"/>
  <c r="IQ53" s="1"/>
  <c r="IS49"/>
  <c r="IS53" s="1"/>
  <c r="IU49"/>
  <c r="IU53" s="1"/>
  <c r="ER27"/>
  <c r="K45" i="88"/>
  <c r="R43" s="1"/>
  <c r="JI37" i="87"/>
  <c r="FN6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HE61" s="1"/>
  <c r="HF61" s="1"/>
  <c r="HG61" s="1"/>
  <c r="HH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FN63"/>
  <c r="FO63" s="1"/>
  <c r="FP63" s="1"/>
  <c r="FQ63" s="1"/>
  <c r="FR63" s="1"/>
  <c r="FS63" s="1"/>
  <c r="FT63" s="1"/>
  <c r="FU63" s="1"/>
  <c r="FV63" s="1"/>
  <c r="FW63" s="1"/>
  <c r="FX63" s="1"/>
  <c r="FY63" s="1"/>
  <c r="FZ63" s="1"/>
  <c r="GA63" s="1"/>
  <c r="GB63" s="1"/>
  <c r="GC63" s="1"/>
  <c r="GD63" s="1"/>
  <c r="GE63" s="1"/>
  <c r="GF63" s="1"/>
  <c r="GG63" s="1"/>
  <c r="GH63" s="1"/>
  <c r="GI63" s="1"/>
  <c r="GJ63" s="1"/>
  <c r="GK63" s="1"/>
  <c r="GM63" s="1"/>
  <c r="GN63" s="1"/>
  <c r="GO63" s="1"/>
  <c r="GP63" s="1"/>
  <c r="GQ63" s="1"/>
  <c r="GR63" s="1"/>
  <c r="GS63" s="1"/>
  <c r="GT63" s="1"/>
  <c r="GU63" s="1"/>
  <c r="GV63" s="1"/>
  <c r="GW63" s="1"/>
  <c r="GX63" s="1"/>
  <c r="GY63" s="1"/>
  <c r="GZ63" s="1"/>
  <c r="HA63" s="1"/>
  <c r="HB63" s="1"/>
  <c r="HC63" s="1"/>
  <c r="HD63" s="1"/>
  <c r="HE63" s="1"/>
  <c r="HF63" s="1"/>
  <c r="HG63" s="1"/>
  <c r="HH63" s="1"/>
  <c r="HJ63" s="1"/>
  <c r="HK63" s="1"/>
  <c r="HL63" s="1"/>
  <c r="HM63" s="1"/>
  <c r="HN63" s="1"/>
  <c r="HO63" s="1"/>
  <c r="HP63" s="1"/>
  <c r="HQ63" s="1"/>
  <c r="HR63" s="1"/>
  <c r="HS63" s="1"/>
  <c r="HT63" s="1"/>
  <c r="HU63" s="1"/>
  <c r="HV63" s="1"/>
  <c r="HQ27"/>
  <c r="HS27"/>
  <c r="HU27"/>
  <c r="HX27"/>
  <c r="HZ27"/>
  <c r="IC27"/>
  <c r="IE27"/>
  <c r="IG27"/>
  <c r="II27"/>
  <c r="IK27"/>
  <c r="IM27"/>
  <c r="IO27"/>
  <c r="IQ27"/>
  <c r="IS27"/>
  <c r="IU27"/>
  <c r="FP65"/>
  <c r="FQ65" s="1"/>
  <c r="FR65" s="1"/>
  <c r="FS65" s="1"/>
  <c r="FT65" s="1"/>
  <c r="FU65" s="1"/>
  <c r="FV65" s="1"/>
  <c r="FW65" s="1"/>
  <c r="FX65" s="1"/>
  <c r="FY65" s="1"/>
  <c r="FZ65" s="1"/>
  <c r="GA65" s="1"/>
  <c r="GB65" s="1"/>
  <c r="GC65" s="1"/>
  <c r="GD65" s="1"/>
  <c r="GE65" s="1"/>
  <c r="GF65" s="1"/>
  <c r="GG65" s="1"/>
  <c r="GH65" s="1"/>
  <c r="GI65" s="1"/>
  <c r="GJ65" s="1"/>
  <c r="GK65" s="1"/>
  <c r="GM65" s="1"/>
  <c r="GN65" s="1"/>
  <c r="GO65" s="1"/>
  <c r="GP65" s="1"/>
  <c r="GQ65" s="1"/>
  <c r="GR65" s="1"/>
  <c r="GS65" s="1"/>
  <c r="GT65" s="1"/>
  <c r="GU65" s="1"/>
  <c r="GV65" s="1"/>
  <c r="GW65" s="1"/>
  <c r="GX65" s="1"/>
  <c r="GY65" s="1"/>
  <c r="GZ65" s="1"/>
  <c r="HA65" s="1"/>
  <c r="HB65" s="1"/>
  <c r="HC65" s="1"/>
  <c r="HD65" s="1"/>
  <c r="HE65" s="1"/>
  <c r="HF65" s="1"/>
  <c r="HG65" s="1"/>
  <c r="HH65" s="1"/>
  <c r="HJ65" s="1"/>
  <c r="HK65" s="1"/>
  <c r="HL65" s="1"/>
  <c r="HM65" s="1"/>
  <c r="HN65" s="1"/>
  <c r="HO65" s="1"/>
  <c r="HP65" s="1"/>
  <c r="HQ65" s="1"/>
  <c r="HR65" s="1"/>
  <c r="HS65" s="1"/>
  <c r="HT65" s="1"/>
  <c r="HU65" s="1"/>
  <c r="HV65" s="1"/>
  <c r="K14" i="88"/>
  <c r="K21" s="1"/>
  <c r="FN62" i="87"/>
  <c r="FO62" s="1"/>
  <c r="FP62" s="1"/>
  <c r="FQ62" s="1"/>
  <c r="FR62" s="1"/>
  <c r="FS62" s="1"/>
  <c r="FT62" s="1"/>
  <c r="FU62" s="1"/>
  <c r="FV62" s="1"/>
  <c r="FW62" s="1"/>
  <c r="FX62" s="1"/>
  <c r="FY62" s="1"/>
  <c r="FZ62" s="1"/>
  <c r="GA62" s="1"/>
  <c r="GB62" s="1"/>
  <c r="GC62" s="1"/>
  <c r="GD62" s="1"/>
  <c r="GE62" s="1"/>
  <c r="GF62" s="1"/>
  <c r="GG62" s="1"/>
  <c r="GH62" s="1"/>
  <c r="GI62" s="1"/>
  <c r="GJ62" s="1"/>
  <c r="GK62" s="1"/>
  <c r="GM62" s="1"/>
  <c r="GN62" s="1"/>
  <c r="GO62" s="1"/>
  <c r="GP62" s="1"/>
  <c r="GR62" s="1"/>
  <c r="GS62" s="1"/>
  <c r="GT62" s="1"/>
  <c r="GU62" s="1"/>
  <c r="GV62" s="1"/>
  <c r="GW62" s="1"/>
  <c r="GX62" s="1"/>
  <c r="GY62" s="1"/>
  <c r="GZ62" s="1"/>
  <c r="HA62" s="1"/>
  <c r="HB62" s="1"/>
  <c r="HC62" s="1"/>
  <c r="HD62" s="1"/>
  <c r="HE62" s="1"/>
  <c r="HF62" s="1"/>
  <c r="HG62" s="1"/>
  <c r="HH62" s="1"/>
  <c r="HJ62" s="1"/>
  <c r="HK62" s="1"/>
  <c r="HL62" s="1"/>
  <c r="HM62" s="1"/>
  <c r="HN62" s="1"/>
  <c r="HO62" s="1"/>
  <c r="HP62" s="1"/>
  <c r="HQ62" s="1"/>
  <c r="HR62" s="1"/>
  <c r="HS62" s="1"/>
  <c r="HT62" s="1"/>
  <c r="HU62" s="1"/>
  <c r="HV62" s="1"/>
  <c r="FN64"/>
  <c r="FX27"/>
  <c r="FZ27"/>
  <c r="GB27"/>
  <c r="GF27"/>
  <c r="GH27"/>
  <c r="GJ27"/>
  <c r="GL27"/>
  <c r="GN27"/>
  <c r="GP27"/>
  <c r="I53" i="88"/>
  <c r="K55"/>
  <c r="G21"/>
  <c r="I55"/>
  <c r="K53"/>
  <c r="R37" s="1"/>
  <c r="H82" i="87"/>
  <c r="H83"/>
  <c r="H85"/>
  <c r="H86"/>
  <c r="H87"/>
  <c r="H89"/>
  <c r="H90"/>
  <c r="H92"/>
  <c r="K99"/>
  <c r="FT49" s="1"/>
  <c r="FT53" s="1"/>
  <c r="GR27"/>
  <c r="GT27"/>
  <c r="GV27"/>
  <c r="GX27"/>
  <c r="GZ27"/>
  <c r="HB27"/>
  <c r="HD27"/>
  <c r="HF27"/>
  <c r="HH27"/>
  <c r="HJ27"/>
  <c r="HL27"/>
  <c r="HN27"/>
  <c r="HP27"/>
  <c r="HR27"/>
  <c r="HT27"/>
  <c r="HV27"/>
  <c r="HY27"/>
  <c r="IA27"/>
  <c r="ID27"/>
  <c r="IF27"/>
  <c r="IH27"/>
  <c r="IJ27"/>
  <c r="IL27"/>
  <c r="IN27"/>
  <c r="IP27"/>
  <c r="IR27"/>
  <c r="IT27"/>
  <c r="K83"/>
  <c r="K85"/>
  <c r="K87"/>
  <c r="K89"/>
  <c r="H91"/>
  <c r="H93"/>
  <c r="R40" i="88"/>
  <c r="BR58" i="87"/>
  <c r="CL58"/>
  <c r="W66"/>
  <c r="X60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J60" s="1"/>
  <c r="BK60" s="1"/>
  <c r="BL60" s="1"/>
  <c r="BM60" s="1"/>
  <c r="BN60" s="1"/>
  <c r="BO60" s="1"/>
  <c r="BP60" s="1"/>
  <c r="EV66"/>
  <c r="EW60"/>
  <c r="EX60" s="1"/>
  <c r="EY60" s="1"/>
  <c r="EZ60" s="1"/>
  <c r="FA60" s="1"/>
  <c r="FB60" s="1"/>
  <c r="FC60" s="1"/>
  <c r="FD60" s="1"/>
  <c r="FE60" s="1"/>
  <c r="EQ27"/>
  <c r="JI40"/>
  <c r="JI46"/>
  <c r="Y58"/>
  <c r="EC58"/>
  <c r="EW66"/>
  <c r="EX58"/>
  <c r="JI35"/>
  <c r="IW57"/>
  <c r="D58"/>
  <c r="E83"/>
  <c r="E85"/>
  <c r="E87"/>
  <c r="E89"/>
  <c r="E91"/>
  <c r="E93"/>
  <c r="G94"/>
  <c r="E82"/>
  <c r="K82"/>
  <c r="E84"/>
  <c r="H84"/>
  <c r="K84"/>
  <c r="E86"/>
  <c r="K86"/>
  <c r="E88"/>
  <c r="E90"/>
  <c r="M62" i="91" l="1"/>
  <c r="K60"/>
  <c r="R33" s="1"/>
  <c r="IW49" i="87"/>
  <c r="BM49" i="90"/>
  <c r="BM53" s="1"/>
  <c r="JI46"/>
  <c r="BV27"/>
  <c r="JI14"/>
  <c r="JI11"/>
  <c r="BP27"/>
  <c r="JI8"/>
  <c r="CT27"/>
  <c r="IW27" i="87"/>
  <c r="IA60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IU60" s="1"/>
  <c r="IV60" s="1"/>
  <c r="IB60"/>
  <c r="X66"/>
  <c r="T68" i="90"/>
  <c r="T69" s="1"/>
  <c r="U6"/>
  <c r="U54" s="1"/>
  <c r="U66"/>
  <c r="V58"/>
  <c r="IA59" i="87"/>
  <c r="IC59" s="1"/>
  <c r="ID59" s="1"/>
  <c r="IE59" s="1"/>
  <c r="IF59" s="1"/>
  <c r="IG59" s="1"/>
  <c r="IH59" s="1"/>
  <c r="II59" s="1"/>
  <c r="IJ59" s="1"/>
  <c r="IK59" s="1"/>
  <c r="IL59" s="1"/>
  <c r="IM59" s="1"/>
  <c r="IN59" s="1"/>
  <c r="IO59" s="1"/>
  <c r="IP59" s="1"/>
  <c r="IQ59" s="1"/>
  <c r="IR59" s="1"/>
  <c r="IS59" s="1"/>
  <c r="IT59" s="1"/>
  <c r="IU59" s="1"/>
  <c r="IB59"/>
  <c r="HX62"/>
  <c r="HY62" s="1"/>
  <c r="HZ62" s="1"/>
  <c r="IA62" s="1"/>
  <c r="ID62" s="1"/>
  <c r="IE62" s="1"/>
  <c r="IF62" s="1"/>
  <c r="IG62" s="1"/>
  <c r="IH62" s="1"/>
  <c r="II62" s="1"/>
  <c r="IJ62" s="1"/>
  <c r="IK62" s="1"/>
  <c r="IL62" s="1"/>
  <c r="IN62" s="1"/>
  <c r="IO62" s="1"/>
  <c r="IP62" s="1"/>
  <c r="IQ62" s="1"/>
  <c r="IR62" s="1"/>
  <c r="IS62" s="1"/>
  <c r="IT62" s="1"/>
  <c r="HW62"/>
  <c r="HX65"/>
  <c r="HY65" s="1"/>
  <c r="HZ65" s="1"/>
  <c r="IA65" s="1"/>
  <c r="IE65" s="1"/>
  <c r="IF65" s="1"/>
  <c r="IG65" s="1"/>
  <c r="HW65"/>
  <c r="HX63"/>
  <c r="HY63" s="1"/>
  <c r="HZ63" s="1"/>
  <c r="HW63"/>
  <c r="HX61"/>
  <c r="HY61" s="1"/>
  <c r="HZ61" s="1"/>
  <c r="IA61" s="1"/>
  <c r="ID61" s="1"/>
  <c r="IE61" s="1"/>
  <c r="IF61" s="1"/>
  <c r="IG61" s="1"/>
  <c r="IH61" s="1"/>
  <c r="II61" s="1"/>
  <c r="IJ61" s="1"/>
  <c r="IK61" s="1"/>
  <c r="IL61" s="1"/>
  <c r="IM61" s="1"/>
  <c r="IN61" s="1"/>
  <c r="HW61"/>
  <c r="JI45"/>
  <c r="FO64"/>
  <c r="FP64" s="1"/>
  <c r="FQ64" s="1"/>
  <c r="FR64" s="1"/>
  <c r="FS64" s="1"/>
  <c r="FT64" s="1"/>
  <c r="FU64" s="1"/>
  <c r="FV64" s="1"/>
  <c r="FW64" s="1"/>
  <c r="FX64" s="1"/>
  <c r="FY64" s="1"/>
  <c r="FZ64" s="1"/>
  <c r="GA64" s="1"/>
  <c r="GB64" s="1"/>
  <c r="GC64" s="1"/>
  <c r="GD64" s="1"/>
  <c r="GE64" s="1"/>
  <c r="GF64" s="1"/>
  <c r="GG64" s="1"/>
  <c r="GH64" s="1"/>
  <c r="GI64" s="1"/>
  <c r="GJ64" s="1"/>
  <c r="GK64" s="1"/>
  <c r="GM64" s="1"/>
  <c r="GN64" s="1"/>
  <c r="GO64" s="1"/>
  <c r="GP64" s="1"/>
  <c r="GQ64" s="1"/>
  <c r="GR64" s="1"/>
  <c r="GS64" s="1"/>
  <c r="GT64" s="1"/>
  <c r="GU64" s="1"/>
  <c r="GV64" s="1"/>
  <c r="GW64" s="1"/>
  <c r="GX64" s="1"/>
  <c r="GY64" s="1"/>
  <c r="GZ64" s="1"/>
  <c r="HA64" s="1"/>
  <c r="HB64" s="1"/>
  <c r="HC64" s="1"/>
  <c r="HD64" s="1"/>
  <c r="HE64" s="1"/>
  <c r="HF64" s="1"/>
  <c r="HG64" s="1"/>
  <c r="HH64" s="1"/>
  <c r="HJ64" s="1"/>
  <c r="HK64" s="1"/>
  <c r="HL64" s="1"/>
  <c r="HM64" s="1"/>
  <c r="HN64" s="1"/>
  <c r="HO64" s="1"/>
  <c r="HP64" s="1"/>
  <c r="HQ64" s="1"/>
  <c r="HR64" s="1"/>
  <c r="HS64" s="1"/>
  <c r="HT64" s="1"/>
  <c r="HU64" s="1"/>
  <c r="HV64" s="1"/>
  <c r="JI38"/>
  <c r="JI39"/>
  <c r="JI48"/>
  <c r="JI41"/>
  <c r="JI42"/>
  <c r="JI44"/>
  <c r="JI34"/>
  <c r="JI31"/>
  <c r="EX66"/>
  <c r="EY58"/>
  <c r="ED58"/>
  <c r="Y66"/>
  <c r="Z58"/>
  <c r="IV49"/>
  <c r="IV53" s="1"/>
  <c r="H94"/>
  <c r="G95"/>
  <c r="D66"/>
  <c r="E58"/>
  <c r="BP66"/>
  <c r="BQ60"/>
  <c r="CM58"/>
  <c r="BS58"/>
  <c r="IV27"/>
  <c r="JI30"/>
  <c r="JI27" i="90" l="1"/>
  <c r="JI28" s="1"/>
  <c r="JK46"/>
  <c r="JK49" s="1"/>
  <c r="JK53" s="1"/>
  <c r="JI49"/>
  <c r="JI50" s="1"/>
  <c r="JI53" s="1"/>
  <c r="IW28" i="87"/>
  <c r="IO61"/>
  <c r="IP61" s="1"/>
  <c r="IQ61" s="1"/>
  <c r="IR61" s="1"/>
  <c r="IS61" s="1"/>
  <c r="IT61" s="1"/>
  <c r="IU61" s="1"/>
  <c r="IH65"/>
  <c r="II65" s="1"/>
  <c r="IJ65" s="1"/>
  <c r="IK65" s="1"/>
  <c r="IL65" s="1"/>
  <c r="IN65" s="1"/>
  <c r="IP65" s="1"/>
  <c r="IQ65" s="1"/>
  <c r="IR65" s="1"/>
  <c r="IS65" s="1"/>
  <c r="IT65" s="1"/>
  <c r="IU65" s="1"/>
  <c r="IV65" s="1"/>
  <c r="IU62"/>
  <c r="V66" i="90"/>
  <c r="W58"/>
  <c r="U68"/>
  <c r="U69" s="1"/>
  <c r="V6"/>
  <c r="V54" s="1"/>
  <c r="IA63" i="87"/>
  <c r="ID63" s="1"/>
  <c r="IE63" s="1"/>
  <c r="IF63" s="1"/>
  <c r="IG63" s="1"/>
  <c r="IH63" s="1"/>
  <c r="II63" s="1"/>
  <c r="IJ63" s="1"/>
  <c r="IK63" s="1"/>
  <c r="IL63" s="1"/>
  <c r="IM63" s="1"/>
  <c r="IN63" s="1"/>
  <c r="IO63" s="1"/>
  <c r="IP63" s="1"/>
  <c r="IQ63" s="1"/>
  <c r="IR63" s="1"/>
  <c r="IS63" s="1"/>
  <c r="IT63" s="1"/>
  <c r="IU63" s="1"/>
  <c r="HX64"/>
  <c r="HY64" s="1"/>
  <c r="HZ64" s="1"/>
  <c r="IA64" s="1"/>
  <c r="IE64" s="1"/>
  <c r="IF64" s="1"/>
  <c r="IG64" s="1"/>
  <c r="HW64"/>
  <c r="GU49"/>
  <c r="GU53" s="1"/>
  <c r="HP49"/>
  <c r="HP53" s="1"/>
  <c r="BT58"/>
  <c r="CN58"/>
  <c r="BR60"/>
  <c r="BQ66"/>
  <c r="E66"/>
  <c r="F58"/>
  <c r="Z66"/>
  <c r="AA58"/>
  <c r="EE58"/>
  <c r="EY66"/>
  <c r="EZ58"/>
  <c r="JI54" i="90" l="1"/>
  <c r="JI55" s="1"/>
  <c r="IH64" i="87"/>
  <c r="II64" s="1"/>
  <c r="IJ64" s="1"/>
  <c r="IK64" s="1"/>
  <c r="IL64" s="1"/>
  <c r="IM64" s="1"/>
  <c r="IN64" s="1"/>
  <c r="IO64" s="1"/>
  <c r="IP64" s="1"/>
  <c r="IQ64" s="1"/>
  <c r="IR64" s="1"/>
  <c r="IS64" s="1"/>
  <c r="IT64" s="1"/>
  <c r="IU64" s="1"/>
  <c r="X58" i="90"/>
  <c r="W66"/>
  <c r="V68"/>
  <c r="V69" s="1"/>
  <c r="W6"/>
  <c r="W54" s="1"/>
  <c r="EZ66" i="87"/>
  <c r="FA58"/>
  <c r="EF58"/>
  <c r="AA66"/>
  <c r="AB58"/>
  <c r="F66"/>
  <c r="G58"/>
  <c r="CO58"/>
  <c r="BU58"/>
  <c r="BS60"/>
  <c r="BR66"/>
  <c r="JJ6" i="90" l="1"/>
  <c r="Y58"/>
  <c r="X66"/>
  <c r="W68"/>
  <c r="W69" s="1"/>
  <c r="X6"/>
  <c r="X54" s="1"/>
  <c r="HX49" i="87"/>
  <c r="HX53" s="1"/>
  <c r="IL49"/>
  <c r="IL53" s="1"/>
  <c r="GK49"/>
  <c r="GK53" s="1"/>
  <c r="IE49"/>
  <c r="IE53" s="1"/>
  <c r="BT60"/>
  <c r="BS66"/>
  <c r="BV58"/>
  <c r="CP58"/>
  <c r="G66"/>
  <c r="H58"/>
  <c r="AB66"/>
  <c r="AC58"/>
  <c r="EG58"/>
  <c r="FA66"/>
  <c r="FB58"/>
  <c r="Z58" i="90" l="1"/>
  <c r="Y66"/>
  <c r="X68"/>
  <c r="X69" s="1"/>
  <c r="Y6"/>
  <c r="Y54" s="1"/>
  <c r="HM49" i="87"/>
  <c r="HM53" s="1"/>
  <c r="HC49"/>
  <c r="HC53" s="1"/>
  <c r="IG49"/>
  <c r="IG53" s="1"/>
  <c r="EH58"/>
  <c r="CQ58"/>
  <c r="BW58"/>
  <c r="BU60"/>
  <c r="BT66"/>
  <c r="FR49"/>
  <c r="HH49"/>
  <c r="HH53" s="1"/>
  <c r="GT49"/>
  <c r="GT53" s="1"/>
  <c r="FB66"/>
  <c r="FC58"/>
  <c r="AC66"/>
  <c r="AD58"/>
  <c r="H66"/>
  <c r="I58"/>
  <c r="JI32"/>
  <c r="GP49"/>
  <c r="GP53" s="1"/>
  <c r="AA58" i="90" l="1"/>
  <c r="Z66"/>
  <c r="Y68"/>
  <c r="Y69" s="1"/>
  <c r="Z6"/>
  <c r="Z54" s="1"/>
  <c r="I66" i="87"/>
  <c r="J58"/>
  <c r="AD66"/>
  <c r="AE58"/>
  <c r="FC66"/>
  <c r="FD58"/>
  <c r="FR53"/>
  <c r="BV60"/>
  <c r="BU66"/>
  <c r="BX58"/>
  <c r="CR58"/>
  <c r="EI58"/>
  <c r="AB58" i="90" l="1"/>
  <c r="AA66"/>
  <c r="Z68"/>
  <c r="Z69" s="1"/>
  <c r="AA6"/>
  <c r="AA54" s="1"/>
  <c r="BW60" i="87"/>
  <c r="BV66"/>
  <c r="EJ58"/>
  <c r="CS58"/>
  <c r="BY58"/>
  <c r="FD66"/>
  <c r="FE58"/>
  <c r="AE66"/>
  <c r="AF58"/>
  <c r="J66"/>
  <c r="K58"/>
  <c r="AC58" i="90" l="1"/>
  <c r="AB66"/>
  <c r="AA68"/>
  <c r="AA69" s="1"/>
  <c r="AB6"/>
  <c r="AB54" s="1"/>
  <c r="BX60" i="87"/>
  <c r="BW66"/>
  <c r="K66"/>
  <c r="L58"/>
  <c r="AF66"/>
  <c r="AG58"/>
  <c r="FE66"/>
  <c r="FF58"/>
  <c r="BZ58"/>
  <c r="CT58"/>
  <c r="EJ66"/>
  <c r="EK58"/>
  <c r="AD58" i="90" l="1"/>
  <c r="AC66"/>
  <c r="AB68"/>
  <c r="AB69" s="1"/>
  <c r="AC6"/>
  <c r="AC54" s="1"/>
  <c r="EK66" i="87"/>
  <c r="EL58"/>
  <c r="CU58"/>
  <c r="CA58"/>
  <c r="FF66"/>
  <c r="FG58"/>
  <c r="AG66"/>
  <c r="AH58"/>
  <c r="L66"/>
  <c r="M58"/>
  <c r="BY60"/>
  <c r="BX66"/>
  <c r="AE58" i="90" l="1"/>
  <c r="AD66"/>
  <c r="AC68"/>
  <c r="AC69" s="1"/>
  <c r="AD6"/>
  <c r="AD54" s="1"/>
  <c r="BZ60" i="87"/>
  <c r="BY66"/>
  <c r="M66"/>
  <c r="N58"/>
  <c r="AH66"/>
  <c r="AI58"/>
  <c r="FG66"/>
  <c r="FH58"/>
  <c r="CB58"/>
  <c r="CV58"/>
  <c r="EL66"/>
  <c r="EM58"/>
  <c r="AF58" i="90" l="1"/>
  <c r="AE66"/>
  <c r="AD68"/>
  <c r="AD69" s="1"/>
  <c r="AE6"/>
  <c r="AE54" s="1"/>
  <c r="CA60" i="87"/>
  <c r="BZ66"/>
  <c r="EM66"/>
  <c r="EN58"/>
  <c r="CW58"/>
  <c r="CC58"/>
  <c r="FH66"/>
  <c r="FI58"/>
  <c r="AI66"/>
  <c r="AJ58"/>
  <c r="N66"/>
  <c r="O58"/>
  <c r="AG58" i="90" l="1"/>
  <c r="AF66"/>
  <c r="AE68"/>
  <c r="AE69" s="1"/>
  <c r="AF6"/>
  <c r="AF54" s="1"/>
  <c r="CB60" i="87"/>
  <c r="CA66"/>
  <c r="O66"/>
  <c r="P58"/>
  <c r="AJ66"/>
  <c r="AK58"/>
  <c r="FI66"/>
  <c r="FJ58"/>
  <c r="CD58"/>
  <c r="CX58"/>
  <c r="EN66"/>
  <c r="EO58"/>
  <c r="AH58" i="90" l="1"/>
  <c r="AG66"/>
  <c r="AF68"/>
  <c r="AF69" s="1"/>
  <c r="AG6"/>
  <c r="AG54" s="1"/>
  <c r="CC60" i="87"/>
  <c r="CB66"/>
  <c r="EO66"/>
  <c r="EP58"/>
  <c r="CY58"/>
  <c r="CE58"/>
  <c r="FJ66"/>
  <c r="FK58"/>
  <c r="AK66"/>
  <c r="AL58"/>
  <c r="P66"/>
  <c r="Q58"/>
  <c r="AI58" i="90" l="1"/>
  <c r="AH66"/>
  <c r="AG68"/>
  <c r="AG69" s="1"/>
  <c r="AH6"/>
  <c r="AH54" s="1"/>
  <c r="CD60" i="87"/>
  <c r="CC66"/>
  <c r="Q66"/>
  <c r="R58"/>
  <c r="AL66"/>
  <c r="AM58"/>
  <c r="FK66"/>
  <c r="FL58"/>
  <c r="CF58"/>
  <c r="CZ58"/>
  <c r="EP66"/>
  <c r="EQ58"/>
  <c r="AJ58" i="90" l="1"/>
  <c r="AI66"/>
  <c r="AH68"/>
  <c r="AH69" s="1"/>
  <c r="AI6"/>
  <c r="AI54" s="1"/>
  <c r="CE60" i="87"/>
  <c r="CD66"/>
  <c r="EQ66"/>
  <c r="ER58"/>
  <c r="DA58"/>
  <c r="CG58"/>
  <c r="FL66"/>
  <c r="FM58"/>
  <c r="AM66"/>
  <c r="AN58"/>
  <c r="R66"/>
  <c r="S58"/>
  <c r="AK58" i="90" l="1"/>
  <c r="AJ66"/>
  <c r="AI68"/>
  <c r="AI69" s="1"/>
  <c r="AJ6"/>
  <c r="AJ54" s="1"/>
  <c r="CF60" i="87"/>
  <c r="CE66"/>
  <c r="S66"/>
  <c r="T58"/>
  <c r="AN66"/>
  <c r="AO58"/>
  <c r="FM66"/>
  <c r="FN58"/>
  <c r="CH58"/>
  <c r="DB58"/>
  <c r="ER66"/>
  <c r="ES58"/>
  <c r="AL58" i="90" l="1"/>
  <c r="AK66"/>
  <c r="AJ68"/>
  <c r="AJ69" s="1"/>
  <c r="AK6"/>
  <c r="AK54" s="1"/>
  <c r="CG60" i="87"/>
  <c r="CF66"/>
  <c r="ES66"/>
  <c r="ET58"/>
  <c r="DC58"/>
  <c r="CI58"/>
  <c r="FN66"/>
  <c r="FO58"/>
  <c r="AO66"/>
  <c r="AP58"/>
  <c r="T66"/>
  <c r="U58"/>
  <c r="AM58" i="90" l="1"/>
  <c r="AL66"/>
  <c r="AK68"/>
  <c r="AK69" s="1"/>
  <c r="AL6"/>
  <c r="AL54" s="1"/>
  <c r="CH60" i="87"/>
  <c r="CG66"/>
  <c r="U66"/>
  <c r="V58"/>
  <c r="V66" s="1"/>
  <c r="AP66"/>
  <c r="AQ58"/>
  <c r="FO66"/>
  <c r="FP58"/>
  <c r="DD58"/>
  <c r="ET66"/>
  <c r="EU58"/>
  <c r="EU66" s="1"/>
  <c r="AN58" i="90" l="1"/>
  <c r="AM66"/>
  <c r="AL68"/>
  <c r="AL69" s="1"/>
  <c r="AM6"/>
  <c r="AM54" s="1"/>
  <c r="CI60" i="87"/>
  <c r="CH66"/>
  <c r="DE58"/>
  <c r="FP66"/>
  <c r="FQ58"/>
  <c r="AQ66"/>
  <c r="AR58"/>
  <c r="AO58" i="90" l="1"/>
  <c r="AN66"/>
  <c r="AM68"/>
  <c r="AM69" s="1"/>
  <c r="AN6"/>
  <c r="AN54" s="1"/>
  <c r="CJ60" i="87"/>
  <c r="CI66"/>
  <c r="AR66"/>
  <c r="AS58"/>
  <c r="FQ66"/>
  <c r="FR58"/>
  <c r="DF58"/>
  <c r="AP58" i="90" l="1"/>
  <c r="AO66"/>
  <c r="AN68"/>
  <c r="AN69" s="1"/>
  <c r="AO6"/>
  <c r="AO54" s="1"/>
  <c r="CJ66" i="87"/>
  <c r="CK60"/>
  <c r="DG58"/>
  <c r="FR66"/>
  <c r="FS58"/>
  <c r="AS66"/>
  <c r="AT58"/>
  <c r="AQ58" i="90" l="1"/>
  <c r="AP66"/>
  <c r="AO68"/>
  <c r="AO69" s="1"/>
  <c r="AP6"/>
  <c r="AP54" s="1"/>
  <c r="AT66" i="87"/>
  <c r="AU58"/>
  <c r="FS66"/>
  <c r="FT58"/>
  <c r="DH58"/>
  <c r="CL60"/>
  <c r="CK66"/>
  <c r="AR58" i="90" l="1"/>
  <c r="AQ66"/>
  <c r="AP68"/>
  <c r="AP69" s="1"/>
  <c r="AQ6"/>
  <c r="AQ54" s="1"/>
  <c r="CM60" i="87"/>
  <c r="CL66"/>
  <c r="DI58"/>
  <c r="FT66"/>
  <c r="FU58"/>
  <c r="AU66"/>
  <c r="AV58"/>
  <c r="AS58" i="90" l="1"/>
  <c r="AR66"/>
  <c r="AQ68"/>
  <c r="AQ69" s="1"/>
  <c r="AR6"/>
  <c r="AR54" s="1"/>
  <c r="CN60" i="87"/>
  <c r="CM66"/>
  <c r="AV66"/>
  <c r="AW58"/>
  <c r="FU66"/>
  <c r="FV58"/>
  <c r="DJ58"/>
  <c r="AT58" i="90" l="1"/>
  <c r="AS66"/>
  <c r="AR68"/>
  <c r="AR69" s="1"/>
  <c r="AS6"/>
  <c r="AS54" s="1"/>
  <c r="CO60" i="87"/>
  <c r="CN66"/>
  <c r="DK58"/>
  <c r="FV66"/>
  <c r="FW58"/>
  <c r="AW66"/>
  <c r="AX58"/>
  <c r="AT66" i="90" l="1"/>
  <c r="AS68"/>
  <c r="AS69" s="1"/>
  <c r="AT6"/>
  <c r="AT54" s="1"/>
  <c r="CP60" i="87"/>
  <c r="CO66"/>
  <c r="AX66"/>
  <c r="AY58"/>
  <c r="FW66"/>
  <c r="FX58"/>
  <c r="DL58"/>
  <c r="AV58" i="90" l="1"/>
  <c r="AU66"/>
  <c r="AT68"/>
  <c r="AT69" s="1"/>
  <c r="AU6"/>
  <c r="AU54" s="1"/>
  <c r="CQ60" i="87"/>
  <c r="CP66"/>
  <c r="DM58"/>
  <c r="FX66"/>
  <c r="FY58"/>
  <c r="AY66"/>
  <c r="AZ58"/>
  <c r="AW58" i="90" l="1"/>
  <c r="AV66"/>
  <c r="AU68"/>
  <c r="AU69" s="1"/>
  <c r="AV6"/>
  <c r="AV54" s="1"/>
  <c r="CR60" i="87"/>
  <c r="CQ66"/>
  <c r="AZ66"/>
  <c r="BA58"/>
  <c r="FY66"/>
  <c r="FZ58"/>
  <c r="DN58"/>
  <c r="AX58" i="90" l="1"/>
  <c r="AW66"/>
  <c r="AV68"/>
  <c r="AV69" s="1"/>
  <c r="AW6"/>
  <c r="AW54" s="1"/>
  <c r="FZ66" i="87"/>
  <c r="GA58"/>
  <c r="BA66"/>
  <c r="BB58"/>
  <c r="CS60"/>
  <c r="CR66"/>
  <c r="DO58"/>
  <c r="AY58" i="90" l="1"/>
  <c r="AX66"/>
  <c r="AW68"/>
  <c r="AW69" s="1"/>
  <c r="AX6"/>
  <c r="AX54" s="1"/>
  <c r="CT60" i="87"/>
  <c r="CS66"/>
  <c r="DP58"/>
  <c r="BB66"/>
  <c r="BC58"/>
  <c r="GA66"/>
  <c r="GB58"/>
  <c r="AZ58" i="90" l="1"/>
  <c r="AY66"/>
  <c r="AX68"/>
  <c r="AX69" s="1"/>
  <c r="AY6"/>
  <c r="AY54" s="1"/>
  <c r="CU60" i="87"/>
  <c r="CT66"/>
  <c r="GB66"/>
  <c r="GC58"/>
  <c r="BC66"/>
  <c r="BD58"/>
  <c r="DQ58"/>
  <c r="BA58" i="90" l="1"/>
  <c r="AZ66"/>
  <c r="AY68"/>
  <c r="AY69" s="1"/>
  <c r="AZ6"/>
  <c r="AZ54" s="1"/>
  <c r="DR58" i="87"/>
  <c r="CV60"/>
  <c r="CU66"/>
  <c r="BD66"/>
  <c r="BE58"/>
  <c r="GC66"/>
  <c r="GD58"/>
  <c r="BB58" i="90" l="1"/>
  <c r="BA66"/>
  <c r="AZ68"/>
  <c r="AZ69" s="1"/>
  <c r="BA6"/>
  <c r="BA54" s="1"/>
  <c r="CW60" i="87"/>
  <c r="CV66"/>
  <c r="GD66"/>
  <c r="GE58"/>
  <c r="BE66"/>
  <c r="BF58"/>
  <c r="DS58"/>
  <c r="BC58" i="90" l="1"/>
  <c r="BB66"/>
  <c r="BA68"/>
  <c r="BA69" s="1"/>
  <c r="BB6"/>
  <c r="BB54" s="1"/>
  <c r="CX60" i="87"/>
  <c r="CW66"/>
  <c r="DT58"/>
  <c r="BF66"/>
  <c r="BG58"/>
  <c r="GE66"/>
  <c r="GF58"/>
  <c r="BD58" i="90" l="1"/>
  <c r="BC66"/>
  <c r="BB68"/>
  <c r="BB69" s="1"/>
  <c r="BC6"/>
  <c r="BC54" s="1"/>
  <c r="CY60" i="87"/>
  <c r="CX66"/>
  <c r="GF66"/>
  <c r="GG58"/>
  <c r="BG66"/>
  <c r="BH58"/>
  <c r="DU58"/>
  <c r="BE58" i="90" l="1"/>
  <c r="BD66"/>
  <c r="BC68"/>
  <c r="BC69" s="1"/>
  <c r="BD6"/>
  <c r="BD54" s="1"/>
  <c r="CZ60" i="87"/>
  <c r="CY66"/>
  <c r="DV58"/>
  <c r="BH66"/>
  <c r="BI58"/>
  <c r="GG66"/>
  <c r="GH58"/>
  <c r="BF58" i="90" l="1"/>
  <c r="BE66"/>
  <c r="BD68"/>
  <c r="BD69" s="1"/>
  <c r="BE6"/>
  <c r="BE54" s="1"/>
  <c r="DA60" i="87"/>
  <c r="CZ66"/>
  <c r="GH66"/>
  <c r="GI58"/>
  <c r="BI66"/>
  <c r="BJ58"/>
  <c r="DW58"/>
  <c r="BG58" i="90" l="1"/>
  <c r="BF66"/>
  <c r="BE68"/>
  <c r="BE69" s="1"/>
  <c r="BF6"/>
  <c r="BF54" s="1"/>
  <c r="DB60" i="87"/>
  <c r="DA66"/>
  <c r="DX58"/>
  <c r="BJ66"/>
  <c r="BK58"/>
  <c r="GI66"/>
  <c r="GJ58"/>
  <c r="BH58" i="90" l="1"/>
  <c r="BG66"/>
  <c r="BF68"/>
  <c r="BF69" s="1"/>
  <c r="BG6"/>
  <c r="BG54" s="1"/>
  <c r="DC60" i="87"/>
  <c r="DB66"/>
  <c r="GJ66"/>
  <c r="GK58"/>
  <c r="BK66"/>
  <c r="BL58"/>
  <c r="DY58"/>
  <c r="BI58" i="90" l="1"/>
  <c r="BJ58" s="1"/>
  <c r="BH66"/>
  <c r="BG68"/>
  <c r="BG69" s="1"/>
  <c r="BH6"/>
  <c r="BH54" s="1"/>
  <c r="DD60" i="87"/>
  <c r="DC66"/>
  <c r="DZ58"/>
  <c r="BL66"/>
  <c r="BM58"/>
  <c r="GK66"/>
  <c r="GL58"/>
  <c r="BI66" i="90" l="1"/>
  <c r="BH68"/>
  <c r="BH69" s="1"/>
  <c r="BI6"/>
  <c r="BI54" s="1"/>
  <c r="DE60" i="87"/>
  <c r="DD66"/>
  <c r="GL66"/>
  <c r="GM58"/>
  <c r="BM66"/>
  <c r="BN58"/>
  <c r="BK58" i="90" l="1"/>
  <c r="BJ66"/>
  <c r="BI68"/>
  <c r="BI69" s="1"/>
  <c r="BJ6"/>
  <c r="BJ54" s="1"/>
  <c r="DF60" i="87"/>
  <c r="DE66"/>
  <c r="BN66"/>
  <c r="BO58"/>
  <c r="BO66" s="1"/>
  <c r="GM66"/>
  <c r="GN58"/>
  <c r="BL58" i="90" l="1"/>
  <c r="BK66"/>
  <c r="BJ68"/>
  <c r="BJ69" s="1"/>
  <c r="BK6"/>
  <c r="BK54" s="1"/>
  <c r="DG60" i="87"/>
  <c r="DF66"/>
  <c r="GN66"/>
  <c r="GO58"/>
  <c r="BM58" i="90" l="1"/>
  <c r="BL66"/>
  <c r="BK68"/>
  <c r="BK69" s="1"/>
  <c r="BL6"/>
  <c r="BL54" s="1"/>
  <c r="GO66" i="87"/>
  <c r="GP58"/>
  <c r="DH60"/>
  <c r="DG66"/>
  <c r="BN58" i="90" l="1"/>
  <c r="BM66"/>
  <c r="BL68"/>
  <c r="BL69" s="1"/>
  <c r="BM6"/>
  <c r="BM54" s="1"/>
  <c r="DI60" i="87"/>
  <c r="DH66"/>
  <c r="GP66"/>
  <c r="GQ58"/>
  <c r="BN66" i="90" l="1"/>
  <c r="BM68"/>
  <c r="BM69" s="1"/>
  <c r="BN6"/>
  <c r="BN54" s="1"/>
  <c r="GQ66" i="87"/>
  <c r="GR58"/>
  <c r="DJ60"/>
  <c r="DI66"/>
  <c r="BP58" i="90" l="1"/>
  <c r="BO66"/>
  <c r="BN68"/>
  <c r="BN69" s="1"/>
  <c r="BO6"/>
  <c r="BO54" s="1"/>
  <c r="DK60" i="87"/>
  <c r="DJ66"/>
  <c r="GR66"/>
  <c r="GS58"/>
  <c r="BQ58" i="90" l="1"/>
  <c r="BP66"/>
  <c r="BO68"/>
  <c r="BO69" s="1"/>
  <c r="BP6"/>
  <c r="BP54" s="1"/>
  <c r="DL60" i="87"/>
  <c r="DK66"/>
  <c r="GS66"/>
  <c r="GT58"/>
  <c r="BR58" i="90" l="1"/>
  <c r="BQ66"/>
  <c r="BP68"/>
  <c r="BP69" s="1"/>
  <c r="BQ6"/>
  <c r="BQ54" s="1"/>
  <c r="DM60" i="87"/>
  <c r="DL66"/>
  <c r="GT66"/>
  <c r="GU58"/>
  <c r="BS58" i="90" l="1"/>
  <c r="BR66"/>
  <c r="BQ68"/>
  <c r="BQ69" s="1"/>
  <c r="BR6"/>
  <c r="BR54" s="1"/>
  <c r="DN60" i="87"/>
  <c r="DM66"/>
  <c r="GU66"/>
  <c r="GV58"/>
  <c r="BT58" i="90" l="1"/>
  <c r="BS66"/>
  <c r="BR68"/>
  <c r="BR69" s="1"/>
  <c r="BS6"/>
  <c r="BS54" s="1"/>
  <c r="GV66" i="87"/>
  <c r="GW58"/>
  <c r="DO60"/>
  <c r="DN66"/>
  <c r="BU58" i="90" l="1"/>
  <c r="BT66"/>
  <c r="BS68"/>
  <c r="BS69" s="1"/>
  <c r="BT6"/>
  <c r="BT54" s="1"/>
  <c r="DP60" i="87"/>
  <c r="DO66"/>
  <c r="GW66"/>
  <c r="GX58"/>
  <c r="BV58" i="90" l="1"/>
  <c r="BU66"/>
  <c r="BT68"/>
  <c r="BT69" s="1"/>
  <c r="BU6"/>
  <c r="BU54" s="1"/>
  <c r="DQ60" i="87"/>
  <c r="DP66"/>
  <c r="GX66"/>
  <c r="GY58"/>
  <c r="BW58" i="90" l="1"/>
  <c r="BV66"/>
  <c r="BU68"/>
  <c r="BU69" s="1"/>
  <c r="BV6"/>
  <c r="BV54" s="1"/>
  <c r="DR60" i="87"/>
  <c r="DQ66"/>
  <c r="GY66"/>
  <c r="GZ58"/>
  <c r="BX58" i="90" l="1"/>
  <c r="BW66"/>
  <c r="BV68"/>
  <c r="BV69" s="1"/>
  <c r="BW6"/>
  <c r="BW54" s="1"/>
  <c r="DS60" i="87"/>
  <c r="DR66"/>
  <c r="GZ66"/>
  <c r="HA58"/>
  <c r="BY58" i="90" l="1"/>
  <c r="BX66"/>
  <c r="BW68"/>
  <c r="BW69" s="1"/>
  <c r="BX6"/>
  <c r="BX54" s="1"/>
  <c r="DT60" i="87"/>
  <c r="DS66"/>
  <c r="HA66"/>
  <c r="HB58"/>
  <c r="BZ58" i="90" l="1"/>
  <c r="BY66"/>
  <c r="BX68"/>
  <c r="BX69" s="1"/>
  <c r="BY6"/>
  <c r="BY54" s="1"/>
  <c r="DU60" i="87"/>
  <c r="DT66"/>
  <c r="HB66"/>
  <c r="HC58"/>
  <c r="CA58" i="90" l="1"/>
  <c r="BZ66"/>
  <c r="BY68"/>
  <c r="BY69" s="1"/>
  <c r="BZ6"/>
  <c r="BZ54" s="1"/>
  <c r="DV60" i="87"/>
  <c r="DU66"/>
  <c r="HC66"/>
  <c r="HD58"/>
  <c r="CB58" i="90" l="1"/>
  <c r="CA66"/>
  <c r="BZ68"/>
  <c r="BZ69" s="1"/>
  <c r="CA6"/>
  <c r="CA54" s="1"/>
  <c r="DW60" i="87"/>
  <c r="DV66"/>
  <c r="HD66"/>
  <c r="HE58"/>
  <c r="CC58" i="90" l="1"/>
  <c r="CB66"/>
  <c r="CA68"/>
  <c r="CA69" s="1"/>
  <c r="CB6"/>
  <c r="CB54" s="1"/>
  <c r="HE66" i="87"/>
  <c r="HF58"/>
  <c r="DX60"/>
  <c r="DW66"/>
  <c r="CD58" i="90" l="1"/>
  <c r="CC66"/>
  <c r="CB68"/>
  <c r="CB69" s="1"/>
  <c r="CC6"/>
  <c r="CC54" s="1"/>
  <c r="DY60" i="87"/>
  <c r="DX66"/>
  <c r="HF66"/>
  <c r="HG58"/>
  <c r="CE58" i="90" l="1"/>
  <c r="CD66"/>
  <c r="CC68"/>
  <c r="CC69" s="1"/>
  <c r="CD6"/>
  <c r="CD54" s="1"/>
  <c r="DZ60" i="87"/>
  <c r="DY66"/>
  <c r="HG66"/>
  <c r="HH58"/>
  <c r="CF58" i="90" l="1"/>
  <c r="CE66"/>
  <c r="CD68"/>
  <c r="CD69" s="1"/>
  <c r="CE6"/>
  <c r="CE54" s="1"/>
  <c r="EA60" i="87"/>
  <c r="DZ66"/>
  <c r="HH66"/>
  <c r="CG58" i="90" l="1"/>
  <c r="CF66"/>
  <c r="CE68"/>
  <c r="CE69" s="1"/>
  <c r="CF6"/>
  <c r="CF54" s="1"/>
  <c r="HI66" i="87"/>
  <c r="HJ58"/>
  <c r="EA66"/>
  <c r="EB60"/>
  <c r="CH58" i="90" l="1"/>
  <c r="CI58" s="1"/>
  <c r="CG66"/>
  <c r="CF68"/>
  <c r="CF69" s="1"/>
  <c r="CG6"/>
  <c r="CG54" s="1"/>
  <c r="EC60" i="87"/>
  <c r="EB66"/>
  <c r="HJ66"/>
  <c r="HK58"/>
  <c r="CH66" i="90" l="1"/>
  <c r="CG68"/>
  <c r="CG69" s="1"/>
  <c r="CH6"/>
  <c r="ED60" i="87"/>
  <c r="EC66"/>
  <c r="HK66"/>
  <c r="HL58"/>
  <c r="CH54" i="90" l="1"/>
  <c r="CI6" s="1"/>
  <c r="CI54" s="1"/>
  <c r="CI60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DA60" s="1"/>
  <c r="DB60" s="1"/>
  <c r="DC60" s="1"/>
  <c r="DD60" s="1"/>
  <c r="EE60" i="87"/>
  <c r="ED66"/>
  <c r="HL66"/>
  <c r="HM58"/>
  <c r="CH68" i="90" l="1"/>
  <c r="CH69" s="1"/>
  <c r="CI66"/>
  <c r="CK58"/>
  <c r="CJ66"/>
  <c r="CJ6"/>
  <c r="CJ54" s="1"/>
  <c r="EF60" i="87"/>
  <c r="EE66"/>
  <c r="HM66"/>
  <c r="HN58"/>
  <c r="HO58" s="1"/>
  <c r="CI68" i="90" l="1"/>
  <c r="CI69" s="1"/>
  <c r="CL58"/>
  <c r="CK66"/>
  <c r="CJ68"/>
  <c r="CJ69" s="1"/>
  <c r="CK6"/>
  <c r="CK54" s="1"/>
  <c r="HN66" i="87"/>
  <c r="EG60"/>
  <c r="EF66"/>
  <c r="CM58" i="90" l="1"/>
  <c r="CL66"/>
  <c r="CK68"/>
  <c r="CK69" s="1"/>
  <c r="CL6"/>
  <c r="CL54" s="1"/>
  <c r="HO66" i="87"/>
  <c r="HP58"/>
  <c r="EH60"/>
  <c r="EG66"/>
  <c r="CN58" i="90" l="1"/>
  <c r="CM66"/>
  <c r="CL68"/>
  <c r="CL69" s="1"/>
  <c r="CM6"/>
  <c r="CM54" s="1"/>
  <c r="EI60" i="87"/>
  <c r="EI66" s="1"/>
  <c r="EH66"/>
  <c r="HP66"/>
  <c r="HQ58"/>
  <c r="CO58" i="90" l="1"/>
  <c r="CN66"/>
  <c r="CM68"/>
  <c r="CM69" s="1"/>
  <c r="CN6"/>
  <c r="CN54" s="1"/>
  <c r="HQ66" i="87"/>
  <c r="HR58"/>
  <c r="CP58" i="90" l="1"/>
  <c r="CO66"/>
  <c r="CN68"/>
  <c r="CN69" s="1"/>
  <c r="CO6"/>
  <c r="CO54" s="1"/>
  <c r="HR66" i="87"/>
  <c r="HS58"/>
  <c r="CQ58" i="90" l="1"/>
  <c r="CP66"/>
  <c r="CO68"/>
  <c r="CO69" s="1"/>
  <c r="CP6"/>
  <c r="CP54" s="1"/>
  <c r="HS66" i="87"/>
  <c r="HT58"/>
  <c r="CR58" i="90" l="1"/>
  <c r="CQ66"/>
  <c r="CP68"/>
  <c r="CP69" s="1"/>
  <c r="CQ6"/>
  <c r="CQ54" s="1"/>
  <c r="HT66" i="87"/>
  <c r="HU58"/>
  <c r="CS58" i="90" l="1"/>
  <c r="CR66"/>
  <c r="CQ68"/>
  <c r="CQ69" s="1"/>
  <c r="CR6"/>
  <c r="CR54" s="1"/>
  <c r="HU66" i="87"/>
  <c r="HV58"/>
  <c r="HW58" s="1"/>
  <c r="HW66" s="1"/>
  <c r="CT58" i="90" l="1"/>
  <c r="CS66"/>
  <c r="CR68"/>
  <c r="CR69" s="1"/>
  <c r="CS6"/>
  <c r="CS54" s="1"/>
  <c r="HV66" i="87"/>
  <c r="HX58"/>
  <c r="CU58" i="90" l="1"/>
  <c r="CT66"/>
  <c r="CS68"/>
  <c r="CS69" s="1"/>
  <c r="CT6"/>
  <c r="CT54" s="1"/>
  <c r="HX66" i="87"/>
  <c r="HY58"/>
  <c r="CV58" i="90" l="1"/>
  <c r="CU66"/>
  <c r="CT68"/>
  <c r="CT69" s="1"/>
  <c r="CU6"/>
  <c r="CU54" s="1"/>
  <c r="HY66" i="87"/>
  <c r="HZ58"/>
  <c r="CW58" i="90" l="1"/>
  <c r="CV66"/>
  <c r="CU68"/>
  <c r="CU69" s="1"/>
  <c r="CV6"/>
  <c r="CV54" s="1"/>
  <c r="HZ66" i="87"/>
  <c r="IA58"/>
  <c r="IB58" s="1"/>
  <c r="IC58" s="1"/>
  <c r="ID58" s="1"/>
  <c r="IB66" l="1"/>
  <c r="CX58" i="90"/>
  <c r="CW66"/>
  <c r="CV68"/>
  <c r="CV69" s="1"/>
  <c r="CW6"/>
  <c r="CW54" s="1"/>
  <c r="IA66" i="87"/>
  <c r="CY58" i="90" l="1"/>
  <c r="CX66"/>
  <c r="CW68"/>
  <c r="CW69" s="1"/>
  <c r="CX6"/>
  <c r="CX54" s="1"/>
  <c r="IC66" i="87"/>
  <c r="CZ58" i="90" l="1"/>
  <c r="CY66"/>
  <c r="CX68"/>
  <c r="CX69" s="1"/>
  <c r="CY6"/>
  <c r="CY54" s="1"/>
  <c r="ID66" i="87"/>
  <c r="IE58"/>
  <c r="DA58" i="90" l="1"/>
  <c r="CZ66"/>
  <c r="CY68"/>
  <c r="CY69" s="1"/>
  <c r="CZ6"/>
  <c r="CZ54" s="1"/>
  <c r="IE66" i="87"/>
  <c r="IF58"/>
  <c r="DB58" i="90" l="1"/>
  <c r="DA66"/>
  <c r="CZ68"/>
  <c r="CZ69" s="1"/>
  <c r="DA6"/>
  <c r="DA54" s="1"/>
  <c r="IF66" i="87"/>
  <c r="IG58"/>
  <c r="DC58" i="90" l="1"/>
  <c r="DB66"/>
  <c r="DA68"/>
  <c r="DA69" s="1"/>
  <c r="DB6"/>
  <c r="DB54" s="1"/>
  <c r="IG66" i="87"/>
  <c r="IH58"/>
  <c r="DD58" i="90" l="1"/>
  <c r="DC66"/>
  <c r="DB68"/>
  <c r="DB69" s="1"/>
  <c r="DC6"/>
  <c r="DC54" s="1"/>
  <c r="IH66" i="87"/>
  <c r="II58"/>
  <c r="DE58" i="90" l="1"/>
  <c r="DD66"/>
  <c r="DC68"/>
  <c r="DC69" s="1"/>
  <c r="DD6"/>
  <c r="DD54" s="1"/>
  <c r="II66" i="87"/>
  <c r="IJ58"/>
  <c r="DE60" i="90" l="1"/>
  <c r="DF60" s="1"/>
  <c r="DG60" s="1"/>
  <c r="DH60" s="1"/>
  <c r="DI60" s="1"/>
  <c r="DJ60" s="1"/>
  <c r="DK60" s="1"/>
  <c r="DL60" s="1"/>
  <c r="DM60" s="1"/>
  <c r="DN60" s="1"/>
  <c r="DO60" s="1"/>
  <c r="DP60" s="1"/>
  <c r="DQ60" s="1"/>
  <c r="DR60" s="1"/>
  <c r="DS60" s="1"/>
  <c r="DT60" s="1"/>
  <c r="DU60" s="1"/>
  <c r="DV60" s="1"/>
  <c r="DW60" s="1"/>
  <c r="DX60" s="1"/>
  <c r="DY60" s="1"/>
  <c r="DD68"/>
  <c r="DD69" s="1"/>
  <c r="DE6"/>
  <c r="DE54" s="1"/>
  <c r="IJ66" i="87"/>
  <c r="IK58"/>
  <c r="DE66" i="90" l="1"/>
  <c r="DE68" s="1"/>
  <c r="DE69" s="1"/>
  <c r="DG58"/>
  <c r="DF66"/>
  <c r="DF6"/>
  <c r="DF54" s="1"/>
  <c r="IK66" i="87"/>
  <c r="IL58"/>
  <c r="DH58" i="90" l="1"/>
  <c r="DG66"/>
  <c r="DF68"/>
  <c r="DF69" s="1"/>
  <c r="DG6"/>
  <c r="DG54" s="1"/>
  <c r="IL66" i="87"/>
  <c r="IM58"/>
  <c r="DI58" i="90" l="1"/>
  <c r="DH66"/>
  <c r="DG68"/>
  <c r="DG69" s="1"/>
  <c r="DH6"/>
  <c r="DH54" s="1"/>
  <c r="IM66" i="87"/>
  <c r="IN58"/>
  <c r="DJ58" i="90" l="1"/>
  <c r="DI66"/>
  <c r="DH68"/>
  <c r="DH69" s="1"/>
  <c r="DI6"/>
  <c r="DI54" s="1"/>
  <c r="IN66" i="87"/>
  <c r="IO58"/>
  <c r="DK58" i="90" l="1"/>
  <c r="DJ66"/>
  <c r="DI68"/>
  <c r="DI69" s="1"/>
  <c r="DJ6"/>
  <c r="DJ54" s="1"/>
  <c r="IO66" i="87"/>
  <c r="IP58"/>
  <c r="DL58" i="90" l="1"/>
  <c r="DK66"/>
  <c r="DJ68"/>
  <c r="DJ69" s="1"/>
  <c r="DK6"/>
  <c r="DK54" s="1"/>
  <c r="IP66" i="87"/>
  <c r="IQ58"/>
  <c r="DM58" i="90" l="1"/>
  <c r="DL66"/>
  <c r="DK68"/>
  <c r="DK69" s="1"/>
  <c r="DL6"/>
  <c r="DL54" s="1"/>
  <c r="IQ66" i="87"/>
  <c r="IR58"/>
  <c r="DN58" i="90" l="1"/>
  <c r="DM66"/>
  <c r="DL68"/>
  <c r="DL69" s="1"/>
  <c r="DM6"/>
  <c r="DM54" s="1"/>
  <c r="IR66" i="87"/>
  <c r="IS58"/>
  <c r="DO58" i="90" l="1"/>
  <c r="DN66"/>
  <c r="DM68"/>
  <c r="DM69" s="1"/>
  <c r="DN6"/>
  <c r="DN54" s="1"/>
  <c r="IS66" i="87"/>
  <c r="IT58"/>
  <c r="DP58" i="90" l="1"/>
  <c r="DO66"/>
  <c r="DN68"/>
  <c r="DN69" s="1"/>
  <c r="DO6"/>
  <c r="DO54" s="1"/>
  <c r="IT66" i="87"/>
  <c r="IU58"/>
  <c r="DQ58" i="90" l="1"/>
  <c r="DP66"/>
  <c r="DO68"/>
  <c r="DO69" s="1"/>
  <c r="DP6"/>
  <c r="DP54" s="1"/>
  <c r="IU66" i="87"/>
  <c r="DR58" i="90" l="1"/>
  <c r="DQ66"/>
  <c r="DP68"/>
  <c r="DP69" s="1"/>
  <c r="DQ6"/>
  <c r="DQ54" s="1"/>
  <c r="IV66" i="87"/>
  <c r="DS58" i="90" l="1"/>
  <c r="DR66"/>
  <c r="DQ68"/>
  <c r="DQ69" s="1"/>
  <c r="DR6"/>
  <c r="DR54" s="1"/>
  <c r="DT58" l="1"/>
  <c r="DS66"/>
  <c r="DR68"/>
  <c r="DR69" s="1"/>
  <c r="DS6"/>
  <c r="DS54" s="1"/>
  <c r="DU58" l="1"/>
  <c r="DT66"/>
  <c r="DS68"/>
  <c r="DS69" s="1"/>
  <c r="DT6"/>
  <c r="DT54" s="1"/>
  <c r="DV58" l="1"/>
  <c r="DU66"/>
  <c r="DT68"/>
  <c r="DT69" s="1"/>
  <c r="DU6"/>
  <c r="DU54" s="1"/>
  <c r="DW58" l="1"/>
  <c r="DV66"/>
  <c r="DU68"/>
  <c r="DU69" s="1"/>
  <c r="DV6"/>
  <c r="DV54" s="1"/>
  <c r="DX58" l="1"/>
  <c r="DW66"/>
  <c r="DV68"/>
  <c r="DV69" s="1"/>
  <c r="DW6"/>
  <c r="DW54" s="1"/>
  <c r="DY58" l="1"/>
  <c r="DX66"/>
  <c r="DW68"/>
  <c r="DW69" s="1"/>
  <c r="DX6"/>
  <c r="DX54" s="1"/>
  <c r="DZ58" l="1"/>
  <c r="DY66"/>
  <c r="DX68"/>
  <c r="DX69" s="1"/>
  <c r="DY6"/>
  <c r="DY54" s="1"/>
  <c r="DZ60" l="1"/>
  <c r="EA60" s="1"/>
  <c r="EB60" s="1"/>
  <c r="EC60" s="1"/>
  <c r="ED60" s="1"/>
  <c r="EE60" s="1"/>
  <c r="EF60" s="1"/>
  <c r="EG60" s="1"/>
  <c r="EH60" s="1"/>
  <c r="EI60" s="1"/>
  <c r="EJ60" s="1"/>
  <c r="EK60" s="1"/>
  <c r="EL60" s="1"/>
  <c r="EM60" s="1"/>
  <c r="EN60" s="1"/>
  <c r="EO60" s="1"/>
  <c r="EP60" s="1"/>
  <c r="EQ60" s="1"/>
  <c r="ER60" s="1"/>
  <c r="ES60" s="1"/>
  <c r="ET60" s="1"/>
  <c r="EU60" s="1"/>
  <c r="EA58"/>
  <c r="DY68"/>
  <c r="DY69" s="1"/>
  <c r="DZ6"/>
  <c r="DZ54" s="1"/>
  <c r="DZ66" l="1"/>
  <c r="EV60"/>
  <c r="EW60" s="1"/>
  <c r="EX60" s="1"/>
  <c r="EY60" s="1"/>
  <c r="EZ60" s="1"/>
  <c r="FA60" s="1"/>
  <c r="FB60" s="1"/>
  <c r="FC60" s="1"/>
  <c r="FD60" s="1"/>
  <c r="FE60" s="1"/>
  <c r="FF60" s="1"/>
  <c r="FG60" s="1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FZ60" s="1"/>
  <c r="GA60" s="1"/>
  <c r="GB60" s="1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IU60" s="1"/>
  <c r="IV60" s="1"/>
  <c r="IX60" s="1"/>
  <c r="IY60" s="1"/>
  <c r="IZ60" s="1"/>
  <c r="JA60" s="1"/>
  <c r="JB60" s="1"/>
  <c r="JC60" s="1"/>
  <c r="JD60" s="1"/>
  <c r="JE60" s="1"/>
  <c r="JF60" s="1"/>
  <c r="JG60" s="1"/>
  <c r="JH60" s="1"/>
  <c r="EB58"/>
  <c r="EA66"/>
  <c r="DZ68"/>
  <c r="DZ69" s="1"/>
  <c r="EA6"/>
  <c r="EA54" s="1"/>
  <c r="EC58" l="1"/>
  <c r="EB66"/>
  <c r="EA68"/>
  <c r="EA69" s="1"/>
  <c r="EB6"/>
  <c r="EB54" s="1"/>
  <c r="IS56" i="84"/>
  <c r="ED58" i="90" l="1"/>
  <c r="EC66"/>
  <c r="EB68"/>
  <c r="EB69" s="1"/>
  <c r="EC6"/>
  <c r="EC54" s="1"/>
  <c r="M53" i="88"/>
  <c r="M55"/>
  <c r="EE58" i="90" l="1"/>
  <c r="ED66"/>
  <c r="EC68"/>
  <c r="EC69" s="1"/>
  <c r="ED6"/>
  <c r="ED54" s="1"/>
  <c r="EI17" i="86"/>
  <c r="H92"/>
  <c r="D88"/>
  <c r="G87"/>
  <c r="E87"/>
  <c r="G86"/>
  <c r="E86"/>
  <c r="G85"/>
  <c r="E85"/>
  <c r="G84"/>
  <c r="E84"/>
  <c r="G83"/>
  <c r="E83"/>
  <c r="G82"/>
  <c r="E82"/>
  <c r="G81"/>
  <c r="E81"/>
  <c r="G80"/>
  <c r="E80"/>
  <c r="G79"/>
  <c r="E79"/>
  <c r="G78"/>
  <c r="E78"/>
  <c r="G77"/>
  <c r="E77"/>
  <c r="G76"/>
  <c r="H76"/>
  <c r="IN74"/>
  <c r="IJ74"/>
  <c r="IE74"/>
  <c r="HV74"/>
  <c r="HO74"/>
  <c r="HM74"/>
  <c r="HC74"/>
  <c r="GT74"/>
  <c r="FZ74"/>
  <c r="IR74" s="1"/>
  <c r="IN73"/>
  <c r="IJ73"/>
  <c r="IE73"/>
  <c r="HV73"/>
  <c r="HO73"/>
  <c r="HM73"/>
  <c r="HC73"/>
  <c r="IS73"/>
  <c r="GT73"/>
  <c r="FZ73"/>
  <c r="IR73" s="1"/>
  <c r="HF65"/>
  <c r="HG65" s="1"/>
  <c r="HH65" s="1"/>
  <c r="HI65" s="1"/>
  <c r="HJ65" s="1"/>
  <c r="HK65" s="1"/>
  <c r="HL65" s="1"/>
  <c r="HM65" s="1"/>
  <c r="HN65" s="1"/>
  <c r="HO65" s="1"/>
  <c r="HP65" s="1"/>
  <c r="HQ65" s="1"/>
  <c r="HR65" s="1"/>
  <c r="HS65" s="1"/>
  <c r="HT65" s="1"/>
  <c r="HU65" s="1"/>
  <c r="HV65" s="1"/>
  <c r="HW65" s="1"/>
  <c r="HX65" s="1"/>
  <c r="HY65" s="1"/>
  <c r="HZ65" s="1"/>
  <c r="IA65" s="1"/>
  <c r="IB65" s="1"/>
  <c r="IC65" s="1"/>
  <c r="ID65" s="1"/>
  <c r="IE65" s="1"/>
  <c r="IF65" s="1"/>
  <c r="IG65" s="1"/>
  <c r="IH65" s="1"/>
  <c r="II65" s="1"/>
  <c r="IJ65" s="1"/>
  <c r="IK65" s="1"/>
  <c r="IL65" s="1"/>
  <c r="IM65" s="1"/>
  <c r="IN65" s="1"/>
  <c r="IO65" s="1"/>
  <c r="IP65" s="1"/>
  <c r="IQ65" s="1"/>
  <c r="IR65" s="1"/>
  <c r="IS65" s="1"/>
  <c r="IT65" s="1"/>
  <c r="FR65"/>
  <c r="FS65"/>
  <c r="FT65" s="1"/>
  <c r="FU65" s="1"/>
  <c r="FV65" s="1"/>
  <c r="FW65" s="1"/>
  <c r="FX65" s="1"/>
  <c r="FY65" s="1"/>
  <c r="FZ65" s="1"/>
  <c r="GA65" s="1"/>
  <c r="GB65" s="1"/>
  <c r="GC65" s="1"/>
  <c r="GD65" s="1"/>
  <c r="GE65" s="1"/>
  <c r="GF65" s="1"/>
  <c r="GG65" s="1"/>
  <c r="GH65" s="1"/>
  <c r="GI65" s="1"/>
  <c r="GJ65" s="1"/>
  <c r="GK65" s="1"/>
  <c r="GL65" s="1"/>
  <c r="GM65" s="1"/>
  <c r="GN65" s="1"/>
  <c r="GO65" s="1"/>
  <c r="GP65" s="1"/>
  <c r="GQ65" s="1"/>
  <c r="GR65" s="1"/>
  <c r="GS65" s="1"/>
  <c r="GT65" s="1"/>
  <c r="GU65" s="1"/>
  <c r="GV65" s="1"/>
  <c r="GW65" s="1"/>
  <c r="GX65" s="1"/>
  <c r="GY65" s="1"/>
  <c r="GZ65" s="1"/>
  <c r="HA65" s="1"/>
  <c r="HB65" s="1"/>
  <c r="HC65" s="1"/>
  <c r="HD65" s="1"/>
  <c r="EA65"/>
  <c r="EB65" s="1"/>
  <c r="EC65" s="1"/>
  <c r="ED65" s="1"/>
  <c r="EE65" s="1"/>
  <c r="EF65" s="1"/>
  <c r="EG65" s="1"/>
  <c r="EH65" s="1"/>
  <c r="EI65" s="1"/>
  <c r="EJ65" s="1"/>
  <c r="EK65" s="1"/>
  <c r="EL65" s="1"/>
  <c r="EM65" s="1"/>
  <c r="EN65" s="1"/>
  <c r="EO65" s="1"/>
  <c r="EP65" s="1"/>
  <c r="EQ65" s="1"/>
  <c r="ER65" s="1"/>
  <c r="ES65" s="1"/>
  <c r="ET65" s="1"/>
  <c r="EU65" s="1"/>
  <c r="EV65" s="1"/>
  <c r="EW65" s="1"/>
  <c r="EX65" s="1"/>
  <c r="EY65" s="1"/>
  <c r="EZ65" s="1"/>
  <c r="FA65" s="1"/>
  <c r="FB65" s="1"/>
  <c r="FC65" s="1"/>
  <c r="FD65" s="1"/>
  <c r="FE65" s="1"/>
  <c r="FF65" s="1"/>
  <c r="FG65" s="1"/>
  <c r="FH65" s="1"/>
  <c r="FI65" s="1"/>
  <c r="FJ65" s="1"/>
  <c r="FK65" s="1"/>
  <c r="FL65" s="1"/>
  <c r="FM65" s="1"/>
  <c r="FN65" s="1"/>
  <c r="FO65" s="1"/>
  <c r="FP65" s="1"/>
  <c r="DF65"/>
  <c r="DG65" s="1"/>
  <c r="DH65" s="1"/>
  <c r="DI65" s="1"/>
  <c r="DJ65" s="1"/>
  <c r="DK65" s="1"/>
  <c r="DL65" s="1"/>
  <c r="DM65" s="1"/>
  <c r="DN65" s="1"/>
  <c r="DO65" s="1"/>
  <c r="DP65" s="1"/>
  <c r="DQ65" s="1"/>
  <c r="DR65" s="1"/>
  <c r="DS65" s="1"/>
  <c r="DT65" s="1"/>
  <c r="DU65" s="1"/>
  <c r="DV65" s="1"/>
  <c r="DW65" s="1"/>
  <c r="DX65" s="1"/>
  <c r="DY65" s="1"/>
  <c r="CJ65"/>
  <c r="CK65" s="1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CZ65"/>
  <c r="DA65" s="1"/>
  <c r="DB65" s="1"/>
  <c r="DC65" s="1"/>
  <c r="DD65" s="1"/>
  <c r="AT65"/>
  <c r="AU65"/>
  <c r="AV65" s="1"/>
  <c r="AW65" s="1"/>
  <c r="AX65" s="1"/>
  <c r="AY65" s="1"/>
  <c r="AZ65" s="1"/>
  <c r="BA65" s="1"/>
  <c r="BB65" s="1"/>
  <c r="BC65" s="1"/>
  <c r="BD65" s="1"/>
  <c r="BE65" s="1"/>
  <c r="BF65" s="1"/>
  <c r="BG65" s="1"/>
  <c r="BH65" s="1"/>
  <c r="BI65" s="1"/>
  <c r="BJ65" s="1"/>
  <c r="BK65" s="1"/>
  <c r="BL65" s="1"/>
  <c r="BM65" s="1"/>
  <c r="BN65" s="1"/>
  <c r="BO65" s="1"/>
  <c r="BP65" s="1"/>
  <c r="BQ65" s="1"/>
  <c r="BR65" s="1"/>
  <c r="BS65" s="1"/>
  <c r="BT65" s="1"/>
  <c r="BU65" s="1"/>
  <c r="BV65" s="1"/>
  <c r="BW65" s="1"/>
  <c r="BX65" s="1"/>
  <c r="BY65" s="1"/>
  <c r="BZ65" s="1"/>
  <c r="CA65" s="1"/>
  <c r="CB65" s="1"/>
  <c r="CC65" s="1"/>
  <c r="CD65" s="1"/>
  <c r="CE65" s="1"/>
  <c r="CF65" s="1"/>
  <c r="CG65" s="1"/>
  <c r="CH65" s="1"/>
  <c r="C65"/>
  <c r="D65" s="1"/>
  <c r="E65" s="1"/>
  <c r="F65" s="1"/>
  <c r="G65" s="1"/>
  <c r="H65" s="1"/>
  <c r="I65" s="1"/>
  <c r="J65" s="1"/>
  <c r="K65" s="1"/>
  <c r="L65" s="1"/>
  <c r="M65" s="1"/>
  <c r="N65" s="1"/>
  <c r="O65" s="1"/>
  <c r="P65" s="1"/>
  <c r="Q65" s="1"/>
  <c r="R65" s="1"/>
  <c r="S65" s="1"/>
  <c r="T65" s="1"/>
  <c r="U65" s="1"/>
  <c r="V65" s="1"/>
  <c r="W65" s="1"/>
  <c r="X65" s="1"/>
  <c r="Y65" s="1"/>
  <c r="Z65" s="1"/>
  <c r="AA65" s="1"/>
  <c r="AB65" s="1"/>
  <c r="AC65" s="1"/>
  <c r="AD65" s="1"/>
  <c r="AE65" s="1"/>
  <c r="AF65" s="1"/>
  <c r="AG65" s="1"/>
  <c r="AH65" s="1"/>
  <c r="AI65" s="1"/>
  <c r="AJ65" s="1"/>
  <c r="AK65" s="1"/>
  <c r="AL65" s="1"/>
  <c r="AM65" s="1"/>
  <c r="AN65" s="1"/>
  <c r="AO65" s="1"/>
  <c r="AP65" s="1"/>
  <c r="AQ65" s="1"/>
  <c r="AR65" s="1"/>
  <c r="HF64"/>
  <c r="HG64" s="1"/>
  <c r="HH64"/>
  <c r="HI64" s="1"/>
  <c r="HJ64" s="1"/>
  <c r="HK64" s="1"/>
  <c r="HL64" s="1"/>
  <c r="HM64" s="1"/>
  <c r="HN64" s="1"/>
  <c r="HO64" s="1"/>
  <c r="HP64" s="1"/>
  <c r="HQ64" s="1"/>
  <c r="HR64" s="1"/>
  <c r="HS64" s="1"/>
  <c r="HT64" s="1"/>
  <c r="HU64" s="1"/>
  <c r="HV64" s="1"/>
  <c r="HW64" s="1"/>
  <c r="HX64" s="1"/>
  <c r="HY64" s="1"/>
  <c r="HZ64" s="1"/>
  <c r="IA64" s="1"/>
  <c r="IB64" s="1"/>
  <c r="IC64" s="1"/>
  <c r="ID64" s="1"/>
  <c r="IE64" s="1"/>
  <c r="IF64" s="1"/>
  <c r="IG64" s="1"/>
  <c r="IH64" s="1"/>
  <c r="II64" s="1"/>
  <c r="IJ64" s="1"/>
  <c r="IK64" s="1"/>
  <c r="IL64" s="1"/>
  <c r="IM64" s="1"/>
  <c r="IN64" s="1"/>
  <c r="IO64" s="1"/>
  <c r="IP64" s="1"/>
  <c r="IQ64" s="1"/>
  <c r="IR64" s="1"/>
  <c r="IS64" s="1"/>
  <c r="IT64" s="1"/>
  <c r="IU64" s="1"/>
  <c r="EA64"/>
  <c r="EB64" s="1"/>
  <c r="EC64" s="1"/>
  <c r="ED64" s="1"/>
  <c r="EE64" s="1"/>
  <c r="EF64" s="1"/>
  <c r="EG64" s="1"/>
  <c r="EH64" s="1"/>
  <c r="EI64" s="1"/>
  <c r="EJ64" s="1"/>
  <c r="EK64" s="1"/>
  <c r="EL64" s="1"/>
  <c r="EM64" s="1"/>
  <c r="EN64" s="1"/>
  <c r="EO64" s="1"/>
  <c r="EP64" s="1"/>
  <c r="EQ64" s="1"/>
  <c r="ER64" s="1"/>
  <c r="ES64" s="1"/>
  <c r="ET64" s="1"/>
  <c r="EU64" s="1"/>
  <c r="EV64" s="1"/>
  <c r="EW64" s="1"/>
  <c r="EX64" s="1"/>
  <c r="EY64" s="1"/>
  <c r="EZ64" s="1"/>
  <c r="FA64" s="1"/>
  <c r="FB64" s="1"/>
  <c r="FC64" s="1"/>
  <c r="FD64" s="1"/>
  <c r="FE64" s="1"/>
  <c r="FF64" s="1"/>
  <c r="FG64" s="1"/>
  <c r="FH64" s="1"/>
  <c r="FI64" s="1"/>
  <c r="FJ64" s="1"/>
  <c r="FK64" s="1"/>
  <c r="FL64" s="1"/>
  <c r="FM64" s="1"/>
  <c r="FN64" s="1"/>
  <c r="FO64" s="1"/>
  <c r="FP64" s="1"/>
  <c r="FQ64" s="1"/>
  <c r="FR64" s="1"/>
  <c r="FS64" s="1"/>
  <c r="FT64" s="1"/>
  <c r="FU64" s="1"/>
  <c r="FV64" s="1"/>
  <c r="FW64" s="1"/>
  <c r="FX64" s="1"/>
  <c r="FY64" s="1"/>
  <c r="FZ64" s="1"/>
  <c r="GA64" s="1"/>
  <c r="GB64" s="1"/>
  <c r="GC64" s="1"/>
  <c r="GD64" s="1"/>
  <c r="GE64" s="1"/>
  <c r="GF64" s="1"/>
  <c r="GG64" s="1"/>
  <c r="GH64" s="1"/>
  <c r="GI64" s="1"/>
  <c r="GJ64" s="1"/>
  <c r="GK64" s="1"/>
  <c r="GL64" s="1"/>
  <c r="GM64" s="1"/>
  <c r="GN64" s="1"/>
  <c r="GO64" s="1"/>
  <c r="GP64" s="1"/>
  <c r="GQ64" s="1"/>
  <c r="GR64" s="1"/>
  <c r="GS64" s="1"/>
  <c r="GT64" s="1"/>
  <c r="GU64" s="1"/>
  <c r="GV64" s="1"/>
  <c r="GW64" s="1"/>
  <c r="GX64" s="1"/>
  <c r="GY64" s="1"/>
  <c r="GZ64" s="1"/>
  <c r="HA64" s="1"/>
  <c r="HB64" s="1"/>
  <c r="HC64" s="1"/>
  <c r="HD64" s="1"/>
  <c r="DF64"/>
  <c r="DG64" s="1"/>
  <c r="DH64"/>
  <c r="DI64" s="1"/>
  <c r="DJ64" s="1"/>
  <c r="DK64" s="1"/>
  <c r="DL64" s="1"/>
  <c r="DM64" s="1"/>
  <c r="DN64" s="1"/>
  <c r="DO64" s="1"/>
  <c r="DP64" s="1"/>
  <c r="DQ64" s="1"/>
  <c r="DR64" s="1"/>
  <c r="DS64" s="1"/>
  <c r="DT64" s="1"/>
  <c r="DU64" s="1"/>
  <c r="DV64" s="1"/>
  <c r="DW64" s="1"/>
  <c r="DX64" s="1"/>
  <c r="DY64" s="1"/>
  <c r="CJ64"/>
  <c r="CK64" s="1"/>
  <c r="CL64"/>
  <c r="CM64" s="1"/>
  <c r="CN64" s="1"/>
  <c r="CO64" s="1"/>
  <c r="CP64" s="1"/>
  <c r="CQ64" s="1"/>
  <c r="CR64" s="1"/>
  <c r="CS64" s="1"/>
  <c r="CT64" s="1"/>
  <c r="CU64" s="1"/>
  <c r="CV64" s="1"/>
  <c r="CW64" s="1"/>
  <c r="CX64" s="1"/>
  <c r="CY64" s="1"/>
  <c r="CZ64" s="1"/>
  <c r="DA64" s="1"/>
  <c r="DB64" s="1"/>
  <c r="DC64" s="1"/>
  <c r="DD64" s="1"/>
  <c r="BP64"/>
  <c r="BQ64" s="1"/>
  <c r="BR64" s="1"/>
  <c r="BS64" s="1"/>
  <c r="BT64" s="1"/>
  <c r="BU64" s="1"/>
  <c r="BV64" s="1"/>
  <c r="BW64" s="1"/>
  <c r="BX64" s="1"/>
  <c r="BY64" s="1"/>
  <c r="BZ64" s="1"/>
  <c r="CA64" s="1"/>
  <c r="CB64" s="1"/>
  <c r="CC64" s="1"/>
  <c r="CD64" s="1"/>
  <c r="CE64" s="1"/>
  <c r="CF64" s="1"/>
  <c r="CG64" s="1"/>
  <c r="CH64" s="1"/>
  <c r="AT64"/>
  <c r="AU64" s="1"/>
  <c r="AV64" s="1"/>
  <c r="AW64" s="1"/>
  <c r="AX64" s="1"/>
  <c r="AY64" s="1"/>
  <c r="AZ64" s="1"/>
  <c r="BA64" s="1"/>
  <c r="BB64" s="1"/>
  <c r="BC64" s="1"/>
  <c r="BD64" s="1"/>
  <c r="BE64" s="1"/>
  <c r="BF64" s="1"/>
  <c r="BG64" s="1"/>
  <c r="BH64" s="1"/>
  <c r="BI64" s="1"/>
  <c r="BJ64" s="1"/>
  <c r="BK64" s="1"/>
  <c r="BL64" s="1"/>
  <c r="BM64" s="1"/>
  <c r="BN64" s="1"/>
  <c r="C64"/>
  <c r="D64" s="1"/>
  <c r="E64" s="1"/>
  <c r="F64" s="1"/>
  <c r="G64" s="1"/>
  <c r="H64" s="1"/>
  <c r="I64" s="1"/>
  <c r="J64" s="1"/>
  <c r="K64" s="1"/>
  <c r="L64" s="1"/>
  <c r="M64" s="1"/>
  <c r="N64" s="1"/>
  <c r="O64" s="1"/>
  <c r="P64" s="1"/>
  <c r="Q64" s="1"/>
  <c r="R64" s="1"/>
  <c r="S64" s="1"/>
  <c r="T64" s="1"/>
  <c r="U64" s="1"/>
  <c r="V64" s="1"/>
  <c r="W64" s="1"/>
  <c r="X64" s="1"/>
  <c r="Y64" s="1"/>
  <c r="Z64" s="1"/>
  <c r="AA64" s="1"/>
  <c r="AB64" s="1"/>
  <c r="AC64" s="1"/>
  <c r="AD64" s="1"/>
  <c r="AE64" s="1"/>
  <c r="AF64" s="1"/>
  <c r="AG64" s="1"/>
  <c r="AH64" s="1"/>
  <c r="AI64" s="1"/>
  <c r="AJ64" s="1"/>
  <c r="AK64" s="1"/>
  <c r="AL64" s="1"/>
  <c r="AM64" s="1"/>
  <c r="AN64" s="1"/>
  <c r="AO64" s="1"/>
  <c r="AP64" s="1"/>
  <c r="AQ64" s="1"/>
  <c r="AR64" s="1"/>
  <c r="HF63"/>
  <c r="HG63" s="1"/>
  <c r="HH63" s="1"/>
  <c r="HI63" s="1"/>
  <c r="HJ63" s="1"/>
  <c r="HK63" s="1"/>
  <c r="HL63" s="1"/>
  <c r="HM63" s="1"/>
  <c r="HN63" s="1"/>
  <c r="HO63" s="1"/>
  <c r="HP63" s="1"/>
  <c r="HQ63" s="1"/>
  <c r="HR63" s="1"/>
  <c r="HS63" s="1"/>
  <c r="HT63" s="1"/>
  <c r="HU63" s="1"/>
  <c r="HV63" s="1"/>
  <c r="HW63" s="1"/>
  <c r="HX63" s="1"/>
  <c r="HY63" s="1"/>
  <c r="HZ63" s="1"/>
  <c r="IA63" s="1"/>
  <c r="IB63" s="1"/>
  <c r="IC63" s="1"/>
  <c r="ID63" s="1"/>
  <c r="IE63" s="1"/>
  <c r="IF63" s="1"/>
  <c r="IG63" s="1"/>
  <c r="IH63" s="1"/>
  <c r="II63" s="1"/>
  <c r="IJ63" s="1"/>
  <c r="IK63" s="1"/>
  <c r="IL63" s="1"/>
  <c r="IM63" s="1"/>
  <c r="IN63" s="1"/>
  <c r="IO63" s="1"/>
  <c r="IP63" s="1"/>
  <c r="IQ63" s="1"/>
  <c r="IR63" s="1"/>
  <c r="IS63" s="1"/>
  <c r="IT63" s="1"/>
  <c r="EA63"/>
  <c r="EB63"/>
  <c r="EC63" s="1"/>
  <c r="ED63" s="1"/>
  <c r="EE63" s="1"/>
  <c r="EF63" s="1"/>
  <c r="EG63" s="1"/>
  <c r="EH63" s="1"/>
  <c r="EI63" s="1"/>
  <c r="EJ63" s="1"/>
  <c r="EK63" s="1"/>
  <c r="EL63" s="1"/>
  <c r="EM63" s="1"/>
  <c r="EN63" s="1"/>
  <c r="EO63" s="1"/>
  <c r="EP63" s="1"/>
  <c r="EQ63" s="1"/>
  <c r="ER63" s="1"/>
  <c r="ES63" s="1"/>
  <c r="ET63" s="1"/>
  <c r="EU63" s="1"/>
  <c r="EV63" s="1"/>
  <c r="EW63" s="1"/>
  <c r="EX63" s="1"/>
  <c r="EY63" s="1"/>
  <c r="EZ63" s="1"/>
  <c r="FA63" s="1"/>
  <c r="FB63" s="1"/>
  <c r="FC63" s="1"/>
  <c r="FD63" s="1"/>
  <c r="FE63" s="1"/>
  <c r="FF63" s="1"/>
  <c r="FG63" s="1"/>
  <c r="FH63" s="1"/>
  <c r="FI63" s="1"/>
  <c r="FJ63" s="1"/>
  <c r="FK63" s="1"/>
  <c r="FL63" s="1"/>
  <c r="FM63" s="1"/>
  <c r="FN63" s="1"/>
  <c r="FO63" s="1"/>
  <c r="FP63" s="1"/>
  <c r="FQ63" s="1"/>
  <c r="FR63" s="1"/>
  <c r="FS63" s="1"/>
  <c r="FT63" s="1"/>
  <c r="FU63" s="1"/>
  <c r="FV63" s="1"/>
  <c r="FW63" s="1"/>
  <c r="FX63" s="1"/>
  <c r="FY63" s="1"/>
  <c r="FZ63" s="1"/>
  <c r="GA63" s="1"/>
  <c r="GB63" s="1"/>
  <c r="GC63" s="1"/>
  <c r="GD63" s="1"/>
  <c r="GE63" s="1"/>
  <c r="GF63" s="1"/>
  <c r="GG63" s="1"/>
  <c r="GH63" s="1"/>
  <c r="GI63" s="1"/>
  <c r="GJ63" s="1"/>
  <c r="GK63" s="1"/>
  <c r="GL63" s="1"/>
  <c r="GM63" s="1"/>
  <c r="GN63" s="1"/>
  <c r="GO63" s="1"/>
  <c r="GP63" s="1"/>
  <c r="GQ63" s="1"/>
  <c r="GR63" s="1"/>
  <c r="GS63" s="1"/>
  <c r="GT63" s="1"/>
  <c r="GU63" s="1"/>
  <c r="GV63" s="1"/>
  <c r="GW63" s="1"/>
  <c r="GX63" s="1"/>
  <c r="GY63" s="1"/>
  <c r="GZ63" s="1"/>
  <c r="HA63" s="1"/>
  <c r="HB63" s="1"/>
  <c r="HC63" s="1"/>
  <c r="HD63" s="1"/>
  <c r="DF63"/>
  <c r="DG63"/>
  <c r="DH63" s="1"/>
  <c r="DI63" s="1"/>
  <c r="DJ63" s="1"/>
  <c r="DK63" s="1"/>
  <c r="DL63" s="1"/>
  <c r="DM63" s="1"/>
  <c r="DN63" s="1"/>
  <c r="DO63" s="1"/>
  <c r="DP63" s="1"/>
  <c r="DQ63" s="1"/>
  <c r="DR63" s="1"/>
  <c r="DS63" s="1"/>
  <c r="DT63" s="1"/>
  <c r="DU63" s="1"/>
  <c r="DV63" s="1"/>
  <c r="DW63" s="1"/>
  <c r="DX63" s="1"/>
  <c r="DY63" s="1"/>
  <c r="CJ63"/>
  <c r="CK63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DA63" s="1"/>
  <c r="DB63" s="1"/>
  <c r="DC63" s="1"/>
  <c r="DD63" s="1"/>
  <c r="C63"/>
  <c r="D63" s="1"/>
  <c r="E63" s="1"/>
  <c r="F63" s="1"/>
  <c r="G63" s="1"/>
  <c r="H63" s="1"/>
  <c r="I63" s="1"/>
  <c r="J63" s="1"/>
  <c r="K63" s="1"/>
  <c r="L63" s="1"/>
  <c r="M63" s="1"/>
  <c r="N63" s="1"/>
  <c r="O63" s="1"/>
  <c r="P63" s="1"/>
  <c r="Q63" s="1"/>
  <c r="R63" s="1"/>
  <c r="S63" s="1"/>
  <c r="T63" s="1"/>
  <c r="U63" s="1"/>
  <c r="V63" s="1"/>
  <c r="W63" s="1"/>
  <c r="X63" s="1"/>
  <c r="Y63" s="1"/>
  <c r="Z63" s="1"/>
  <c r="AA63" s="1"/>
  <c r="AB63" s="1"/>
  <c r="AC63" s="1"/>
  <c r="AD63" s="1"/>
  <c r="AE63" s="1"/>
  <c r="AF63" s="1"/>
  <c r="AG63" s="1"/>
  <c r="AH63" s="1"/>
  <c r="AI63" s="1"/>
  <c r="AJ63" s="1"/>
  <c r="AK63" s="1"/>
  <c r="AL63" s="1"/>
  <c r="AM63" s="1"/>
  <c r="AN63" s="1"/>
  <c r="AO63" s="1"/>
  <c r="AP63" s="1"/>
  <c r="AQ63" s="1"/>
  <c r="AR63" s="1"/>
  <c r="AS63" s="1"/>
  <c r="AT63" s="1"/>
  <c r="AU63" s="1"/>
  <c r="AV63" s="1"/>
  <c r="AW63" s="1"/>
  <c r="AX63" s="1"/>
  <c r="AY63" s="1"/>
  <c r="AZ63" s="1"/>
  <c r="BA63" s="1"/>
  <c r="BB63" s="1"/>
  <c r="BC63" s="1"/>
  <c r="BD63" s="1"/>
  <c r="BE63" s="1"/>
  <c r="BF63" s="1"/>
  <c r="BG63" s="1"/>
  <c r="BH63" s="1"/>
  <c r="BI63" s="1"/>
  <c r="BJ63" s="1"/>
  <c r="BK63" s="1"/>
  <c r="BL63" s="1"/>
  <c r="BM63" s="1"/>
  <c r="BN63" s="1"/>
  <c r="BO63" s="1"/>
  <c r="BP63" s="1"/>
  <c r="BQ63" s="1"/>
  <c r="BR63" s="1"/>
  <c r="BS63" s="1"/>
  <c r="BT63" s="1"/>
  <c r="BU63" s="1"/>
  <c r="BV63" s="1"/>
  <c r="BW63" s="1"/>
  <c r="BX63" s="1"/>
  <c r="BY63" s="1"/>
  <c r="BZ63" s="1"/>
  <c r="CA63" s="1"/>
  <c r="CB63" s="1"/>
  <c r="CC63" s="1"/>
  <c r="CD63" s="1"/>
  <c r="CE63" s="1"/>
  <c r="CF63" s="1"/>
  <c r="CG63" s="1"/>
  <c r="CH63" s="1"/>
  <c r="HF62"/>
  <c r="HG62" s="1"/>
  <c r="HH62" s="1"/>
  <c r="HI62" s="1"/>
  <c r="HJ62" s="1"/>
  <c r="HK62" s="1"/>
  <c r="HL62" s="1"/>
  <c r="HM62" s="1"/>
  <c r="HN62" s="1"/>
  <c r="HO62" s="1"/>
  <c r="HP62" s="1"/>
  <c r="HQ62" s="1"/>
  <c r="HR62" s="1"/>
  <c r="HS62" s="1"/>
  <c r="HT62" s="1"/>
  <c r="HU62" s="1"/>
  <c r="HV62" s="1"/>
  <c r="HW62" s="1"/>
  <c r="HX62" s="1"/>
  <c r="HY62" s="1"/>
  <c r="HZ62" s="1"/>
  <c r="IA62" s="1"/>
  <c r="IB62" s="1"/>
  <c r="IC62" s="1"/>
  <c r="ID62" s="1"/>
  <c r="IE62" s="1"/>
  <c r="IF62" s="1"/>
  <c r="IG62" s="1"/>
  <c r="IH62" s="1"/>
  <c r="II62" s="1"/>
  <c r="IJ62" s="1"/>
  <c r="IK62" s="1"/>
  <c r="IL62" s="1"/>
  <c r="IM62" s="1"/>
  <c r="IN62" s="1"/>
  <c r="IO62" s="1"/>
  <c r="IP62" s="1"/>
  <c r="IQ62" s="1"/>
  <c r="IR62" s="1"/>
  <c r="IS62" s="1"/>
  <c r="IT62" s="1"/>
  <c r="EA62"/>
  <c r="EB62"/>
  <c r="EC62" s="1"/>
  <c r="ED62" s="1"/>
  <c r="EE62" s="1"/>
  <c r="EF62" s="1"/>
  <c r="EG62" s="1"/>
  <c r="EH62" s="1"/>
  <c r="EI62" s="1"/>
  <c r="EJ62" s="1"/>
  <c r="EK62" s="1"/>
  <c r="EL62" s="1"/>
  <c r="EM62" s="1"/>
  <c r="EN62" s="1"/>
  <c r="EO62" s="1"/>
  <c r="EP62" s="1"/>
  <c r="EQ62" s="1"/>
  <c r="ER62" s="1"/>
  <c r="ES62" s="1"/>
  <c r="ET62" s="1"/>
  <c r="EU62" s="1"/>
  <c r="EV62" s="1"/>
  <c r="EW62" s="1"/>
  <c r="EX62" s="1"/>
  <c r="EY62" s="1"/>
  <c r="EZ62" s="1"/>
  <c r="FA62" s="1"/>
  <c r="FB62" s="1"/>
  <c r="FC62" s="1"/>
  <c r="FD62" s="1"/>
  <c r="FE62" s="1"/>
  <c r="FF62" s="1"/>
  <c r="FG62" s="1"/>
  <c r="FH62" s="1"/>
  <c r="FI62" s="1"/>
  <c r="FJ62" s="1"/>
  <c r="FK62" s="1"/>
  <c r="FL62" s="1"/>
  <c r="FM62" s="1"/>
  <c r="FN62" s="1"/>
  <c r="FO62" s="1"/>
  <c r="FP62" s="1"/>
  <c r="FQ62" s="1"/>
  <c r="FR62" s="1"/>
  <c r="FS62" s="1"/>
  <c r="FT62" s="1"/>
  <c r="FU62" s="1"/>
  <c r="FV62" s="1"/>
  <c r="FW62" s="1"/>
  <c r="FX62" s="1"/>
  <c r="FY62" s="1"/>
  <c r="FZ62" s="1"/>
  <c r="GA62" s="1"/>
  <c r="GB62" s="1"/>
  <c r="GC62" s="1"/>
  <c r="GD62" s="1"/>
  <c r="GE62" s="1"/>
  <c r="GF62" s="1"/>
  <c r="GG62" s="1"/>
  <c r="GH62" s="1"/>
  <c r="GI62" s="1"/>
  <c r="GJ62" s="1"/>
  <c r="GK62" s="1"/>
  <c r="GL62" s="1"/>
  <c r="GM62" s="1"/>
  <c r="GN62" s="1"/>
  <c r="GO62" s="1"/>
  <c r="GP62" s="1"/>
  <c r="GQ62" s="1"/>
  <c r="GR62" s="1"/>
  <c r="GS62" s="1"/>
  <c r="GT62" s="1"/>
  <c r="GU62" s="1"/>
  <c r="GV62" s="1"/>
  <c r="GW62" s="1"/>
  <c r="GX62" s="1"/>
  <c r="GY62" s="1"/>
  <c r="GZ62" s="1"/>
  <c r="HA62" s="1"/>
  <c r="HB62" s="1"/>
  <c r="HC62" s="1"/>
  <c r="HD62" s="1"/>
  <c r="DF62"/>
  <c r="DG62"/>
  <c r="DH62" s="1"/>
  <c r="DI62" s="1"/>
  <c r="DJ62" s="1"/>
  <c r="DK62"/>
  <c r="DL62" s="1"/>
  <c r="DM62" s="1"/>
  <c r="DN62" s="1"/>
  <c r="DO62" s="1"/>
  <c r="DP62" s="1"/>
  <c r="DQ62" s="1"/>
  <c r="DR62" s="1"/>
  <c r="DS62" s="1"/>
  <c r="DT62" s="1"/>
  <c r="DU62" s="1"/>
  <c r="DV62" s="1"/>
  <c r="DW62" s="1"/>
  <c r="DX62" s="1"/>
  <c r="DY62" s="1"/>
  <c r="CJ62"/>
  <c r="CK62"/>
  <c r="CL62" s="1"/>
  <c r="CM62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DA62" s="1"/>
  <c r="DB62" s="1"/>
  <c r="DC62" s="1"/>
  <c r="DD62" s="1"/>
  <c r="BP62"/>
  <c r="BQ62" s="1"/>
  <c r="BR62" s="1"/>
  <c r="BS62" s="1"/>
  <c r="BT62" s="1"/>
  <c r="BU62" s="1"/>
  <c r="BV62" s="1"/>
  <c r="BW62" s="1"/>
  <c r="BX62" s="1"/>
  <c r="BY62" s="1"/>
  <c r="BZ62" s="1"/>
  <c r="CA62" s="1"/>
  <c r="CB62" s="1"/>
  <c r="CC62" s="1"/>
  <c r="CD62" s="1"/>
  <c r="CE62" s="1"/>
  <c r="CF62" s="1"/>
  <c r="CG62" s="1"/>
  <c r="CH62" s="1"/>
  <c r="BL62"/>
  <c r="BM62"/>
  <c r="BN62" s="1"/>
  <c r="AT62"/>
  <c r="AU62" s="1"/>
  <c r="AV62"/>
  <c r="AW62" s="1"/>
  <c r="AX62" s="1"/>
  <c r="AY62" s="1"/>
  <c r="AZ62"/>
  <c r="BA62" s="1"/>
  <c r="BB62" s="1"/>
  <c r="BC62" s="1"/>
  <c r="BD62" s="1"/>
  <c r="BE62" s="1"/>
  <c r="BF62" s="1"/>
  <c r="BG62" s="1"/>
  <c r="BH62" s="1"/>
  <c r="BI62" s="1"/>
  <c r="BJ62" s="1"/>
  <c r="C62"/>
  <c r="D62"/>
  <c r="E62" s="1"/>
  <c r="F62"/>
  <c r="G62" s="1"/>
  <c r="H62" s="1"/>
  <c r="I62" s="1"/>
  <c r="J62"/>
  <c r="K62" s="1"/>
  <c r="L62" s="1"/>
  <c r="M62" s="1"/>
  <c r="N62" s="1"/>
  <c r="O62" s="1"/>
  <c r="P62" s="1"/>
  <c r="Q62" s="1"/>
  <c r="R62" s="1"/>
  <c r="S62" s="1"/>
  <c r="T62" s="1"/>
  <c r="U62" s="1"/>
  <c r="V62" s="1"/>
  <c r="W62" s="1"/>
  <c r="X62" s="1"/>
  <c r="Y62" s="1"/>
  <c r="Z62" s="1"/>
  <c r="AA62" s="1"/>
  <c r="AB62" s="1"/>
  <c r="HF61"/>
  <c r="HG61" s="1"/>
  <c r="HH61"/>
  <c r="HI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HW61" s="1"/>
  <c r="HX61" s="1"/>
  <c r="HY61" s="1"/>
  <c r="HZ61" s="1"/>
  <c r="IA61" s="1"/>
  <c r="IB61" s="1"/>
  <c r="IC61" s="1"/>
  <c r="ID61" s="1"/>
  <c r="IE61" s="1"/>
  <c r="IF61" s="1"/>
  <c r="IG61" s="1"/>
  <c r="IH61" s="1"/>
  <c r="II61" s="1"/>
  <c r="IJ61" s="1"/>
  <c r="IK61" s="1"/>
  <c r="IL61" s="1"/>
  <c r="IM61" s="1"/>
  <c r="IN61" s="1"/>
  <c r="IO61" s="1"/>
  <c r="IP61" s="1"/>
  <c r="IQ61" s="1"/>
  <c r="IR61" s="1"/>
  <c r="IS61" s="1"/>
  <c r="IT61" s="1"/>
  <c r="EA61"/>
  <c r="EB61"/>
  <c r="EC61" s="1"/>
  <c r="ED6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FN61" s="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L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DF61"/>
  <c r="DG61"/>
  <c r="DH61" s="1"/>
  <c r="DI6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CJ6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BP61"/>
  <c r="BQ61" s="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AT61"/>
  <c r="AU61"/>
  <c r="AV61" s="1"/>
  <c r="AW6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C61"/>
  <c r="D61" s="1"/>
  <c r="E61"/>
  <c r="F61" s="1"/>
  <c r="G61" s="1"/>
  <c r="H61" s="1"/>
  <c r="I61" s="1"/>
  <c r="J61" s="1"/>
  <c r="K61" s="1"/>
  <c r="L61" s="1"/>
  <c r="M61" s="1"/>
  <c r="N61" s="1"/>
  <c r="O61" s="1"/>
  <c r="P61" s="1"/>
  <c r="Q61" s="1"/>
  <c r="R61" s="1"/>
  <c r="S61" s="1"/>
  <c r="T61" s="1"/>
  <c r="U61" s="1"/>
  <c r="V61" s="1"/>
  <c r="W61" s="1"/>
  <c r="X61" s="1"/>
  <c r="Y61" s="1"/>
  <c r="Z61" s="1"/>
  <c r="AA61" s="1"/>
  <c r="AB61" s="1"/>
  <c r="AC61" s="1"/>
  <c r="AD61" s="1"/>
  <c r="AE61" s="1"/>
  <c r="AF61" s="1"/>
  <c r="AG61" s="1"/>
  <c r="AH61" s="1"/>
  <c r="AI61" s="1"/>
  <c r="AJ61" s="1"/>
  <c r="AK61" s="1"/>
  <c r="AL61" s="1"/>
  <c r="AM61" s="1"/>
  <c r="AN61" s="1"/>
  <c r="AO61" s="1"/>
  <c r="AP61" s="1"/>
  <c r="AQ61" s="1"/>
  <c r="AR61" s="1"/>
  <c r="FZ60"/>
  <c r="GA60" s="1"/>
  <c r="GB60" s="1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FF60"/>
  <c r="FG60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DP60"/>
  <c r="DQ60" s="1"/>
  <c r="DR60" s="1"/>
  <c r="DS60" s="1"/>
  <c r="DT60" s="1"/>
  <c r="DU60" s="1"/>
  <c r="DV60" s="1"/>
  <c r="DW60" s="1"/>
  <c r="DX60" s="1"/>
  <c r="DY60" s="1"/>
  <c r="DZ60" s="1"/>
  <c r="EA60" s="1"/>
  <c r="EB60" s="1"/>
  <c r="EC60" s="1"/>
  <c r="ED60" s="1"/>
  <c r="EE60" s="1"/>
  <c r="EF60" s="1"/>
  <c r="EG60" s="1"/>
  <c r="EH60" s="1"/>
  <c r="EI60" s="1"/>
  <c r="EJ60" s="1"/>
  <c r="EK60" s="1"/>
  <c r="EL60" s="1"/>
  <c r="EM60" s="1"/>
  <c r="EN60" s="1"/>
  <c r="EO60" s="1"/>
  <c r="EP60" s="1"/>
  <c r="EQ60" s="1"/>
  <c r="ER60" s="1"/>
  <c r="ES60" s="1"/>
  <c r="ET60" s="1"/>
  <c r="EU60" s="1"/>
  <c r="EV60" s="1"/>
  <c r="EW60" s="1"/>
  <c r="EX60" s="1"/>
  <c r="EY60" s="1"/>
  <c r="EZ60" s="1"/>
  <c r="FA60" s="1"/>
  <c r="FB60" s="1"/>
  <c r="FC60" s="1"/>
  <c r="FD60" s="1"/>
  <c r="DN60"/>
  <c r="DO60" s="1"/>
  <c r="W60"/>
  <c r="X60" s="1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J60" s="1"/>
  <c r="BK60" s="1"/>
  <c r="BL60" s="1"/>
  <c r="BM60" s="1"/>
  <c r="BN60" s="1"/>
  <c r="BO60" s="1"/>
  <c r="BP60" s="1"/>
  <c r="BQ60" s="1"/>
  <c r="BR60" s="1"/>
  <c r="BS60" s="1"/>
  <c r="BT60" s="1"/>
  <c r="BU60" s="1"/>
  <c r="BV60" s="1"/>
  <c r="BW60" s="1"/>
  <c r="BX60" s="1"/>
  <c r="BY60" s="1"/>
  <c r="BZ60" s="1"/>
  <c r="CA60" s="1"/>
  <c r="CB60" s="1"/>
  <c r="CC60" s="1"/>
  <c r="CD60" s="1"/>
  <c r="CE60" s="1"/>
  <c r="CF60" s="1"/>
  <c r="CG60" s="1"/>
  <c r="CH60" s="1"/>
  <c r="CI60" s="1"/>
  <c r="D60"/>
  <c r="E60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HH59"/>
  <c r="HI59"/>
  <c r="HJ59" s="1"/>
  <c r="EA59"/>
  <c r="EB59" s="1"/>
  <c r="EC59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CP59"/>
  <c r="CQ59" s="1"/>
  <c r="CR59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C58"/>
  <c r="C66" s="1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B55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K58" s="1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F58" s="1"/>
  <c r="DE55"/>
  <c r="DD55"/>
  <c r="DC55"/>
  <c r="DB55"/>
  <c r="DA55"/>
  <c r="CZ55"/>
  <c r="CY55"/>
  <c r="CX55"/>
  <c r="CW55"/>
  <c r="CV55"/>
  <c r="CU55"/>
  <c r="CT55"/>
  <c r="CS55"/>
  <c r="CR55"/>
  <c r="CP55"/>
  <c r="CO55"/>
  <c r="CN55"/>
  <c r="CM55"/>
  <c r="CL55"/>
  <c r="CK55"/>
  <c r="CJ55"/>
  <c r="CJ58" s="1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CQ51"/>
  <c r="CQ55"/>
  <c r="DG50"/>
  <c r="IT49"/>
  <c r="IT53" s="1"/>
  <c r="IS49"/>
  <c r="IS53" s="1"/>
  <c r="IR49"/>
  <c r="IR53" s="1"/>
  <c r="IQ49"/>
  <c r="IQ53" s="1"/>
  <c r="IP49"/>
  <c r="IP53" s="1"/>
  <c r="IO49"/>
  <c r="IO53" s="1"/>
  <c r="IN49"/>
  <c r="IN53" s="1"/>
  <c r="IL49"/>
  <c r="IL53" s="1"/>
  <c r="IK49"/>
  <c r="IK53" s="1"/>
  <c r="IJ49"/>
  <c r="IJ53" s="1"/>
  <c r="II49"/>
  <c r="II53" s="1"/>
  <c r="IG49"/>
  <c r="IG53" s="1"/>
  <c r="IF49"/>
  <c r="IF53" s="1"/>
  <c r="IE49"/>
  <c r="IE53" s="1"/>
  <c r="ID49"/>
  <c r="ID53" s="1"/>
  <c r="IC49"/>
  <c r="IC53" s="1"/>
  <c r="IB49"/>
  <c r="IB53" s="1"/>
  <c r="IA49"/>
  <c r="IA53" s="1"/>
  <c r="HZ49"/>
  <c r="HZ53" s="1"/>
  <c r="HY49"/>
  <c r="HY53" s="1"/>
  <c r="HX49"/>
  <c r="HX53" s="1"/>
  <c r="HW49"/>
  <c r="HW53" s="1"/>
  <c r="HV49"/>
  <c r="HV53" s="1"/>
  <c r="HT49"/>
  <c r="HT53" s="1"/>
  <c r="HS49"/>
  <c r="HS53" s="1"/>
  <c r="HR49"/>
  <c r="HR53" s="1"/>
  <c r="HQ49"/>
  <c r="HQ53" s="1"/>
  <c r="HP49"/>
  <c r="HP53" s="1"/>
  <c r="HO49"/>
  <c r="HO53" s="1"/>
  <c r="HN49"/>
  <c r="HN53" s="1"/>
  <c r="HM49"/>
  <c r="HM53" s="1"/>
  <c r="HL49"/>
  <c r="HL53" s="1"/>
  <c r="HJ49"/>
  <c r="HJ53" s="1"/>
  <c r="HH49"/>
  <c r="HH53" s="1"/>
  <c r="HG49"/>
  <c r="HG53" s="1"/>
  <c r="HF49"/>
  <c r="HF53" s="1"/>
  <c r="HE49"/>
  <c r="HE53" s="1"/>
  <c r="HD49"/>
  <c r="HD53" s="1"/>
  <c r="HC49"/>
  <c r="HC53" s="1"/>
  <c r="HA49"/>
  <c r="HA53" s="1"/>
  <c r="GZ49"/>
  <c r="GZ53" s="1"/>
  <c r="GY49"/>
  <c r="GY53" s="1"/>
  <c r="GX49"/>
  <c r="GX53" s="1"/>
  <c r="GW49"/>
  <c r="GW53" s="1"/>
  <c r="GV49"/>
  <c r="GV53" s="1"/>
  <c r="GU49"/>
  <c r="GU53" s="1"/>
  <c r="GT49"/>
  <c r="GT53" s="1"/>
  <c r="GR49"/>
  <c r="GR53" s="1"/>
  <c r="GQ49"/>
  <c r="GQ53" s="1"/>
  <c r="GP49"/>
  <c r="GP53" s="1"/>
  <c r="GN49"/>
  <c r="GN53" s="1"/>
  <c r="GM49"/>
  <c r="GM53" s="1"/>
  <c r="GL49"/>
  <c r="GL53" s="1"/>
  <c r="GH49"/>
  <c r="GH53" s="1"/>
  <c r="GG49"/>
  <c r="GG53" s="1"/>
  <c r="GF49"/>
  <c r="GF53" s="1"/>
  <c r="GE49"/>
  <c r="GE53" s="1"/>
  <c r="GC49"/>
  <c r="GC53" s="1"/>
  <c r="GB49"/>
  <c r="GB53" s="1"/>
  <c r="FZ49"/>
  <c r="FZ53" s="1"/>
  <c r="FY49"/>
  <c r="FY53" s="1"/>
  <c r="FX49"/>
  <c r="FX53" s="1"/>
  <c r="FW49"/>
  <c r="FW53" s="1"/>
  <c r="FV49"/>
  <c r="FV53" s="1"/>
  <c r="FT49"/>
  <c r="FT53" s="1"/>
  <c r="FS49"/>
  <c r="FS53" s="1"/>
  <c r="FR49"/>
  <c r="FR53" s="1"/>
  <c r="FQ49"/>
  <c r="FQ53" s="1"/>
  <c r="FO49"/>
  <c r="FO53" s="1"/>
  <c r="FN49"/>
  <c r="FN53" s="1"/>
  <c r="FL49"/>
  <c r="FL53" s="1"/>
  <c r="FK49"/>
  <c r="FK53" s="1"/>
  <c r="FJ49"/>
  <c r="FJ53" s="1"/>
  <c r="FI49"/>
  <c r="FI53" s="1"/>
  <c r="FG49"/>
  <c r="FG53" s="1"/>
  <c r="FF49"/>
  <c r="FF53" s="1"/>
  <c r="FD49"/>
  <c r="FD53" s="1"/>
  <c r="FC49"/>
  <c r="FC53" s="1"/>
  <c r="FB49"/>
  <c r="FB53" s="1"/>
  <c r="FA49"/>
  <c r="FA53" s="1"/>
  <c r="EZ49"/>
  <c r="EZ53" s="1"/>
  <c r="EX49"/>
  <c r="EX53" s="1"/>
  <c r="EW49"/>
  <c r="EW53" s="1"/>
  <c r="EV49"/>
  <c r="EV53" s="1"/>
  <c r="EU49"/>
  <c r="EU53" s="1"/>
  <c r="ET49"/>
  <c r="ET53" s="1"/>
  <c r="ER49"/>
  <c r="ER53" s="1"/>
  <c r="EQ49"/>
  <c r="EQ53" s="1"/>
  <c r="EP49"/>
  <c r="EP53" s="1"/>
  <c r="EO49"/>
  <c r="EO53" s="1"/>
  <c r="EN49"/>
  <c r="EN53" s="1"/>
  <c r="EI49"/>
  <c r="EI53" s="1"/>
  <c r="EG49"/>
  <c r="EG53" s="1"/>
  <c r="EF49"/>
  <c r="EF53" s="1"/>
  <c r="EE49"/>
  <c r="EE53" s="1"/>
  <c r="ED49"/>
  <c r="ED53" s="1"/>
  <c r="EC49"/>
  <c r="EC53" s="1"/>
  <c r="EB49"/>
  <c r="EB53" s="1"/>
  <c r="EA49"/>
  <c r="EA53" s="1"/>
  <c r="DZ49"/>
  <c r="DZ53" s="1"/>
  <c r="DY49"/>
  <c r="DY53" s="1"/>
  <c r="DW49"/>
  <c r="DW53" s="1"/>
  <c r="DV49"/>
  <c r="DV53" s="1"/>
  <c r="DU49"/>
  <c r="DU53" s="1"/>
  <c r="DS49"/>
  <c r="DS53" s="1"/>
  <c r="DQ49"/>
  <c r="DQ53" s="1"/>
  <c r="DP49"/>
  <c r="DP53" s="1"/>
  <c r="DO49"/>
  <c r="DO53" s="1"/>
  <c r="DM49"/>
  <c r="DM53" s="1"/>
  <c r="DL49"/>
  <c r="DL53" s="1"/>
  <c r="DK49"/>
  <c r="DK53" s="1"/>
  <c r="DJ49"/>
  <c r="DJ53" s="1"/>
  <c r="DH49"/>
  <c r="DH53" s="1"/>
  <c r="DF49"/>
  <c r="DF53" s="1"/>
  <c r="DE49"/>
  <c r="DE53" s="1"/>
  <c r="DD49"/>
  <c r="DD53" s="1"/>
  <c r="DC49"/>
  <c r="DC53" s="1"/>
  <c r="DB49"/>
  <c r="DB53" s="1"/>
  <c r="DA49"/>
  <c r="DA53" s="1"/>
  <c r="CX49"/>
  <c r="CX53" s="1"/>
  <c r="CW49"/>
  <c r="CW53" s="1"/>
  <c r="CV49"/>
  <c r="CV53" s="1"/>
  <c r="CU49"/>
  <c r="CU53" s="1"/>
  <c r="CT49"/>
  <c r="CT53" s="1"/>
  <c r="CS49"/>
  <c r="CS53" s="1"/>
  <c r="CR49"/>
  <c r="CR53" s="1"/>
  <c r="CQ49"/>
  <c r="CQ53" s="1"/>
  <c r="CP49"/>
  <c r="CP53" s="1"/>
  <c r="CM49"/>
  <c r="CM53" s="1"/>
  <c r="CL49"/>
  <c r="CL53" s="1"/>
  <c r="CJ49"/>
  <c r="CJ53" s="1"/>
  <c r="CI49"/>
  <c r="CI53" s="1"/>
  <c r="CH49"/>
  <c r="CH53" s="1"/>
  <c r="CG49"/>
  <c r="CG53" s="1"/>
  <c r="CE49"/>
  <c r="CE53" s="1"/>
  <c r="CD49"/>
  <c r="CD53" s="1"/>
  <c r="CA49"/>
  <c r="CA53" s="1"/>
  <c r="BZ49"/>
  <c r="BZ53" s="1"/>
  <c r="BX49"/>
  <c r="BX53" s="1"/>
  <c r="BW49"/>
  <c r="BW53" s="1"/>
  <c r="BV49"/>
  <c r="BV53" s="1"/>
  <c r="BT49"/>
  <c r="BT53" s="1"/>
  <c r="BS49"/>
  <c r="BS53" s="1"/>
  <c r="BR49"/>
  <c r="BR53" s="1"/>
  <c r="BQ49"/>
  <c r="BQ53" s="1"/>
  <c r="BO49"/>
  <c r="BO53" s="1"/>
  <c r="BN49"/>
  <c r="BN53" s="1"/>
  <c r="BM49"/>
  <c r="BM53" s="1"/>
  <c r="BL49"/>
  <c r="BL53" s="1"/>
  <c r="BK49"/>
  <c r="BK53" s="1"/>
  <c r="BJ49"/>
  <c r="BJ53" s="1"/>
  <c r="BI49"/>
  <c r="BI53" s="1"/>
  <c r="BH49"/>
  <c r="BH53" s="1"/>
  <c r="BG49"/>
  <c r="BG53" s="1"/>
  <c r="BF49"/>
  <c r="BF53" s="1"/>
  <c r="BE49"/>
  <c r="BE53" s="1"/>
  <c r="BD49"/>
  <c r="BD53" s="1"/>
  <c r="BB49"/>
  <c r="BB53" s="1"/>
  <c r="BA49"/>
  <c r="BA53" s="1"/>
  <c r="AZ49"/>
  <c r="AZ53" s="1"/>
  <c r="AY49"/>
  <c r="AY53" s="1"/>
  <c r="AV49"/>
  <c r="AV53" s="1"/>
  <c r="AT49"/>
  <c r="AT53" s="1"/>
  <c r="AS49"/>
  <c r="AS53" s="1"/>
  <c r="AR49"/>
  <c r="AR53" s="1"/>
  <c r="AQ49"/>
  <c r="AQ53" s="1"/>
  <c r="AO49"/>
  <c r="AO53" s="1"/>
  <c r="AN49"/>
  <c r="AN53" s="1"/>
  <c r="AM49"/>
  <c r="AM53" s="1"/>
  <c r="AK49"/>
  <c r="AK53" s="1"/>
  <c r="AJ49"/>
  <c r="AJ53" s="1"/>
  <c r="AI49"/>
  <c r="AI53" s="1"/>
  <c r="AH49"/>
  <c r="AH53" s="1"/>
  <c r="AG49"/>
  <c r="AG53" s="1"/>
  <c r="AF49"/>
  <c r="AF53" s="1"/>
  <c r="AE49"/>
  <c r="AE53" s="1"/>
  <c r="AD49"/>
  <c r="AD53" s="1"/>
  <c r="Z49"/>
  <c r="Z53" s="1"/>
  <c r="Y49"/>
  <c r="Y53" s="1"/>
  <c r="W49"/>
  <c r="W53" s="1"/>
  <c r="U49"/>
  <c r="U53" s="1"/>
  <c r="S49"/>
  <c r="S53" s="1"/>
  <c r="R49"/>
  <c r="R53" s="1"/>
  <c r="Q49"/>
  <c r="Q53" s="1"/>
  <c r="P49"/>
  <c r="P53" s="1"/>
  <c r="N49"/>
  <c r="N53" s="1"/>
  <c r="L49"/>
  <c r="L53" s="1"/>
  <c r="K49"/>
  <c r="K53" s="1"/>
  <c r="J49"/>
  <c r="J53" s="1"/>
  <c r="G49"/>
  <c r="G53" s="1"/>
  <c r="E49"/>
  <c r="E53" s="1"/>
  <c r="C49"/>
  <c r="C53" s="1"/>
  <c r="DG48"/>
  <c r="IU48" s="1"/>
  <c r="DG47"/>
  <c r="AA47"/>
  <c r="IU47"/>
  <c r="IM46"/>
  <c r="IM49"/>
  <c r="IM53" s="1"/>
  <c r="HI46"/>
  <c r="GI46"/>
  <c r="GI49"/>
  <c r="GI53" s="1"/>
  <c r="GD46"/>
  <c r="GD49" s="1"/>
  <c r="GD53" s="1"/>
  <c r="GA46"/>
  <c r="GA49" s="1"/>
  <c r="GA53" s="1"/>
  <c r="FU46"/>
  <c r="FU49"/>
  <c r="FU53" s="1"/>
  <c r="FP46"/>
  <c r="FP49" s="1"/>
  <c r="FP53" s="1"/>
  <c r="DT46"/>
  <c r="DT49"/>
  <c r="DT53" s="1"/>
  <c r="DR46"/>
  <c r="DR49" s="1"/>
  <c r="DR53" s="1"/>
  <c r="DI46"/>
  <c r="DI49"/>
  <c r="DI53" s="1"/>
  <c r="DG46"/>
  <c r="CB46"/>
  <c r="CB49"/>
  <c r="CB53" s="1"/>
  <c r="BU46"/>
  <c r="BU49" s="1"/>
  <c r="BU53" s="1"/>
  <c r="IH45"/>
  <c r="IH49"/>
  <c r="IH53" s="1"/>
  <c r="HK45"/>
  <c r="HK49" s="1"/>
  <c r="HK53" s="1"/>
  <c r="GO45"/>
  <c r="GO49"/>
  <c r="GO53" s="1"/>
  <c r="GK45"/>
  <c r="GK49" s="1"/>
  <c r="GK53" s="1"/>
  <c r="GJ45"/>
  <c r="GJ49"/>
  <c r="GJ53" s="1"/>
  <c r="FM45"/>
  <c r="FM49" s="1"/>
  <c r="FM53" s="1"/>
  <c r="EY45"/>
  <c r="EY49"/>
  <c r="EY53" s="1"/>
  <c r="ES45"/>
  <c r="ES49" s="1"/>
  <c r="ES53" s="1"/>
  <c r="EK45"/>
  <c r="EK49"/>
  <c r="EK53" s="1"/>
  <c r="DN45"/>
  <c r="DG45"/>
  <c r="DG49"/>
  <c r="DG53" s="1"/>
  <c r="CZ45"/>
  <c r="CZ49" s="1"/>
  <c r="CZ53" s="1"/>
  <c r="CY45"/>
  <c r="CK45"/>
  <c r="CK49" s="1"/>
  <c r="CK53" s="1"/>
  <c r="BP45"/>
  <c r="BP49"/>
  <c r="BP53" s="1"/>
  <c r="AX45"/>
  <c r="AX49" s="1"/>
  <c r="AX53" s="1"/>
  <c r="AU45"/>
  <c r="AU49"/>
  <c r="AU53" s="1"/>
  <c r="X45"/>
  <c r="O45"/>
  <c r="O49"/>
  <c r="O53" s="1"/>
  <c r="M45"/>
  <c r="F45"/>
  <c r="D45"/>
  <c r="D49" s="1"/>
  <c r="D53" s="1"/>
  <c r="AC44"/>
  <c r="AB44"/>
  <c r="CF43"/>
  <c r="CF49"/>
  <c r="CF53" s="1"/>
  <c r="GS42"/>
  <c r="CC42"/>
  <c r="CC49"/>
  <c r="CC53" s="1"/>
  <c r="AW42"/>
  <c r="AW49" s="1"/>
  <c r="AW53" s="1"/>
  <c r="AP42"/>
  <c r="AP49"/>
  <c r="AP53" s="1"/>
  <c r="AL42"/>
  <c r="AL49" s="1"/>
  <c r="AL53" s="1"/>
  <c r="AC42"/>
  <c r="AB42"/>
  <c r="X42"/>
  <c r="X49"/>
  <c r="X53" s="1"/>
  <c r="V42"/>
  <c r="V49" s="1"/>
  <c r="V53" s="1"/>
  <c r="AC41"/>
  <c r="AB41"/>
  <c r="AC40"/>
  <c r="AB40"/>
  <c r="EH39"/>
  <c r="AC39"/>
  <c r="AB39"/>
  <c r="EH38"/>
  <c r="AC38"/>
  <c r="AB38"/>
  <c r="AB37"/>
  <c r="T37"/>
  <c r="T49"/>
  <c r="T53" s="1"/>
  <c r="I37"/>
  <c r="FH36"/>
  <c r="EJ36"/>
  <c r="DX36"/>
  <c r="DX49"/>
  <c r="DX53" s="1"/>
  <c r="BY36"/>
  <c r="BY49" s="1"/>
  <c r="BY53" s="1"/>
  <c r="AB36"/>
  <c r="M36"/>
  <c r="M49" s="1"/>
  <c r="M53" s="1"/>
  <c r="H36"/>
  <c r="H49"/>
  <c r="H53" s="1"/>
  <c r="GS35"/>
  <c r="GS49" s="1"/>
  <c r="GS53" s="1"/>
  <c r="DN35"/>
  <c r="DN49"/>
  <c r="DN53" s="1"/>
  <c r="CN35"/>
  <c r="CN49" s="1"/>
  <c r="CN53" s="1"/>
  <c r="AC35"/>
  <c r="AB35"/>
  <c r="I35"/>
  <c r="EJ34"/>
  <c r="EJ49" s="1"/>
  <c r="EJ53" s="1"/>
  <c r="AC34"/>
  <c r="AB34"/>
  <c r="FH33"/>
  <c r="FH49"/>
  <c r="FH53" s="1"/>
  <c r="FE33"/>
  <c r="FE49" s="1"/>
  <c r="FE53" s="1"/>
  <c r="EL33"/>
  <c r="EL49"/>
  <c r="EL53" s="1"/>
  <c r="BC33"/>
  <c r="AC33"/>
  <c r="EM32"/>
  <c r="EM49" s="1"/>
  <c r="EM53" s="1"/>
  <c r="AC32"/>
  <c r="AB32"/>
  <c r="AC31"/>
  <c r="AB31"/>
  <c r="F31"/>
  <c r="HU30"/>
  <c r="HU49"/>
  <c r="HU53" s="1"/>
  <c r="HI30"/>
  <c r="HI49" s="1"/>
  <c r="HI53" s="1"/>
  <c r="HB30"/>
  <c r="HB49"/>
  <c r="HB53" s="1"/>
  <c r="CY30"/>
  <c r="CY49" s="1"/>
  <c r="CY53" s="1"/>
  <c r="CO30"/>
  <c r="CO49"/>
  <c r="CO53" s="1"/>
  <c r="BC30"/>
  <c r="AC30"/>
  <c r="AB30"/>
  <c r="IT27"/>
  <c r="IS27"/>
  <c r="IR27"/>
  <c r="IQ27"/>
  <c r="IO27"/>
  <c r="IK27"/>
  <c r="IH27"/>
  <c r="IC27"/>
  <c r="IB27"/>
  <c r="IA27"/>
  <c r="HY27"/>
  <c r="HX27"/>
  <c r="HW27"/>
  <c r="HV27"/>
  <c r="HU27"/>
  <c r="HT27"/>
  <c r="HS27"/>
  <c r="HR27"/>
  <c r="HQ27"/>
  <c r="HM27"/>
  <c r="HL27"/>
  <c r="HK27"/>
  <c r="HI27"/>
  <c r="HH27"/>
  <c r="HG27"/>
  <c r="HE27"/>
  <c r="HD27"/>
  <c r="HB27"/>
  <c r="HA27"/>
  <c r="GY27"/>
  <c r="GX27"/>
  <c r="GW27"/>
  <c r="GV27"/>
  <c r="GU27"/>
  <c r="GT27"/>
  <c r="GQ27"/>
  <c r="GO27"/>
  <c r="GN27"/>
  <c r="GM27"/>
  <c r="GL27"/>
  <c r="GK27"/>
  <c r="GJ27"/>
  <c r="GI27"/>
  <c r="GH27"/>
  <c r="GF27"/>
  <c r="GE27"/>
  <c r="GD27"/>
  <c r="GB27"/>
  <c r="GA27"/>
  <c r="FZ27"/>
  <c r="FY27"/>
  <c r="FX27"/>
  <c r="FW27"/>
  <c r="FV27"/>
  <c r="FS27"/>
  <c r="FR27"/>
  <c r="FQ27"/>
  <c r="FP27"/>
  <c r="FL27"/>
  <c r="FJ27"/>
  <c r="FI27"/>
  <c r="FH27"/>
  <c r="FF27"/>
  <c r="FE27"/>
  <c r="FD27"/>
  <c r="FC27"/>
  <c r="FB27"/>
  <c r="EZ27"/>
  <c r="EY27"/>
  <c r="EX27"/>
  <c r="EW27"/>
  <c r="EU27"/>
  <c r="ET27"/>
  <c r="ES27"/>
  <c r="ER27"/>
  <c r="EP27"/>
  <c r="EO27"/>
  <c r="EN27"/>
  <c r="EM27"/>
  <c r="EK27"/>
  <c r="EJ27"/>
  <c r="EF27"/>
  <c r="EE27"/>
  <c r="ED27"/>
  <c r="EC27"/>
  <c r="DZ27"/>
  <c r="DY27"/>
  <c r="DX27"/>
  <c r="DV27"/>
  <c r="DT27"/>
  <c r="DS27"/>
  <c r="DQ27"/>
  <c r="DP27"/>
  <c r="DO27"/>
  <c r="DL27"/>
  <c r="DJ27"/>
  <c r="DI27"/>
  <c r="DH27"/>
  <c r="DF27"/>
  <c r="DE27"/>
  <c r="DD27"/>
  <c r="DC27"/>
  <c r="DB27"/>
  <c r="CX27"/>
  <c r="CW27"/>
  <c r="CU27"/>
  <c r="CS27"/>
  <c r="CN27"/>
  <c r="CM27"/>
  <c r="CI27"/>
  <c r="CF27"/>
  <c r="CE27"/>
  <c r="CB27"/>
  <c r="CA27"/>
  <c r="BZ27"/>
  <c r="BW27"/>
  <c r="BT27"/>
  <c r="BR27"/>
  <c r="BP27"/>
  <c r="BO27"/>
  <c r="BM27"/>
  <c r="BK27"/>
  <c r="BI27"/>
  <c r="BE27"/>
  <c r="BD27"/>
  <c r="BA27"/>
  <c r="AY27"/>
  <c r="AV27"/>
  <c r="AT27"/>
  <c r="AS27"/>
  <c r="AQ27"/>
  <c r="AP27"/>
  <c r="AN27"/>
  <c r="AL27"/>
  <c r="AK27"/>
  <c r="AJ27"/>
  <c r="AI27"/>
  <c r="AH27"/>
  <c r="AG27"/>
  <c r="AB27"/>
  <c r="AA27"/>
  <c r="Z27"/>
  <c r="V27"/>
  <c r="R27"/>
  <c r="J27"/>
  <c r="I27"/>
  <c r="H27"/>
  <c r="E27"/>
  <c r="D27"/>
  <c r="C27"/>
  <c r="AC24"/>
  <c r="AC27"/>
  <c r="IL19"/>
  <c r="IL27"/>
  <c r="IG19"/>
  <c r="IG27"/>
  <c r="HO19"/>
  <c r="HF19"/>
  <c r="GC19"/>
  <c r="GC27"/>
  <c r="FT19"/>
  <c r="FT27"/>
  <c r="FO19"/>
  <c r="FO27"/>
  <c r="FA19"/>
  <c r="FA27"/>
  <c r="EQ19"/>
  <c r="EL19"/>
  <c r="EL27" s="1"/>
  <c r="EI19"/>
  <c r="EB19"/>
  <c r="EB27"/>
  <c r="DW19"/>
  <c r="DW27"/>
  <c r="DR19"/>
  <c r="DR27"/>
  <c r="DN19"/>
  <c r="DM19"/>
  <c r="DM27" s="1"/>
  <c r="CY19"/>
  <c r="CY27" s="1"/>
  <c r="CT19"/>
  <c r="CT27" s="1"/>
  <c r="CP19"/>
  <c r="CJ19"/>
  <c r="CJ27"/>
  <c r="BV19"/>
  <c r="BV27"/>
  <c r="BQ19"/>
  <c r="BQ27"/>
  <c r="BL19"/>
  <c r="BL27"/>
  <c r="BJ19"/>
  <c r="BJ27"/>
  <c r="BG19"/>
  <c r="BB19"/>
  <c r="BB27" s="1"/>
  <c r="AX19"/>
  <c r="AR19"/>
  <c r="AR27"/>
  <c r="AM19"/>
  <c r="AM27"/>
  <c r="X19"/>
  <c r="X27"/>
  <c r="S19"/>
  <c r="IF18"/>
  <c r="IF27" s="1"/>
  <c r="IE18"/>
  <c r="IE27" s="1"/>
  <c r="HP18"/>
  <c r="HP27" s="1"/>
  <c r="HO18"/>
  <c r="HO27" s="1"/>
  <c r="HN18"/>
  <c r="HN27" s="1"/>
  <c r="EH18"/>
  <c r="CG18"/>
  <c r="CG27"/>
  <c r="CD18"/>
  <c r="CD27"/>
  <c r="BU18"/>
  <c r="BG18"/>
  <c r="BF18"/>
  <c r="BF27"/>
  <c r="AW18"/>
  <c r="AW27"/>
  <c r="AU18"/>
  <c r="AU27"/>
  <c r="AO18"/>
  <c r="AO27"/>
  <c r="Y18"/>
  <c r="Y27"/>
  <c r="S18"/>
  <c r="S27"/>
  <c r="Q18"/>
  <c r="Q27"/>
  <c r="P18"/>
  <c r="O18"/>
  <c r="O27" s="1"/>
  <c r="L18"/>
  <c r="K18"/>
  <c r="F18"/>
  <c r="F27" s="1"/>
  <c r="IP17"/>
  <c r="IP27" s="1"/>
  <c r="IN17"/>
  <c r="IN27" s="1"/>
  <c r="IJ17"/>
  <c r="II17"/>
  <c r="ID17"/>
  <c r="ID27" s="1"/>
  <c r="HJ17"/>
  <c r="HJ27" s="1"/>
  <c r="GZ17"/>
  <c r="GZ27" s="1"/>
  <c r="GS17"/>
  <c r="GS27" s="1"/>
  <c r="GR17"/>
  <c r="GR27" s="1"/>
  <c r="GP17"/>
  <c r="GP27" s="1"/>
  <c r="FN17"/>
  <c r="FN27" s="1"/>
  <c r="FK17"/>
  <c r="FK27" s="1"/>
  <c r="FG17"/>
  <c r="FG27" s="1"/>
  <c r="EV17"/>
  <c r="EV27" s="1"/>
  <c r="DU17"/>
  <c r="DU27" s="1"/>
  <c r="DN17"/>
  <c r="DA17"/>
  <c r="DA27"/>
  <c r="CZ17"/>
  <c r="CZ27"/>
  <c r="CQ17"/>
  <c r="CP17"/>
  <c r="CP27" s="1"/>
  <c r="BY17"/>
  <c r="BY27" s="1"/>
  <c r="BX17"/>
  <c r="BS17"/>
  <c r="BH17"/>
  <c r="BH27" s="1"/>
  <c r="BG17"/>
  <c r="BG27" s="1"/>
  <c r="BC17"/>
  <c r="BC27" s="1"/>
  <c r="AZ17"/>
  <c r="AZ27" s="1"/>
  <c r="AX17"/>
  <c r="AX27" s="1"/>
  <c r="AD17"/>
  <c r="AD27" s="1"/>
  <c r="T17"/>
  <c r="T27" s="1"/>
  <c r="IJ16"/>
  <c r="FU16"/>
  <c r="EQ16"/>
  <c r="DG16"/>
  <c r="IU16" s="1"/>
  <c r="FU15"/>
  <c r="IU15" s="1"/>
  <c r="FU14"/>
  <c r="EH14"/>
  <c r="EG14"/>
  <c r="EG27" s="1"/>
  <c r="FU13"/>
  <c r="DG13"/>
  <c r="DG27"/>
  <c r="EQ12"/>
  <c r="EH12"/>
  <c r="CQ12"/>
  <c r="IJ11"/>
  <c r="IJ27"/>
  <c r="GG11"/>
  <c r="GG27"/>
  <c r="FM11"/>
  <c r="FM27"/>
  <c r="EH11"/>
  <c r="EA11"/>
  <c r="EA27" s="1"/>
  <c r="BU11"/>
  <c r="BU27" s="1"/>
  <c r="AF11"/>
  <c r="AF27" s="1"/>
  <c r="W11"/>
  <c r="W27" s="1"/>
  <c r="P11"/>
  <c r="P27" s="1"/>
  <c r="N11"/>
  <c r="N27" s="1"/>
  <c r="M11"/>
  <c r="L11"/>
  <c r="L27"/>
  <c r="K11"/>
  <c r="K27"/>
  <c r="IM10"/>
  <c r="IM27"/>
  <c r="II10"/>
  <c r="II27"/>
  <c r="HZ10"/>
  <c r="HZ27"/>
  <c r="HC10"/>
  <c r="HC27"/>
  <c r="CV10"/>
  <c r="CV27"/>
  <c r="CQ10"/>
  <c r="CQ27"/>
  <c r="CL10"/>
  <c r="CL27"/>
  <c r="CH10"/>
  <c r="CH27"/>
  <c r="CC10"/>
  <c r="CC27"/>
  <c r="BX10"/>
  <c r="BX27"/>
  <c r="BS10"/>
  <c r="BS27"/>
  <c r="AE10"/>
  <c r="AE27"/>
  <c r="G10"/>
  <c r="DK9"/>
  <c r="DK27" s="1"/>
  <c r="CO9"/>
  <c r="CO27" s="1"/>
  <c r="HF8"/>
  <c r="HF27" s="1"/>
  <c r="EQ8"/>
  <c r="EQ27" s="1"/>
  <c r="EI8"/>
  <c r="EI27" s="1"/>
  <c r="DN8"/>
  <c r="DN27" s="1"/>
  <c r="CR8"/>
  <c r="CR27" s="1"/>
  <c r="CK8"/>
  <c r="CK27" s="1"/>
  <c r="BN8"/>
  <c r="BN27" s="1"/>
  <c r="U8"/>
  <c r="U27" s="1"/>
  <c r="M8"/>
  <c r="M27" s="1"/>
  <c r="G8"/>
  <c r="G27" s="1"/>
  <c r="IP4"/>
  <c r="IQ4" s="1"/>
  <c r="IR4" s="1"/>
  <c r="IS4" s="1"/>
  <c r="IT4" s="1"/>
  <c r="IL4"/>
  <c r="IM4"/>
  <c r="IN4" s="1"/>
  <c r="IG4"/>
  <c r="IH4" s="1"/>
  <c r="II4" s="1"/>
  <c r="IJ4" s="1"/>
  <c r="IB4"/>
  <c r="IC4" s="1"/>
  <c r="ID4" s="1"/>
  <c r="IE4" s="1"/>
  <c r="HX4"/>
  <c r="HY4" s="1"/>
  <c r="HZ4" s="1"/>
  <c r="HT4"/>
  <c r="HU4"/>
  <c r="HV4" s="1"/>
  <c r="HO4"/>
  <c r="HP4" s="1"/>
  <c r="HQ4" s="1"/>
  <c r="HR4" s="1"/>
  <c r="HJ4"/>
  <c r="HK4" s="1"/>
  <c r="HL4" s="1"/>
  <c r="HM4" s="1"/>
  <c r="HF4"/>
  <c r="HG4" s="1"/>
  <c r="HH4" s="1"/>
  <c r="HA4"/>
  <c r="HB4" s="1"/>
  <c r="GV4"/>
  <c r="GW4" s="1"/>
  <c r="GX4" s="1"/>
  <c r="GY4" s="1"/>
  <c r="HM74" i="84"/>
  <c r="HM73"/>
  <c r="HC74"/>
  <c r="IS74" s="1"/>
  <c r="HC73"/>
  <c r="HV73"/>
  <c r="IS73" s="1"/>
  <c r="HV74"/>
  <c r="IE74"/>
  <c r="IE73"/>
  <c r="IN74"/>
  <c r="IN73"/>
  <c r="IJ74"/>
  <c r="IJ73"/>
  <c r="HO74"/>
  <c r="HO73"/>
  <c r="GT74"/>
  <c r="GT73"/>
  <c r="FZ73"/>
  <c r="IR73" s="1"/>
  <c r="FZ74"/>
  <c r="IR74"/>
  <c r="IP17"/>
  <c r="G87"/>
  <c r="IN17"/>
  <c r="D45"/>
  <c r="IM46"/>
  <c r="IM10"/>
  <c r="IL19"/>
  <c r="IS55"/>
  <c r="IR55"/>
  <c r="IS49"/>
  <c r="IS53"/>
  <c r="IR49"/>
  <c r="IR53"/>
  <c r="IS27"/>
  <c r="IR27"/>
  <c r="IJ17"/>
  <c r="IJ11"/>
  <c r="IJ16"/>
  <c r="II10"/>
  <c r="II17"/>
  <c r="IH45"/>
  <c r="IG19"/>
  <c r="IF18"/>
  <c r="IE18"/>
  <c r="ID17"/>
  <c r="HZ10"/>
  <c r="HU30"/>
  <c r="HP18"/>
  <c r="HO18"/>
  <c r="HN18"/>
  <c r="G86"/>
  <c r="HO19"/>
  <c r="HK45"/>
  <c r="HJ17"/>
  <c r="HI30"/>
  <c r="HI46"/>
  <c r="HF8"/>
  <c r="HF19"/>
  <c r="HC10"/>
  <c r="HB30"/>
  <c r="GZ17"/>
  <c r="G85"/>
  <c r="HD27"/>
  <c r="GT49"/>
  <c r="GR49"/>
  <c r="GQ49"/>
  <c r="GS42"/>
  <c r="GS35"/>
  <c r="GU49"/>
  <c r="GU53" s="1"/>
  <c r="GT27"/>
  <c r="GQ27"/>
  <c r="GS17"/>
  <c r="GR17"/>
  <c r="GU27"/>
  <c r="GP17"/>
  <c r="GO45"/>
  <c r="GN55"/>
  <c r="GK45"/>
  <c r="GJ45"/>
  <c r="GI46"/>
  <c r="GI49"/>
  <c r="GH49"/>
  <c r="G84"/>
  <c r="GG11"/>
  <c r="GD46"/>
  <c r="GC19"/>
  <c r="GA46"/>
  <c r="FM11"/>
  <c r="FZ60"/>
  <c r="FU46"/>
  <c r="FU13"/>
  <c r="FU14"/>
  <c r="FU15"/>
  <c r="FU16"/>
  <c r="FT19"/>
  <c r="FP46"/>
  <c r="FO19"/>
  <c r="FN17"/>
  <c r="G83"/>
  <c r="FM45"/>
  <c r="FK17"/>
  <c r="FH33"/>
  <c r="FH36"/>
  <c r="FG17"/>
  <c r="FE33"/>
  <c r="FA19"/>
  <c r="EY45"/>
  <c r="EV17"/>
  <c r="ES45"/>
  <c r="EQ19"/>
  <c r="EQ8"/>
  <c r="EQ12"/>
  <c r="EQ16"/>
  <c r="EL33"/>
  <c r="EL19"/>
  <c r="EK45"/>
  <c r="EI8"/>
  <c r="EJ34"/>
  <c r="EJ36"/>
  <c r="EI17"/>
  <c r="EH11"/>
  <c r="G82"/>
  <c r="EI19"/>
  <c r="G81"/>
  <c r="EB19"/>
  <c r="EA11"/>
  <c r="DX36"/>
  <c r="DW19"/>
  <c r="DU17"/>
  <c r="DT46"/>
  <c r="DR46"/>
  <c r="DR19"/>
  <c r="DN45"/>
  <c r="DN17"/>
  <c r="DN35"/>
  <c r="DN19"/>
  <c r="DN8"/>
  <c r="DM19"/>
  <c r="DK9"/>
  <c r="DI46"/>
  <c r="DG50"/>
  <c r="DG45"/>
  <c r="DG48"/>
  <c r="DG47"/>
  <c r="DG46"/>
  <c r="DG13"/>
  <c r="DG16"/>
  <c r="DA17"/>
  <c r="CY19"/>
  <c r="CZ17"/>
  <c r="CZ27"/>
  <c r="CZ45"/>
  <c r="CY45"/>
  <c r="CY30"/>
  <c r="CY49"/>
  <c r="CY53" s="1"/>
  <c r="AB30"/>
  <c r="AB31"/>
  <c r="AB32"/>
  <c r="AB34"/>
  <c r="AB35"/>
  <c r="AB36"/>
  <c r="AB37"/>
  <c r="IU37" s="1"/>
  <c r="AB38"/>
  <c r="AB39"/>
  <c r="AB40"/>
  <c r="AB41"/>
  <c r="AB42"/>
  <c r="AB44"/>
  <c r="AC30"/>
  <c r="AC31"/>
  <c r="AC32"/>
  <c r="AC33"/>
  <c r="IU33" s="1"/>
  <c r="AC34"/>
  <c r="AC35"/>
  <c r="AC38"/>
  <c r="AC39"/>
  <c r="AC40"/>
  <c r="AC41"/>
  <c r="AC42"/>
  <c r="AC44"/>
  <c r="CZ49"/>
  <c r="CZ53"/>
  <c r="CX27"/>
  <c r="CX49"/>
  <c r="CX53" s="1"/>
  <c r="DA27"/>
  <c r="DA49"/>
  <c r="DA53"/>
  <c r="DB49"/>
  <c r="DB53"/>
  <c r="DB27"/>
  <c r="DC27"/>
  <c r="DE49"/>
  <c r="DE53"/>
  <c r="DF49"/>
  <c r="DF53"/>
  <c r="AJ27"/>
  <c r="DH27"/>
  <c r="DH49"/>
  <c r="DH53"/>
  <c r="DI27"/>
  <c r="DI49"/>
  <c r="DI53" s="1"/>
  <c r="DJ27"/>
  <c r="DJ49"/>
  <c r="DJ53"/>
  <c r="DK27"/>
  <c r="DK49"/>
  <c r="DK53" s="1"/>
  <c r="DL27"/>
  <c r="DM49"/>
  <c r="DM53"/>
  <c r="DV49"/>
  <c r="DV53"/>
  <c r="EF49"/>
  <c r="EF53"/>
  <c r="EG14"/>
  <c r="EH12"/>
  <c r="EH14"/>
  <c r="EH18"/>
  <c r="EH38"/>
  <c r="EH39"/>
  <c r="EM32"/>
  <c r="CZ55"/>
  <c r="CX55"/>
  <c r="CY55"/>
  <c r="DA55"/>
  <c r="GV4"/>
  <c r="GW4" s="1"/>
  <c r="GX4" s="1"/>
  <c r="GY4" s="1"/>
  <c r="HA4"/>
  <c r="HB4" s="1"/>
  <c r="HF4"/>
  <c r="HG4" s="1"/>
  <c r="HH4" s="1"/>
  <c r="HJ4"/>
  <c r="HK4"/>
  <c r="HL4" s="1"/>
  <c r="HM4" s="1"/>
  <c r="HO4"/>
  <c r="HP4"/>
  <c r="HQ4" s="1"/>
  <c r="HR4" s="1"/>
  <c r="HT4"/>
  <c r="HU4"/>
  <c r="HV4" s="1"/>
  <c r="HX4"/>
  <c r="HY4" s="1"/>
  <c r="HZ4" s="1"/>
  <c r="IB4"/>
  <c r="IC4"/>
  <c r="ID4" s="1"/>
  <c r="IE4" s="1"/>
  <c r="IG4"/>
  <c r="IH4"/>
  <c r="II4" s="1"/>
  <c r="IJ4" s="1"/>
  <c r="IL4"/>
  <c r="IM4"/>
  <c r="IN4" s="1"/>
  <c r="IP4"/>
  <c r="IQ4" s="1"/>
  <c r="IR4" s="1"/>
  <c r="IS4" s="1"/>
  <c r="CR49"/>
  <c r="CR53" s="1"/>
  <c r="G8"/>
  <c r="M8"/>
  <c r="U8"/>
  <c r="U27"/>
  <c r="BN8"/>
  <c r="CK8"/>
  <c r="CR8"/>
  <c r="CO9"/>
  <c r="G10"/>
  <c r="AE10"/>
  <c r="AE27"/>
  <c r="BS10"/>
  <c r="BX10"/>
  <c r="CC10"/>
  <c r="CH10"/>
  <c r="CL10"/>
  <c r="CQ10"/>
  <c r="CV10"/>
  <c r="K11"/>
  <c r="L11"/>
  <c r="M11"/>
  <c r="N11"/>
  <c r="N27" s="1"/>
  <c r="P11"/>
  <c r="W11"/>
  <c r="AF11"/>
  <c r="BU11"/>
  <c r="CQ12"/>
  <c r="T17"/>
  <c r="T27" s="1"/>
  <c r="AD17"/>
  <c r="AD27"/>
  <c r="AX17"/>
  <c r="AZ17"/>
  <c r="AZ27" s="1"/>
  <c r="BC17"/>
  <c r="BC27"/>
  <c r="BG17"/>
  <c r="BH17"/>
  <c r="BS17"/>
  <c r="BX17"/>
  <c r="BX27"/>
  <c r="BY17"/>
  <c r="BY27"/>
  <c r="CP17"/>
  <c r="CQ17"/>
  <c r="F18"/>
  <c r="F27" s="1"/>
  <c r="K18"/>
  <c r="L18"/>
  <c r="O18"/>
  <c r="O27"/>
  <c r="P18"/>
  <c r="P27"/>
  <c r="Q18"/>
  <c r="Q27"/>
  <c r="S18"/>
  <c r="Y18"/>
  <c r="AO18"/>
  <c r="AU18"/>
  <c r="AW18"/>
  <c r="BF18"/>
  <c r="BG18"/>
  <c r="BU18"/>
  <c r="CD18"/>
  <c r="CG18"/>
  <c r="S19"/>
  <c r="X19"/>
  <c r="X27" s="1"/>
  <c r="AM19"/>
  <c r="AM27"/>
  <c r="AR19"/>
  <c r="AR27"/>
  <c r="AX19"/>
  <c r="BB19"/>
  <c r="BG19"/>
  <c r="BJ19"/>
  <c r="BL19"/>
  <c r="BQ19"/>
  <c r="BV19"/>
  <c r="CJ19"/>
  <c r="CP19"/>
  <c r="CT19"/>
  <c r="AC24"/>
  <c r="AC27" s="1"/>
  <c r="C27"/>
  <c r="D27"/>
  <c r="E27"/>
  <c r="H27"/>
  <c r="I27"/>
  <c r="J27"/>
  <c r="M27"/>
  <c r="R27"/>
  <c r="V27"/>
  <c r="Z27"/>
  <c r="AA27"/>
  <c r="AB27"/>
  <c r="AF27"/>
  <c r="AG27"/>
  <c r="AH27"/>
  <c r="AI27"/>
  <c r="AK27"/>
  <c r="AL27"/>
  <c r="AN27"/>
  <c r="AP27"/>
  <c r="AQ27"/>
  <c r="AS27"/>
  <c r="AT27"/>
  <c r="AV27"/>
  <c r="AY27"/>
  <c r="BA27"/>
  <c r="BD27"/>
  <c r="BE27"/>
  <c r="BI27"/>
  <c r="BK27"/>
  <c r="BM27"/>
  <c r="BN27"/>
  <c r="BO27"/>
  <c r="BP27"/>
  <c r="BR27"/>
  <c r="BT27"/>
  <c r="BW27"/>
  <c r="BZ27"/>
  <c r="CA27"/>
  <c r="CB27"/>
  <c r="CC27"/>
  <c r="CE27"/>
  <c r="CF27"/>
  <c r="CI27"/>
  <c r="CL27"/>
  <c r="CM27"/>
  <c r="CN27"/>
  <c r="CS27"/>
  <c r="CU27"/>
  <c r="CW27"/>
  <c r="IT27"/>
  <c r="BC30"/>
  <c r="CO30"/>
  <c r="F31"/>
  <c r="BC33"/>
  <c r="I35"/>
  <c r="CN35"/>
  <c r="H36"/>
  <c r="H49" s="1"/>
  <c r="H53" s="1"/>
  <c r="M36"/>
  <c r="BY36"/>
  <c r="BY49" s="1"/>
  <c r="BY53" s="1"/>
  <c r="I37"/>
  <c r="T37"/>
  <c r="V42"/>
  <c r="X42"/>
  <c r="AL42"/>
  <c r="AP42"/>
  <c r="AP49" s="1"/>
  <c r="AP53" s="1"/>
  <c r="AW42"/>
  <c r="CC42"/>
  <c r="CF43"/>
  <c r="D49"/>
  <c r="D53" s="1"/>
  <c r="F45"/>
  <c r="M45"/>
  <c r="O45"/>
  <c r="X45"/>
  <c r="AU45"/>
  <c r="AX45"/>
  <c r="AX49"/>
  <c r="AX53" s="1"/>
  <c r="BP45"/>
  <c r="CK45"/>
  <c r="CK49"/>
  <c r="CK53" s="1"/>
  <c r="BU46"/>
  <c r="CB46"/>
  <c r="CB49"/>
  <c r="CB53" s="1"/>
  <c r="AA47"/>
  <c r="C49"/>
  <c r="C53"/>
  <c r="C54" s="1"/>
  <c r="E49"/>
  <c r="E53" s="1"/>
  <c r="G49"/>
  <c r="G53" s="1"/>
  <c r="J49"/>
  <c r="J53" s="1"/>
  <c r="K49"/>
  <c r="L49"/>
  <c r="L53"/>
  <c r="N49"/>
  <c r="N53"/>
  <c r="P49"/>
  <c r="P53"/>
  <c r="Q49"/>
  <c r="Q53"/>
  <c r="R49"/>
  <c r="R53"/>
  <c r="S49"/>
  <c r="U49"/>
  <c r="U53" s="1"/>
  <c r="V49"/>
  <c r="V53" s="1"/>
  <c r="W49"/>
  <c r="Y49"/>
  <c r="Y53"/>
  <c r="Z49"/>
  <c r="Z53"/>
  <c r="AD49"/>
  <c r="AD53"/>
  <c r="AE49"/>
  <c r="AF49"/>
  <c r="AF53" s="1"/>
  <c r="AG49"/>
  <c r="AG53" s="1"/>
  <c r="AH49"/>
  <c r="AH53" s="1"/>
  <c r="AI49"/>
  <c r="AJ49"/>
  <c r="AJ53"/>
  <c r="AK49"/>
  <c r="AK53"/>
  <c r="AM49"/>
  <c r="AN49"/>
  <c r="AN53" s="1"/>
  <c r="AO49"/>
  <c r="AO53" s="1"/>
  <c r="AQ49"/>
  <c r="AR49"/>
  <c r="AR53"/>
  <c r="AS49"/>
  <c r="AS53"/>
  <c r="AT49"/>
  <c r="AT53"/>
  <c r="AV49"/>
  <c r="AV53"/>
  <c r="AY49"/>
  <c r="AZ49"/>
  <c r="AZ53" s="1"/>
  <c r="BA49"/>
  <c r="BA53" s="1"/>
  <c r="BB49"/>
  <c r="BB53" s="1"/>
  <c r="BD49"/>
  <c r="BD53" s="1"/>
  <c r="BE49"/>
  <c r="BF49"/>
  <c r="BF53"/>
  <c r="BG49"/>
  <c r="BG53"/>
  <c r="BH49"/>
  <c r="BH53"/>
  <c r="BI49"/>
  <c r="BJ49"/>
  <c r="BJ53" s="1"/>
  <c r="BK49"/>
  <c r="BK53" s="1"/>
  <c r="BL49"/>
  <c r="BL53" s="1"/>
  <c r="BM49"/>
  <c r="BN49"/>
  <c r="BN53"/>
  <c r="BO49"/>
  <c r="BO53"/>
  <c r="BQ49"/>
  <c r="BR49"/>
  <c r="BR53" s="1"/>
  <c r="BS49"/>
  <c r="BS53" s="1"/>
  <c r="BT49"/>
  <c r="BT53" s="1"/>
  <c r="BV49"/>
  <c r="BV53" s="1"/>
  <c r="BW49"/>
  <c r="BW53" s="1"/>
  <c r="BX49"/>
  <c r="BX53" s="1"/>
  <c r="BZ49"/>
  <c r="BZ53" s="1"/>
  <c r="CA49"/>
  <c r="CD49"/>
  <c r="CD53"/>
  <c r="CE49"/>
  <c r="CE53"/>
  <c r="CG49"/>
  <c r="CH49"/>
  <c r="CH53" s="1"/>
  <c r="CI49"/>
  <c r="CI53" s="1"/>
  <c r="CJ49"/>
  <c r="CJ53" s="1"/>
  <c r="CL49"/>
  <c r="CL53" s="1"/>
  <c r="CM49"/>
  <c r="CP49"/>
  <c r="CP53"/>
  <c r="CQ49"/>
  <c r="CS49"/>
  <c r="CS53" s="1"/>
  <c r="CT49"/>
  <c r="CT53" s="1"/>
  <c r="CU49"/>
  <c r="CU53" s="1"/>
  <c r="CV49"/>
  <c r="CV53" s="1"/>
  <c r="CW49"/>
  <c r="CW53" s="1"/>
  <c r="IT49"/>
  <c r="IT53" s="1"/>
  <c r="CQ51"/>
  <c r="CQ53" s="1"/>
  <c r="K53"/>
  <c r="S53"/>
  <c r="W53"/>
  <c r="AE53"/>
  <c r="AI53"/>
  <c r="AM53"/>
  <c r="AQ53"/>
  <c r="AY53"/>
  <c r="BE53"/>
  <c r="BI53"/>
  <c r="BM53"/>
  <c r="BQ53"/>
  <c r="CA53"/>
  <c r="CG53"/>
  <c r="CM53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R55"/>
  <c r="CS55"/>
  <c r="CT55"/>
  <c r="CU55"/>
  <c r="CV55"/>
  <c r="CW55"/>
  <c r="DB55"/>
  <c r="DC55"/>
  <c r="DD55"/>
  <c r="DE55"/>
  <c r="DF55"/>
  <c r="DF58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K58" s="1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T55"/>
  <c r="IU55"/>
  <c r="C58"/>
  <c r="D58" s="1"/>
  <c r="E58" s="1"/>
  <c r="F58" s="1"/>
  <c r="G58" s="1"/>
  <c r="H58" s="1"/>
  <c r="I58" s="1"/>
  <c r="J58" s="1"/>
  <c r="K58" s="1"/>
  <c r="L58" s="1"/>
  <c r="M58" s="1"/>
  <c r="N58" s="1"/>
  <c r="O58" s="1"/>
  <c r="P58" s="1"/>
  <c r="Q58" s="1"/>
  <c r="R58" s="1"/>
  <c r="S58" s="1"/>
  <c r="T58" s="1"/>
  <c r="U58" s="1"/>
  <c r="V58" s="1"/>
  <c r="W58" s="1"/>
  <c r="X58" s="1"/>
  <c r="Y58" s="1"/>
  <c r="Z58" s="1"/>
  <c r="AA58" s="1"/>
  <c r="AB58" s="1"/>
  <c r="AC58" s="1"/>
  <c r="AD58" s="1"/>
  <c r="AE58" s="1"/>
  <c r="AF58" s="1"/>
  <c r="AG58" s="1"/>
  <c r="AH58" s="1"/>
  <c r="AI58" s="1"/>
  <c r="AJ58" s="1"/>
  <c r="AK58" s="1"/>
  <c r="AL58" s="1"/>
  <c r="AM58" s="1"/>
  <c r="AN58" s="1"/>
  <c r="AO58" s="1"/>
  <c r="AP58" s="1"/>
  <c r="AQ58" s="1"/>
  <c r="AR58" s="1"/>
  <c r="AS58" s="1"/>
  <c r="AT58" s="1"/>
  <c r="AU58" s="1"/>
  <c r="AV58" s="1"/>
  <c r="AW58" s="1"/>
  <c r="AX58" s="1"/>
  <c r="AY58" s="1"/>
  <c r="AZ58" s="1"/>
  <c r="BA58" s="1"/>
  <c r="BB58" s="1"/>
  <c r="BC58" s="1"/>
  <c r="BD58" s="1"/>
  <c r="BE58" s="1"/>
  <c r="BF58" s="1"/>
  <c r="BG58" s="1"/>
  <c r="BH58" s="1"/>
  <c r="BI58" s="1"/>
  <c r="BJ58" s="1"/>
  <c r="BK58" s="1"/>
  <c r="BL58" s="1"/>
  <c r="BM58" s="1"/>
  <c r="BN58" s="1"/>
  <c r="BO58" s="1"/>
  <c r="BP58" s="1"/>
  <c r="BQ58" s="1"/>
  <c r="BR58" s="1"/>
  <c r="BS58" s="1"/>
  <c r="BT58" s="1"/>
  <c r="BU58" s="1"/>
  <c r="BV58" s="1"/>
  <c r="BW58" s="1"/>
  <c r="BX58" s="1"/>
  <c r="BY58" s="1"/>
  <c r="BZ58" s="1"/>
  <c r="CA58" s="1"/>
  <c r="CB58" s="1"/>
  <c r="CC58" s="1"/>
  <c r="CD58" s="1"/>
  <c r="CE58" s="1"/>
  <c r="CF58" s="1"/>
  <c r="CG58" s="1"/>
  <c r="CH58" s="1"/>
  <c r="CJ58"/>
  <c r="CK58" s="1"/>
  <c r="CL58" s="1"/>
  <c r="CM58" s="1"/>
  <c r="CN58" s="1"/>
  <c r="CO58" s="1"/>
  <c r="CP58" s="1"/>
  <c r="CP59"/>
  <c r="CQ59"/>
  <c r="CR59" s="1"/>
  <c r="CS59" s="1"/>
  <c r="CT59" s="1"/>
  <c r="CU59" s="1"/>
  <c r="D60"/>
  <c r="E60"/>
  <c r="F60" s="1"/>
  <c r="G60" s="1"/>
  <c r="H60" s="1"/>
  <c r="I60" s="1"/>
  <c r="J60" s="1"/>
  <c r="W60"/>
  <c r="X60" s="1"/>
  <c r="Y60" s="1"/>
  <c r="Z60" s="1"/>
  <c r="AA60" s="1"/>
  <c r="DN60"/>
  <c r="DO60"/>
  <c r="DP60" s="1"/>
  <c r="DQ60" s="1"/>
  <c r="DR60" s="1"/>
  <c r="DS60" s="1"/>
  <c r="DT60" s="1"/>
  <c r="DU60" s="1"/>
  <c r="DV60" s="1"/>
  <c r="DW60" s="1"/>
  <c r="DX60" s="1"/>
  <c r="DY60" s="1"/>
  <c r="DZ60" s="1"/>
  <c r="EA60" s="1"/>
  <c r="EB60" s="1"/>
  <c r="EC60" s="1"/>
  <c r="ED60" s="1"/>
  <c r="EE60" s="1"/>
  <c r="EF60" s="1"/>
  <c r="EG60" s="1"/>
  <c r="EH60" s="1"/>
  <c r="EI60" s="1"/>
  <c r="EK60"/>
  <c r="C61"/>
  <c r="D61" s="1"/>
  <c r="E61" s="1"/>
  <c r="F61" s="1"/>
  <c r="G61" s="1"/>
  <c r="H61" s="1"/>
  <c r="I61" s="1"/>
  <c r="J61" s="1"/>
  <c r="AT61"/>
  <c r="AU61" s="1"/>
  <c r="AV61" s="1"/>
  <c r="AW61" s="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BP61"/>
  <c r="BQ6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CJ6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DF61"/>
  <c r="DG61"/>
  <c r="DH61" s="1"/>
  <c r="DI61" s="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EA61"/>
  <c r="EB61"/>
  <c r="EC61" s="1"/>
  <c r="ED61" s="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FN61" s="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L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HF61"/>
  <c r="HG61" s="1"/>
  <c r="HH61" s="1"/>
  <c r="HI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HW61" s="1"/>
  <c r="HX61" s="1"/>
  <c r="HY61" s="1"/>
  <c r="HZ61" s="1"/>
  <c r="IA61" s="1"/>
  <c r="IB61" s="1"/>
  <c r="IC61" s="1"/>
  <c r="ID61" s="1"/>
  <c r="IE61" s="1"/>
  <c r="IF61" s="1"/>
  <c r="IG61" s="1"/>
  <c r="IH61" s="1"/>
  <c r="II61" s="1"/>
  <c r="IJ61" s="1"/>
  <c r="IK61" s="1"/>
  <c r="IL61" s="1"/>
  <c r="IM61" s="1"/>
  <c r="IN61" s="1"/>
  <c r="IO61" s="1"/>
  <c r="IP61" s="1"/>
  <c r="IQ61" s="1"/>
  <c r="IR61" s="1"/>
  <c r="IS61" s="1"/>
  <c r="C62"/>
  <c r="D62"/>
  <c r="E62" s="1"/>
  <c r="F62" s="1"/>
  <c r="G62" s="1"/>
  <c r="H62" s="1"/>
  <c r="I62" s="1"/>
  <c r="J62" s="1"/>
  <c r="K62" s="1"/>
  <c r="L62" s="1"/>
  <c r="M62" s="1"/>
  <c r="N62" s="1"/>
  <c r="O62" s="1"/>
  <c r="P62" s="1"/>
  <c r="Q62" s="1"/>
  <c r="R62" s="1"/>
  <c r="S62" s="1"/>
  <c r="T62" s="1"/>
  <c r="U62" s="1"/>
  <c r="V62" s="1"/>
  <c r="W62" s="1"/>
  <c r="X62" s="1"/>
  <c r="Y62" s="1"/>
  <c r="Z62" s="1"/>
  <c r="AA62" s="1"/>
  <c r="AB62" s="1"/>
  <c r="AC62" s="1"/>
  <c r="AD62" s="1"/>
  <c r="AE62" s="1"/>
  <c r="AF62" s="1"/>
  <c r="AG62" s="1"/>
  <c r="AH62" s="1"/>
  <c r="AI62" s="1"/>
  <c r="AJ62" s="1"/>
  <c r="AK62" s="1"/>
  <c r="AL62" s="1"/>
  <c r="AM62" s="1"/>
  <c r="AN62" s="1"/>
  <c r="AO62" s="1"/>
  <c r="AP62" s="1"/>
  <c r="AQ62" s="1"/>
  <c r="AR62" s="1"/>
  <c r="AT62"/>
  <c r="AU62"/>
  <c r="AV62" s="1"/>
  <c r="AW62" s="1"/>
  <c r="AX62" s="1"/>
  <c r="AY62" s="1"/>
  <c r="AZ62" s="1"/>
  <c r="BA62" s="1"/>
  <c r="BB62" s="1"/>
  <c r="BC62" s="1"/>
  <c r="BD62" s="1"/>
  <c r="BE62" s="1"/>
  <c r="BF62" s="1"/>
  <c r="BG62" s="1"/>
  <c r="BH62" s="1"/>
  <c r="BI62" s="1"/>
  <c r="BJ62" s="1"/>
  <c r="BL62"/>
  <c r="BM62" s="1"/>
  <c r="BN62" s="1"/>
  <c r="BP62"/>
  <c r="BQ62"/>
  <c r="BR62" s="1"/>
  <c r="BS62" s="1"/>
  <c r="BT62" s="1"/>
  <c r="BU62" s="1"/>
  <c r="BV62" s="1"/>
  <c r="BW62" s="1"/>
  <c r="BX62" s="1"/>
  <c r="BY62" s="1"/>
  <c r="BZ62" s="1"/>
  <c r="CA62" s="1"/>
  <c r="CB62" s="1"/>
  <c r="CC62" s="1"/>
  <c r="CD62" s="1"/>
  <c r="CE62" s="1"/>
  <c r="CF62" s="1"/>
  <c r="CG62" s="1"/>
  <c r="CH62" s="1"/>
  <c r="CJ62"/>
  <c r="CK62" s="1"/>
  <c r="CL62" s="1"/>
  <c r="CM62" s="1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DA62" s="1"/>
  <c r="DB62" s="1"/>
  <c r="DC62" s="1"/>
  <c r="DD62" s="1"/>
  <c r="DF62"/>
  <c r="DG62"/>
  <c r="DH62" s="1"/>
  <c r="DI62" s="1"/>
  <c r="DJ62" s="1"/>
  <c r="DK62" s="1"/>
  <c r="DL62" s="1"/>
  <c r="DM62" s="1"/>
  <c r="DN62" s="1"/>
  <c r="DO62" s="1"/>
  <c r="DP62" s="1"/>
  <c r="DQ62" s="1"/>
  <c r="DR62" s="1"/>
  <c r="DS62" s="1"/>
  <c r="DT62" s="1"/>
  <c r="DU62" s="1"/>
  <c r="DV62" s="1"/>
  <c r="DW62" s="1"/>
  <c r="DX62" s="1"/>
  <c r="DY62" s="1"/>
  <c r="EA62"/>
  <c r="EB62"/>
  <c r="EC62" s="1"/>
  <c r="ED62" s="1"/>
  <c r="EE62" s="1"/>
  <c r="EF62" s="1"/>
  <c r="EG62" s="1"/>
  <c r="EH62" s="1"/>
  <c r="EI62" s="1"/>
  <c r="EJ62" s="1"/>
  <c r="EK62" s="1"/>
  <c r="EL62" s="1"/>
  <c r="EM62" s="1"/>
  <c r="EN62" s="1"/>
  <c r="EO62" s="1"/>
  <c r="EP62" s="1"/>
  <c r="EQ62" s="1"/>
  <c r="ER62" s="1"/>
  <c r="ES62" s="1"/>
  <c r="ET62" s="1"/>
  <c r="EU62" s="1"/>
  <c r="EV62" s="1"/>
  <c r="EW62" s="1"/>
  <c r="EX62" s="1"/>
  <c r="EY62" s="1"/>
  <c r="EZ62" s="1"/>
  <c r="FA62" s="1"/>
  <c r="FB62" s="1"/>
  <c r="FC62" s="1"/>
  <c r="FD62" s="1"/>
  <c r="FE62" s="1"/>
  <c r="FF62" s="1"/>
  <c r="FG62" s="1"/>
  <c r="FH62" s="1"/>
  <c r="FI62" s="1"/>
  <c r="FJ62" s="1"/>
  <c r="FK62" s="1"/>
  <c r="FL62" s="1"/>
  <c r="FM62" s="1"/>
  <c r="FN62" s="1"/>
  <c r="FO62" s="1"/>
  <c r="FP62" s="1"/>
  <c r="FQ62" s="1"/>
  <c r="FR62" s="1"/>
  <c r="FS62" s="1"/>
  <c r="FT62" s="1"/>
  <c r="FU62" s="1"/>
  <c r="FV62" s="1"/>
  <c r="FW62" s="1"/>
  <c r="FX62" s="1"/>
  <c r="FY62" s="1"/>
  <c r="FZ62" s="1"/>
  <c r="GA62" s="1"/>
  <c r="GB62" s="1"/>
  <c r="GC62" s="1"/>
  <c r="GD62" s="1"/>
  <c r="GE62" s="1"/>
  <c r="GF62" s="1"/>
  <c r="GG62" s="1"/>
  <c r="GH62" s="1"/>
  <c r="GI62" s="1"/>
  <c r="GJ62" s="1"/>
  <c r="GK62" s="1"/>
  <c r="GL62" s="1"/>
  <c r="GM62" s="1"/>
  <c r="GN62" s="1"/>
  <c r="GO62" s="1"/>
  <c r="GP62" s="1"/>
  <c r="GQ62" s="1"/>
  <c r="GR62" s="1"/>
  <c r="GS62" s="1"/>
  <c r="GT62" s="1"/>
  <c r="GU62" s="1"/>
  <c r="GV62" s="1"/>
  <c r="GW62" s="1"/>
  <c r="GX62" s="1"/>
  <c r="GY62" s="1"/>
  <c r="GZ62" s="1"/>
  <c r="HA62" s="1"/>
  <c r="HB62" s="1"/>
  <c r="HC62" s="1"/>
  <c r="HD62" s="1"/>
  <c r="HF62"/>
  <c r="HG62" s="1"/>
  <c r="HH62" s="1"/>
  <c r="HI62" s="1"/>
  <c r="HJ62" s="1"/>
  <c r="HK62" s="1"/>
  <c r="HL62" s="1"/>
  <c r="HM62" s="1"/>
  <c r="HN62" s="1"/>
  <c r="HO62" s="1"/>
  <c r="HP62" s="1"/>
  <c r="HQ62" s="1"/>
  <c r="HR62" s="1"/>
  <c r="HS62" s="1"/>
  <c r="HT62" s="1"/>
  <c r="HU62" s="1"/>
  <c r="HV62" s="1"/>
  <c r="HW62" s="1"/>
  <c r="HX62" s="1"/>
  <c r="HY62" s="1"/>
  <c r="HZ62" s="1"/>
  <c r="IA62" s="1"/>
  <c r="IB62" s="1"/>
  <c r="IC62" s="1"/>
  <c r="ID62" s="1"/>
  <c r="C63"/>
  <c r="D63"/>
  <c r="CJ63"/>
  <c r="CK63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DA63" s="1"/>
  <c r="DB63" s="1"/>
  <c r="DC63" s="1"/>
  <c r="DD63" s="1"/>
  <c r="DF63"/>
  <c r="DG63" s="1"/>
  <c r="DH63" s="1"/>
  <c r="DI63" s="1"/>
  <c r="DJ63" s="1"/>
  <c r="DK63" s="1"/>
  <c r="DL63" s="1"/>
  <c r="DM63" s="1"/>
  <c r="DN63" s="1"/>
  <c r="DO63" s="1"/>
  <c r="DP63" s="1"/>
  <c r="DQ63" s="1"/>
  <c r="DR63" s="1"/>
  <c r="DS63" s="1"/>
  <c r="DT63" s="1"/>
  <c r="DU63" s="1"/>
  <c r="DV63" s="1"/>
  <c r="DW63" s="1"/>
  <c r="DX63" s="1"/>
  <c r="DY63" s="1"/>
  <c r="EA63"/>
  <c r="EB63" s="1"/>
  <c r="EC63" s="1"/>
  <c r="ED63" s="1"/>
  <c r="EE63" s="1"/>
  <c r="EF63" s="1"/>
  <c r="EG63" s="1"/>
  <c r="EH63" s="1"/>
  <c r="EI63" s="1"/>
  <c r="EJ63" s="1"/>
  <c r="EK63" s="1"/>
  <c r="EL63" s="1"/>
  <c r="EM63" s="1"/>
  <c r="EN63" s="1"/>
  <c r="EO63" s="1"/>
  <c r="EP63" s="1"/>
  <c r="EQ63" s="1"/>
  <c r="ER63" s="1"/>
  <c r="ES63" s="1"/>
  <c r="ET63" s="1"/>
  <c r="EU63" s="1"/>
  <c r="EV63" s="1"/>
  <c r="EW63" s="1"/>
  <c r="EX63" s="1"/>
  <c r="EY63" s="1"/>
  <c r="EZ63" s="1"/>
  <c r="FA63" s="1"/>
  <c r="FB63" s="1"/>
  <c r="FC63" s="1"/>
  <c r="FD63" s="1"/>
  <c r="FE63" s="1"/>
  <c r="FF63" s="1"/>
  <c r="FG63" s="1"/>
  <c r="FH63" s="1"/>
  <c r="FI63" s="1"/>
  <c r="FJ63" s="1"/>
  <c r="FK63" s="1"/>
  <c r="FL63" s="1"/>
  <c r="FM63" s="1"/>
  <c r="FN63" s="1"/>
  <c r="FO63" s="1"/>
  <c r="FP63" s="1"/>
  <c r="FQ63" s="1"/>
  <c r="FR63" s="1"/>
  <c r="FS63" s="1"/>
  <c r="FT63" s="1"/>
  <c r="FU63" s="1"/>
  <c r="FV63" s="1"/>
  <c r="FW63" s="1"/>
  <c r="FX63" s="1"/>
  <c r="FY63" s="1"/>
  <c r="FZ63" s="1"/>
  <c r="GA63" s="1"/>
  <c r="GB63" s="1"/>
  <c r="GC63" s="1"/>
  <c r="GD63" s="1"/>
  <c r="GE63" s="1"/>
  <c r="GF63" s="1"/>
  <c r="GG63" s="1"/>
  <c r="GH63" s="1"/>
  <c r="GI63" s="1"/>
  <c r="GJ63" s="1"/>
  <c r="GK63" s="1"/>
  <c r="GL63" s="1"/>
  <c r="GM63" s="1"/>
  <c r="GN63" s="1"/>
  <c r="GO63" s="1"/>
  <c r="GP63" s="1"/>
  <c r="GQ63" s="1"/>
  <c r="GR63" s="1"/>
  <c r="GS63" s="1"/>
  <c r="GT63" s="1"/>
  <c r="GU63" s="1"/>
  <c r="GV63" s="1"/>
  <c r="GW63" s="1"/>
  <c r="GX63" s="1"/>
  <c r="GY63" s="1"/>
  <c r="GZ63" s="1"/>
  <c r="HA63" s="1"/>
  <c r="HB63" s="1"/>
  <c r="HC63" s="1"/>
  <c r="HD63" s="1"/>
  <c r="HF63"/>
  <c r="HG63"/>
  <c r="C64"/>
  <c r="D64"/>
  <c r="E64" s="1"/>
  <c r="F64" s="1"/>
  <c r="AT64"/>
  <c r="AU64"/>
  <c r="AV64" s="1"/>
  <c r="AW64" s="1"/>
  <c r="AX64" s="1"/>
  <c r="AY64" s="1"/>
  <c r="AZ64" s="1"/>
  <c r="BA64" s="1"/>
  <c r="BB64" s="1"/>
  <c r="BC64" s="1"/>
  <c r="BD64" s="1"/>
  <c r="BE64" s="1"/>
  <c r="BF64" s="1"/>
  <c r="BG64" s="1"/>
  <c r="BH64" s="1"/>
  <c r="BI64" s="1"/>
  <c r="BJ64" s="1"/>
  <c r="BK64" s="1"/>
  <c r="BL64" s="1"/>
  <c r="BM64" s="1"/>
  <c r="BN64" s="1"/>
  <c r="BP64"/>
  <c r="BQ64" s="1"/>
  <c r="BR64" s="1"/>
  <c r="BS64" s="1"/>
  <c r="BT64" s="1"/>
  <c r="BU64" s="1"/>
  <c r="BV64" s="1"/>
  <c r="BW64" s="1"/>
  <c r="BX64" s="1"/>
  <c r="BY64" s="1"/>
  <c r="BZ64" s="1"/>
  <c r="CA64" s="1"/>
  <c r="CB64" s="1"/>
  <c r="CC64" s="1"/>
  <c r="CD64" s="1"/>
  <c r="CE64" s="1"/>
  <c r="CF64" s="1"/>
  <c r="CG64" s="1"/>
  <c r="CH64" s="1"/>
  <c r="CJ64"/>
  <c r="CK64"/>
  <c r="CL64" s="1"/>
  <c r="CM64" s="1"/>
  <c r="CN64" s="1"/>
  <c r="CO64" s="1"/>
  <c r="CP64" s="1"/>
  <c r="CQ64" s="1"/>
  <c r="CR64" s="1"/>
  <c r="CS64" s="1"/>
  <c r="CT64" s="1"/>
  <c r="CU64" s="1"/>
  <c r="CV64" s="1"/>
  <c r="CW64" s="1"/>
  <c r="CX64" s="1"/>
  <c r="CY64" s="1"/>
  <c r="CZ64" s="1"/>
  <c r="DA64" s="1"/>
  <c r="DB64" s="1"/>
  <c r="DC64" s="1"/>
  <c r="DD64" s="1"/>
  <c r="DF64"/>
  <c r="DG64" s="1"/>
  <c r="DH64" s="1"/>
  <c r="DI64" s="1"/>
  <c r="DJ64" s="1"/>
  <c r="DK64" s="1"/>
  <c r="DL64" s="1"/>
  <c r="DM64" s="1"/>
  <c r="DN64" s="1"/>
  <c r="DO64" s="1"/>
  <c r="DP64" s="1"/>
  <c r="DQ64" s="1"/>
  <c r="DR64" s="1"/>
  <c r="DS64" s="1"/>
  <c r="DT64" s="1"/>
  <c r="DU64" s="1"/>
  <c r="DV64" s="1"/>
  <c r="DW64" s="1"/>
  <c r="DX64" s="1"/>
  <c r="DY64" s="1"/>
  <c r="EA64"/>
  <c r="EB64" s="1"/>
  <c r="EC64" s="1"/>
  <c r="ED64" s="1"/>
  <c r="EE64" s="1"/>
  <c r="EF64" s="1"/>
  <c r="EG64" s="1"/>
  <c r="EH64" s="1"/>
  <c r="EI64" s="1"/>
  <c r="EJ64" s="1"/>
  <c r="EK64" s="1"/>
  <c r="EL64" s="1"/>
  <c r="EM64" s="1"/>
  <c r="EN64" s="1"/>
  <c r="EO64" s="1"/>
  <c r="EP64" s="1"/>
  <c r="EQ64" s="1"/>
  <c r="ER64" s="1"/>
  <c r="ES64" s="1"/>
  <c r="ET64" s="1"/>
  <c r="EU64" s="1"/>
  <c r="EV64" s="1"/>
  <c r="EW64" s="1"/>
  <c r="EX64" s="1"/>
  <c r="EY64" s="1"/>
  <c r="EZ64" s="1"/>
  <c r="FA64" s="1"/>
  <c r="FB64" s="1"/>
  <c r="FC64" s="1"/>
  <c r="FD64" s="1"/>
  <c r="FE64" s="1"/>
  <c r="FF64" s="1"/>
  <c r="FG64" s="1"/>
  <c r="FH64" s="1"/>
  <c r="FI64" s="1"/>
  <c r="FJ64" s="1"/>
  <c r="FK64" s="1"/>
  <c r="FL64" s="1"/>
  <c r="FM64" s="1"/>
  <c r="FN64" s="1"/>
  <c r="FO64" s="1"/>
  <c r="FP64" s="1"/>
  <c r="FQ64" s="1"/>
  <c r="FR64" s="1"/>
  <c r="FS64" s="1"/>
  <c r="FT64" s="1"/>
  <c r="FU64" s="1"/>
  <c r="FV64" s="1"/>
  <c r="FW64" s="1"/>
  <c r="FX64" s="1"/>
  <c r="FY64" s="1"/>
  <c r="FZ64" s="1"/>
  <c r="GA64" s="1"/>
  <c r="GB64" s="1"/>
  <c r="GC64" s="1"/>
  <c r="GD64" s="1"/>
  <c r="GE64" s="1"/>
  <c r="GF64" s="1"/>
  <c r="GG64" s="1"/>
  <c r="GH64" s="1"/>
  <c r="GI64" s="1"/>
  <c r="GJ64" s="1"/>
  <c r="GK64" s="1"/>
  <c r="GL64" s="1"/>
  <c r="GM64" s="1"/>
  <c r="GN64" s="1"/>
  <c r="GO64" s="1"/>
  <c r="GP64" s="1"/>
  <c r="GQ64" s="1"/>
  <c r="GR64" s="1"/>
  <c r="GS64" s="1"/>
  <c r="GT64" s="1"/>
  <c r="GU64" s="1"/>
  <c r="GV64" s="1"/>
  <c r="GW64" s="1"/>
  <c r="GX64" s="1"/>
  <c r="GY64" s="1"/>
  <c r="GZ64" s="1"/>
  <c r="HA64" s="1"/>
  <c r="HB64" s="1"/>
  <c r="HC64" s="1"/>
  <c r="HD64" s="1"/>
  <c r="HF64"/>
  <c r="HG64"/>
  <c r="HH64" s="1"/>
  <c r="HI64" s="1"/>
  <c r="HJ64" s="1"/>
  <c r="HK64" s="1"/>
  <c r="HL64" s="1"/>
  <c r="HM64" s="1"/>
  <c r="HN64" s="1"/>
  <c r="HO64" s="1"/>
  <c r="HP64" s="1"/>
  <c r="HQ64" s="1"/>
  <c r="HR64" s="1"/>
  <c r="HS64" s="1"/>
  <c r="HT64" s="1"/>
  <c r="HU64" s="1"/>
  <c r="HV64" s="1"/>
  <c r="HW64" s="1"/>
  <c r="HX64" s="1"/>
  <c r="HY64" s="1"/>
  <c r="HZ64" s="1"/>
  <c r="IA64" s="1"/>
  <c r="IB64" s="1"/>
  <c r="IC64" s="1"/>
  <c r="ID64" s="1"/>
  <c r="IE64" s="1"/>
  <c r="IF64" s="1"/>
  <c r="IG64" s="1"/>
  <c r="IH64" s="1"/>
  <c r="II64" s="1"/>
  <c r="IJ64" s="1"/>
  <c r="IK64" s="1"/>
  <c r="IL64" s="1"/>
  <c r="IM64" s="1"/>
  <c r="IN64" s="1"/>
  <c r="IO64" s="1"/>
  <c r="IP64" s="1"/>
  <c r="IQ64" s="1"/>
  <c r="IR64" s="1"/>
  <c r="IS64" s="1"/>
  <c r="C65"/>
  <c r="D65" s="1"/>
  <c r="AT65"/>
  <c r="AU65" s="1"/>
  <c r="AV65" s="1"/>
  <c r="AW65" s="1"/>
  <c r="AX65" s="1"/>
  <c r="AY65" s="1"/>
  <c r="AZ65" s="1"/>
  <c r="BA65" s="1"/>
  <c r="BB65" s="1"/>
  <c r="BC65" s="1"/>
  <c r="BD65" s="1"/>
  <c r="BE65" s="1"/>
  <c r="BF65" s="1"/>
  <c r="BG65" s="1"/>
  <c r="BH65" s="1"/>
  <c r="BI65" s="1"/>
  <c r="BJ65" s="1"/>
  <c r="BK65" s="1"/>
  <c r="BL65" s="1"/>
  <c r="BM65" s="1"/>
  <c r="BN65" s="1"/>
  <c r="BO65" s="1"/>
  <c r="BP65" s="1"/>
  <c r="BQ65" s="1"/>
  <c r="BR65" s="1"/>
  <c r="BS65" s="1"/>
  <c r="BT65" s="1"/>
  <c r="BU65" s="1"/>
  <c r="BV65" s="1"/>
  <c r="BW65" s="1"/>
  <c r="BX65" s="1"/>
  <c r="BY65" s="1"/>
  <c r="BZ65" s="1"/>
  <c r="CA65" s="1"/>
  <c r="CB65" s="1"/>
  <c r="CC65" s="1"/>
  <c r="CD65" s="1"/>
  <c r="CE65" s="1"/>
  <c r="CF65" s="1"/>
  <c r="CG65" s="1"/>
  <c r="CH65" s="1"/>
  <c r="CJ65"/>
  <c r="CK65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CZ65" s="1"/>
  <c r="DA65" s="1"/>
  <c r="DB65" s="1"/>
  <c r="DC65" s="1"/>
  <c r="DD65" s="1"/>
  <c r="DF65"/>
  <c r="DG65" s="1"/>
  <c r="DH65" s="1"/>
  <c r="DI65" s="1"/>
  <c r="DJ65" s="1"/>
  <c r="DK65" s="1"/>
  <c r="DL65" s="1"/>
  <c r="DM65" s="1"/>
  <c r="DN65" s="1"/>
  <c r="DO65" s="1"/>
  <c r="DP65" s="1"/>
  <c r="DQ65" s="1"/>
  <c r="DR65" s="1"/>
  <c r="DS65" s="1"/>
  <c r="DT65" s="1"/>
  <c r="DU65" s="1"/>
  <c r="DV65" s="1"/>
  <c r="DW65" s="1"/>
  <c r="DX65" s="1"/>
  <c r="DY65" s="1"/>
  <c r="EA65"/>
  <c r="EB65" s="1"/>
  <c r="EC65" s="1"/>
  <c r="ED65" s="1"/>
  <c r="EE65" s="1"/>
  <c r="EF65" s="1"/>
  <c r="EG65" s="1"/>
  <c r="EH65" s="1"/>
  <c r="EI65" s="1"/>
  <c r="EJ65" s="1"/>
  <c r="EK65" s="1"/>
  <c r="EL65" s="1"/>
  <c r="EM65" s="1"/>
  <c r="EN65" s="1"/>
  <c r="EO65" s="1"/>
  <c r="EP65" s="1"/>
  <c r="EQ65" s="1"/>
  <c r="ER65" s="1"/>
  <c r="ES65" s="1"/>
  <c r="ET65" s="1"/>
  <c r="EU65" s="1"/>
  <c r="EV65" s="1"/>
  <c r="EW65" s="1"/>
  <c r="EX65" s="1"/>
  <c r="EY65" s="1"/>
  <c r="EZ65" s="1"/>
  <c r="FA65" s="1"/>
  <c r="FB65" s="1"/>
  <c r="FC65" s="1"/>
  <c r="FD65" s="1"/>
  <c r="FE65" s="1"/>
  <c r="FF65" s="1"/>
  <c r="FG65" s="1"/>
  <c r="FH65" s="1"/>
  <c r="FI65" s="1"/>
  <c r="FJ65" s="1"/>
  <c r="FK65" s="1"/>
  <c r="FL65" s="1"/>
  <c r="FM65" s="1"/>
  <c r="FN65" s="1"/>
  <c r="FO65" s="1"/>
  <c r="FP65" s="1"/>
  <c r="FR65"/>
  <c r="FS65" s="1"/>
  <c r="FT65" s="1"/>
  <c r="FU65" s="1"/>
  <c r="FV65" s="1"/>
  <c r="FW65" s="1"/>
  <c r="FX65" s="1"/>
  <c r="FY65" s="1"/>
  <c r="FZ65" s="1"/>
  <c r="GA65" s="1"/>
  <c r="GB65" s="1"/>
  <c r="GC65" s="1"/>
  <c r="GD65" s="1"/>
  <c r="GE65" s="1"/>
  <c r="GF65" s="1"/>
  <c r="GG65" s="1"/>
  <c r="GH65" s="1"/>
  <c r="GI65" s="1"/>
  <c r="GJ65" s="1"/>
  <c r="GK65" s="1"/>
  <c r="GL65" s="1"/>
  <c r="GM65" s="1"/>
  <c r="GN65" s="1"/>
  <c r="GO65" s="1"/>
  <c r="GP65" s="1"/>
  <c r="GQ65" s="1"/>
  <c r="GR65" s="1"/>
  <c r="GS65" s="1"/>
  <c r="G76"/>
  <c r="E77"/>
  <c r="G77"/>
  <c r="E78"/>
  <c r="G78"/>
  <c r="E79"/>
  <c r="G79"/>
  <c r="E80"/>
  <c r="G80"/>
  <c r="E81"/>
  <c r="E82"/>
  <c r="E83"/>
  <c r="E84"/>
  <c r="E85"/>
  <c r="E86"/>
  <c r="E87"/>
  <c r="D88"/>
  <c r="H92"/>
  <c r="GH16" i="72"/>
  <c r="GJ16"/>
  <c r="GJ26" s="1"/>
  <c r="FM16"/>
  <c r="EG68" i="68"/>
  <c r="HF4" i="72"/>
  <c r="HH4"/>
  <c r="HI4"/>
  <c r="HK4"/>
  <c r="HL4"/>
  <c r="HM4" s="1"/>
  <c r="HN4" s="1"/>
  <c r="HP4"/>
  <c r="HQ4"/>
  <c r="HR4" s="1"/>
  <c r="HS4" s="1"/>
  <c r="HU4"/>
  <c r="HV4"/>
  <c r="HY4"/>
  <c r="HZ4"/>
  <c r="IC4"/>
  <c r="ID4"/>
  <c r="IE4" s="1"/>
  <c r="IF4" s="1"/>
  <c r="IH4"/>
  <c r="II4"/>
  <c r="IJ4" s="1"/>
  <c r="IK4" s="1"/>
  <c r="IM4"/>
  <c r="IN4"/>
  <c r="IO4" s="1"/>
  <c r="IQ4"/>
  <c r="IR4" s="1"/>
  <c r="IS4" s="1"/>
  <c r="IT4" s="1"/>
  <c r="GH26"/>
  <c r="BR8"/>
  <c r="CV8"/>
  <c r="CZ8"/>
  <c r="DE8"/>
  <c r="DG8"/>
  <c r="DO8"/>
  <c r="DQ8"/>
  <c r="DQ26"/>
  <c r="DQ51" s="1"/>
  <c r="FF8"/>
  <c r="FN8"/>
  <c r="FN26"/>
  <c r="FZ8"/>
  <c r="GU8"/>
  <c r="HH8"/>
  <c r="HI8"/>
  <c r="HJ8"/>
  <c r="HK8"/>
  <c r="ID8"/>
  <c r="IG8"/>
  <c r="CO9"/>
  <c r="DF9"/>
  <c r="IU9" s="1"/>
  <c r="CI10"/>
  <c r="CW10"/>
  <c r="G11"/>
  <c r="O11"/>
  <c r="T11"/>
  <c r="T26" s="1"/>
  <c r="V11"/>
  <c r="V26" s="1"/>
  <c r="V51" s="1"/>
  <c r="X11"/>
  <c r="X26"/>
  <c r="AB11"/>
  <c r="AB26"/>
  <c r="AB51" s="1"/>
  <c r="AC11"/>
  <c r="AF11"/>
  <c r="AF26"/>
  <c r="AF51" s="1"/>
  <c r="AK11"/>
  <c r="AW11"/>
  <c r="AW26"/>
  <c r="BA11"/>
  <c r="BG11"/>
  <c r="BG26" s="1"/>
  <c r="BG51" s="1"/>
  <c r="BJ11"/>
  <c r="BJ26"/>
  <c r="BL11"/>
  <c r="BL26"/>
  <c r="BL51" s="1"/>
  <c r="BR11"/>
  <c r="BS11"/>
  <c r="BT11"/>
  <c r="BT26" s="1"/>
  <c r="BV11"/>
  <c r="BW11"/>
  <c r="CA11"/>
  <c r="CA26" s="1"/>
  <c r="CA51" s="1"/>
  <c r="CC11"/>
  <c r="CF11"/>
  <c r="CJ11"/>
  <c r="CJ26"/>
  <c r="CK11"/>
  <c r="CK26"/>
  <c r="CN11"/>
  <c r="CN26"/>
  <c r="CP11"/>
  <c r="CR11"/>
  <c r="CR26" s="1"/>
  <c r="CR51" s="1"/>
  <c r="CS11"/>
  <c r="CT11"/>
  <c r="CT26"/>
  <c r="CT51" s="1"/>
  <c r="CU11"/>
  <c r="CV11"/>
  <c r="CW11"/>
  <c r="DE11"/>
  <c r="DO11"/>
  <c r="DP11"/>
  <c r="DZ11"/>
  <c r="EE11"/>
  <c r="EN11"/>
  <c r="ER11"/>
  <c r="ES11"/>
  <c r="EY11"/>
  <c r="EY26"/>
  <c r="FB11"/>
  <c r="FC11"/>
  <c r="FD11"/>
  <c r="FF11"/>
  <c r="FQ11"/>
  <c r="FQ26"/>
  <c r="GA11"/>
  <c r="GD11"/>
  <c r="GD26" s="1"/>
  <c r="GG11"/>
  <c r="GQ11"/>
  <c r="GV11"/>
  <c r="GX11"/>
  <c r="GY11"/>
  <c r="GY26"/>
  <c r="HK11"/>
  <c r="HN11"/>
  <c r="HR11"/>
  <c r="IF11"/>
  <c r="II11"/>
  <c r="IJ11"/>
  <c r="IM11"/>
  <c r="IU12"/>
  <c r="IU13"/>
  <c r="P14"/>
  <c r="IU14" s="1"/>
  <c r="CI14"/>
  <c r="DV14"/>
  <c r="CI15"/>
  <c r="GN15"/>
  <c r="IU15"/>
  <c r="AI17"/>
  <c r="GD17"/>
  <c r="D18"/>
  <c r="D26" s="1"/>
  <c r="D51" s="1"/>
  <c r="J18"/>
  <c r="J26"/>
  <c r="Q18"/>
  <c r="Q26"/>
  <c r="Q51" s="1"/>
  <c r="W18"/>
  <c r="W26" s="1"/>
  <c r="Z18"/>
  <c r="Z26" s="1"/>
  <c r="Z51" s="1"/>
  <c r="AO18"/>
  <c r="AP18"/>
  <c r="AP26" s="1"/>
  <c r="BH18"/>
  <c r="BH26" s="1"/>
  <c r="BI18"/>
  <c r="BI26" s="1"/>
  <c r="BQ18"/>
  <c r="BX18"/>
  <c r="BX26"/>
  <c r="CB18"/>
  <c r="CB26"/>
  <c r="CF18"/>
  <c r="CF26"/>
  <c r="CG18"/>
  <c r="CG26"/>
  <c r="CH18"/>
  <c r="CH26"/>
  <c r="CI18"/>
  <c r="EG18"/>
  <c r="EG26" s="1"/>
  <c r="FB18"/>
  <c r="FB26" s="1"/>
  <c r="FC18"/>
  <c r="FF18"/>
  <c r="FF26" s="1"/>
  <c r="GA18"/>
  <c r="GA26"/>
  <c r="GB18"/>
  <c r="GB26"/>
  <c r="GQ18"/>
  <c r="HA18"/>
  <c r="HA26" s="1"/>
  <c r="HK18"/>
  <c r="HM18"/>
  <c r="HM26"/>
  <c r="HS18"/>
  <c r="HT18"/>
  <c r="IQ18"/>
  <c r="E19"/>
  <c r="E26" s="1"/>
  <c r="BQ19"/>
  <c r="BV19"/>
  <c r="BV26" s="1"/>
  <c r="BV51" s="1"/>
  <c r="DW19"/>
  <c r="DW26"/>
  <c r="EC19"/>
  <c r="EG19"/>
  <c r="FL19"/>
  <c r="FT19"/>
  <c r="FT26" s="1"/>
  <c r="FZ19"/>
  <c r="FZ26" s="1"/>
  <c r="GI19"/>
  <c r="GI26" s="1"/>
  <c r="GL19"/>
  <c r="GV19"/>
  <c r="GV26"/>
  <c r="HG19"/>
  <c r="EC20"/>
  <c r="FZ20"/>
  <c r="C26"/>
  <c r="F26"/>
  <c r="H26"/>
  <c r="I26"/>
  <c r="K26"/>
  <c r="L26"/>
  <c r="M26"/>
  <c r="N26"/>
  <c r="O26"/>
  <c r="R26"/>
  <c r="S26"/>
  <c r="U26"/>
  <c r="Y26"/>
  <c r="AA26"/>
  <c r="AC26"/>
  <c r="AD26"/>
  <c r="AE26"/>
  <c r="AG26"/>
  <c r="AH26"/>
  <c r="AI26"/>
  <c r="AJ26"/>
  <c r="AK26"/>
  <c r="AL26"/>
  <c r="AM26"/>
  <c r="AN26"/>
  <c r="AO26"/>
  <c r="AQ26"/>
  <c r="AR26"/>
  <c r="AS26"/>
  <c r="AT26"/>
  <c r="AU26"/>
  <c r="AV26"/>
  <c r="AX26"/>
  <c r="AY26"/>
  <c r="AZ26"/>
  <c r="BA26"/>
  <c r="BB26"/>
  <c r="BC26"/>
  <c r="BD26"/>
  <c r="BE26"/>
  <c r="BF26"/>
  <c r="BK26"/>
  <c r="BM26"/>
  <c r="BN26"/>
  <c r="BO26"/>
  <c r="BP26"/>
  <c r="BS26"/>
  <c r="BU26"/>
  <c r="BW26"/>
  <c r="BY26"/>
  <c r="BZ26"/>
  <c r="CC26"/>
  <c r="CD26"/>
  <c r="CE26"/>
  <c r="CI26"/>
  <c r="CL26"/>
  <c r="CM26"/>
  <c r="CO26"/>
  <c r="CP26"/>
  <c r="CQ26"/>
  <c r="CS26"/>
  <c r="CU26"/>
  <c r="CX26"/>
  <c r="CY26"/>
  <c r="CZ26"/>
  <c r="DA26"/>
  <c r="DB26"/>
  <c r="DC26"/>
  <c r="DD26"/>
  <c r="DF26"/>
  <c r="DG26"/>
  <c r="DH26"/>
  <c r="DI26"/>
  <c r="DJ26"/>
  <c r="DK26"/>
  <c r="DL26"/>
  <c r="DM26"/>
  <c r="DN26"/>
  <c r="DO26"/>
  <c r="DP26"/>
  <c r="DR26"/>
  <c r="DS26"/>
  <c r="DT26"/>
  <c r="DU26"/>
  <c r="DV26"/>
  <c r="DX26"/>
  <c r="DY26"/>
  <c r="DZ26"/>
  <c r="EA26"/>
  <c r="EB26"/>
  <c r="EC26"/>
  <c r="ED26"/>
  <c r="EE26"/>
  <c r="EF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Z26"/>
  <c r="FA26"/>
  <c r="FC26"/>
  <c r="FD26"/>
  <c r="FE26"/>
  <c r="FG26"/>
  <c r="FH26"/>
  <c r="FI26"/>
  <c r="FJ26"/>
  <c r="FK26"/>
  <c r="FL26"/>
  <c r="FO26"/>
  <c r="FP26"/>
  <c r="FR26"/>
  <c r="FS26"/>
  <c r="FU26"/>
  <c r="FV26"/>
  <c r="FW26"/>
  <c r="FX26"/>
  <c r="FY26"/>
  <c r="GC26"/>
  <c r="GE26"/>
  <c r="GF26"/>
  <c r="GG26"/>
  <c r="GK26"/>
  <c r="GL26"/>
  <c r="GM26"/>
  <c r="GN26"/>
  <c r="GO26"/>
  <c r="GP26"/>
  <c r="GQ26"/>
  <c r="GR26"/>
  <c r="GS26"/>
  <c r="GT26"/>
  <c r="GU26"/>
  <c r="GW26"/>
  <c r="GX26"/>
  <c r="GZ26"/>
  <c r="HB26"/>
  <c r="HC26"/>
  <c r="HD26"/>
  <c r="HE26"/>
  <c r="HF26"/>
  <c r="HG26"/>
  <c r="HH26"/>
  <c r="HI26"/>
  <c r="HJ26"/>
  <c r="HK26"/>
  <c r="HL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N29"/>
  <c r="N47"/>
  <c r="N50" s="1"/>
  <c r="N51" s="1"/>
  <c r="AH29"/>
  <c r="AH47"/>
  <c r="AH50" s="1"/>
  <c r="AH51" s="1"/>
  <c r="BC29"/>
  <c r="BY29"/>
  <c r="BY47" s="1"/>
  <c r="BY50" s="1"/>
  <c r="BY51" s="1"/>
  <c r="IJ29"/>
  <c r="Q30"/>
  <c r="AD30"/>
  <c r="DO30"/>
  <c r="EY30"/>
  <c r="EY47" s="1"/>
  <c r="EY50" s="1"/>
  <c r="IE30"/>
  <c r="IU31"/>
  <c r="R32"/>
  <c r="R47"/>
  <c r="R50" s="1"/>
  <c r="R51" s="1"/>
  <c r="AL32"/>
  <c r="BF32"/>
  <c r="BF47" s="1"/>
  <c r="BF50" s="1"/>
  <c r="CS32"/>
  <c r="CS47"/>
  <c r="CS50" s="1"/>
  <c r="CS51" s="1"/>
  <c r="DN32"/>
  <c r="DN47"/>
  <c r="DN50" s="1"/>
  <c r="EY32"/>
  <c r="FK32"/>
  <c r="GB32"/>
  <c r="IH32"/>
  <c r="IO32"/>
  <c r="W33"/>
  <c r="IU33" s="1"/>
  <c r="IU34"/>
  <c r="S35"/>
  <c r="BD35"/>
  <c r="BN35"/>
  <c r="BN47"/>
  <c r="BN50" s="1"/>
  <c r="BN51" s="1"/>
  <c r="CD35"/>
  <c r="CH35"/>
  <c r="DP35"/>
  <c r="FF35"/>
  <c r="FI35"/>
  <c r="HT35"/>
  <c r="IG36"/>
  <c r="IL36"/>
  <c r="IU36" s="1"/>
  <c r="IU37"/>
  <c r="IU38"/>
  <c r="IU39"/>
  <c r="IU40"/>
  <c r="P41"/>
  <c r="P47" s="1"/>
  <c r="P50" s="1"/>
  <c r="BN41"/>
  <c r="FL41"/>
  <c r="IU42"/>
  <c r="E43"/>
  <c r="H43"/>
  <c r="H47"/>
  <c r="H50" s="1"/>
  <c r="H51" s="1"/>
  <c r="M43"/>
  <c r="M47"/>
  <c r="M50" s="1"/>
  <c r="M51" s="1"/>
  <c r="X43"/>
  <c r="AP43"/>
  <c r="AP47" s="1"/>
  <c r="AP50" s="1"/>
  <c r="AU43"/>
  <c r="AU47"/>
  <c r="AU50" s="1"/>
  <c r="AU51" s="1"/>
  <c r="BA43"/>
  <c r="BA47"/>
  <c r="BA50" s="1"/>
  <c r="BA51" s="1"/>
  <c r="BD43"/>
  <c r="BH43"/>
  <c r="BH47" s="1"/>
  <c r="BH50" s="1"/>
  <c r="BN43"/>
  <c r="BQ43"/>
  <c r="BS43"/>
  <c r="BS47"/>
  <c r="BS50" s="1"/>
  <c r="BS51" s="1"/>
  <c r="BW43"/>
  <c r="BX43"/>
  <c r="BX47" s="1"/>
  <c r="BX50" s="1"/>
  <c r="CH43"/>
  <c r="CH47"/>
  <c r="CH50" s="1"/>
  <c r="CI43"/>
  <c r="CK43"/>
  <c r="CM43"/>
  <c r="CN43"/>
  <c r="CN47"/>
  <c r="CN50" s="1"/>
  <c r="CR43"/>
  <c r="CW43"/>
  <c r="CW47"/>
  <c r="CW50" s="1"/>
  <c r="DD43"/>
  <c r="DG43"/>
  <c r="DG47"/>
  <c r="DG50" s="1"/>
  <c r="DG51" s="1"/>
  <c r="DR43"/>
  <c r="DR47"/>
  <c r="DR50" s="1"/>
  <c r="DU43"/>
  <c r="DW43"/>
  <c r="DZ43"/>
  <c r="DZ47" s="1"/>
  <c r="DZ50" s="1"/>
  <c r="EB43"/>
  <c r="EB47"/>
  <c r="EB50" s="1"/>
  <c r="EO43"/>
  <c r="EW43"/>
  <c r="FC43"/>
  <c r="FC47" s="1"/>
  <c r="FC50" s="1"/>
  <c r="FO43"/>
  <c r="FP43"/>
  <c r="FP47" s="1"/>
  <c r="FP50" s="1"/>
  <c r="FS43"/>
  <c r="GL43"/>
  <c r="GP43"/>
  <c r="HD43"/>
  <c r="HG43"/>
  <c r="HM43"/>
  <c r="HO43"/>
  <c r="IB43"/>
  <c r="IF43"/>
  <c r="IU44"/>
  <c r="IU45"/>
  <c r="IU46"/>
  <c r="C47"/>
  <c r="D47"/>
  <c r="F47"/>
  <c r="G47"/>
  <c r="I47"/>
  <c r="J47"/>
  <c r="K47"/>
  <c r="L47"/>
  <c r="O47"/>
  <c r="Q47"/>
  <c r="T47"/>
  <c r="U47"/>
  <c r="V47"/>
  <c r="W47"/>
  <c r="X47"/>
  <c r="Y47"/>
  <c r="Z47"/>
  <c r="AA47"/>
  <c r="AB47"/>
  <c r="AC47"/>
  <c r="AE47"/>
  <c r="AF47"/>
  <c r="AG47"/>
  <c r="AI47"/>
  <c r="AJ47"/>
  <c r="AK47"/>
  <c r="AL47"/>
  <c r="AM47"/>
  <c r="AN47"/>
  <c r="AO47"/>
  <c r="AQ47"/>
  <c r="AR47"/>
  <c r="AS47"/>
  <c r="AT47"/>
  <c r="AV47"/>
  <c r="AW47"/>
  <c r="AX47"/>
  <c r="AY47"/>
  <c r="AZ47"/>
  <c r="BB47"/>
  <c r="BC47"/>
  <c r="BE47"/>
  <c r="BG47"/>
  <c r="BI47"/>
  <c r="BJ47"/>
  <c r="BK47"/>
  <c r="BL47"/>
  <c r="BM47"/>
  <c r="BO47"/>
  <c r="BP47"/>
  <c r="BQ47"/>
  <c r="BR47"/>
  <c r="BT47"/>
  <c r="BU47"/>
  <c r="BV47"/>
  <c r="BW47"/>
  <c r="BZ47"/>
  <c r="CA47"/>
  <c r="CB47"/>
  <c r="CC47"/>
  <c r="CD47"/>
  <c r="CE47"/>
  <c r="CE50" s="1"/>
  <c r="CF47"/>
  <c r="CG47"/>
  <c r="CG50"/>
  <c r="CI47"/>
  <c r="CI50"/>
  <c r="CI51" s="1"/>
  <c r="CJ47"/>
  <c r="CK47"/>
  <c r="CK50"/>
  <c r="CL47"/>
  <c r="CM47"/>
  <c r="CM50" s="1"/>
  <c r="CM51" s="1"/>
  <c r="CO47"/>
  <c r="CO50"/>
  <c r="CP47"/>
  <c r="CQ47"/>
  <c r="CQ50" s="1"/>
  <c r="CR47"/>
  <c r="CT47"/>
  <c r="CU47"/>
  <c r="CU50" s="1"/>
  <c r="CV47"/>
  <c r="CX47"/>
  <c r="CY47"/>
  <c r="CY50" s="1"/>
  <c r="CY51" s="1"/>
  <c r="CZ47"/>
  <c r="DA47"/>
  <c r="DA50" s="1"/>
  <c r="DA51" s="1"/>
  <c r="DB47"/>
  <c r="DC47"/>
  <c r="DC50" s="1"/>
  <c r="DC51" s="1"/>
  <c r="DD47"/>
  <c r="DE47"/>
  <c r="DE50" s="1"/>
  <c r="DF47"/>
  <c r="DH47"/>
  <c r="DI47"/>
  <c r="DI50" s="1"/>
  <c r="DI51" s="1"/>
  <c r="DJ47"/>
  <c r="DK47"/>
  <c r="DK50" s="1"/>
  <c r="DK51" s="1"/>
  <c r="DL47"/>
  <c r="DM47"/>
  <c r="DM50" s="1"/>
  <c r="DM51" s="1"/>
  <c r="DO47"/>
  <c r="DO50"/>
  <c r="DO51" s="1"/>
  <c r="DP47"/>
  <c r="DQ47"/>
  <c r="DQ50"/>
  <c r="DS47"/>
  <c r="DS50"/>
  <c r="DT47"/>
  <c r="DU47"/>
  <c r="DU50" s="1"/>
  <c r="DV47"/>
  <c r="DW47"/>
  <c r="DW50"/>
  <c r="DX47"/>
  <c r="DY47"/>
  <c r="DY50" s="1"/>
  <c r="EA47"/>
  <c r="EA50" s="1"/>
  <c r="EC47"/>
  <c r="EC50" s="1"/>
  <c r="ED47"/>
  <c r="EE47"/>
  <c r="EE50"/>
  <c r="EF47"/>
  <c r="EG47"/>
  <c r="EG50" s="1"/>
  <c r="EH47"/>
  <c r="EI47"/>
  <c r="EI50"/>
  <c r="EJ47"/>
  <c r="EK47"/>
  <c r="EK50" s="1"/>
  <c r="EL47"/>
  <c r="EM47"/>
  <c r="EM50"/>
  <c r="EN47"/>
  <c r="EO47"/>
  <c r="EO50" s="1"/>
  <c r="EP47"/>
  <c r="EQ47"/>
  <c r="EQ50"/>
  <c r="ER47"/>
  <c r="ES47"/>
  <c r="ES50" s="1"/>
  <c r="ET47"/>
  <c r="EU47"/>
  <c r="EU50"/>
  <c r="EV47"/>
  <c r="EW47"/>
  <c r="EW50" s="1"/>
  <c r="EX47"/>
  <c r="EZ47"/>
  <c r="FA47"/>
  <c r="FA50"/>
  <c r="FB47"/>
  <c r="FD47"/>
  <c r="FE47"/>
  <c r="FE50"/>
  <c r="FF47"/>
  <c r="FG47"/>
  <c r="FG50" s="1"/>
  <c r="FH47"/>
  <c r="FI47"/>
  <c r="FI50"/>
  <c r="FJ47"/>
  <c r="FK47"/>
  <c r="FK50" s="1"/>
  <c r="FL47"/>
  <c r="FM47"/>
  <c r="FM50"/>
  <c r="FN47"/>
  <c r="FO47"/>
  <c r="FO50" s="1"/>
  <c r="FQ47"/>
  <c r="FQ50" s="1"/>
  <c r="FR47"/>
  <c r="FS47"/>
  <c r="FS50"/>
  <c r="FT47"/>
  <c r="FU47"/>
  <c r="FU50" s="1"/>
  <c r="FV47"/>
  <c r="FW47"/>
  <c r="FW50"/>
  <c r="FX47"/>
  <c r="FY47"/>
  <c r="FY50" s="1"/>
  <c r="FZ47"/>
  <c r="GA47"/>
  <c r="GA50"/>
  <c r="GB47"/>
  <c r="GC47"/>
  <c r="GC50" s="1"/>
  <c r="GD47"/>
  <c r="GE47"/>
  <c r="GE50"/>
  <c r="GF47"/>
  <c r="GG47"/>
  <c r="GG50" s="1"/>
  <c r="GH47"/>
  <c r="GI47"/>
  <c r="GJ47"/>
  <c r="GK47"/>
  <c r="GK50"/>
  <c r="GL47"/>
  <c r="GL50"/>
  <c r="GM47"/>
  <c r="GM50"/>
  <c r="GN47"/>
  <c r="GO47"/>
  <c r="GO50" s="1"/>
  <c r="GP47"/>
  <c r="GP50" s="1"/>
  <c r="GQ47"/>
  <c r="GQ50" s="1"/>
  <c r="GR47"/>
  <c r="GS47"/>
  <c r="GS50"/>
  <c r="GT47"/>
  <c r="GT50"/>
  <c r="GU47"/>
  <c r="GU50"/>
  <c r="GV47"/>
  <c r="GW47"/>
  <c r="GW50" s="1"/>
  <c r="GX47"/>
  <c r="GX50" s="1"/>
  <c r="GY47"/>
  <c r="GY50" s="1"/>
  <c r="GZ47"/>
  <c r="HA47"/>
  <c r="HA50"/>
  <c r="HB47"/>
  <c r="HB50"/>
  <c r="HC47"/>
  <c r="HC50"/>
  <c r="HD47"/>
  <c r="HE47"/>
  <c r="HE50" s="1"/>
  <c r="HF47"/>
  <c r="HF50" s="1"/>
  <c r="HG47"/>
  <c r="HG50" s="1"/>
  <c r="HH47"/>
  <c r="HI47"/>
  <c r="HI50"/>
  <c r="HJ47"/>
  <c r="HJ50"/>
  <c r="HK47"/>
  <c r="HK50"/>
  <c r="HL47"/>
  <c r="HM47"/>
  <c r="HM50" s="1"/>
  <c r="HN47"/>
  <c r="HN50" s="1"/>
  <c r="HO47"/>
  <c r="HO50" s="1"/>
  <c r="HP47"/>
  <c r="HQ47"/>
  <c r="HQ50"/>
  <c r="HR47"/>
  <c r="HR50"/>
  <c r="HS47"/>
  <c r="HS50"/>
  <c r="HT47"/>
  <c r="HU47"/>
  <c r="HU50" s="1"/>
  <c r="HV47"/>
  <c r="HV50" s="1"/>
  <c r="HW47"/>
  <c r="HW50" s="1"/>
  <c r="HX47"/>
  <c r="HY47"/>
  <c r="HY50"/>
  <c r="HZ47"/>
  <c r="HZ50"/>
  <c r="IA47"/>
  <c r="IA50"/>
  <c r="IB47"/>
  <c r="IC47"/>
  <c r="IC50" s="1"/>
  <c r="ID47"/>
  <c r="ID50" s="1"/>
  <c r="IE47"/>
  <c r="IE50" s="1"/>
  <c r="IF47"/>
  <c r="IF50" s="1"/>
  <c r="IG47"/>
  <c r="IG50" s="1"/>
  <c r="IH47"/>
  <c r="IH50" s="1"/>
  <c r="II47"/>
  <c r="II50" s="1"/>
  <c r="IJ47"/>
  <c r="IK47"/>
  <c r="IK50"/>
  <c r="IL47"/>
  <c r="IL50"/>
  <c r="IM47"/>
  <c r="IM50"/>
  <c r="IN47"/>
  <c r="IN50"/>
  <c r="IO47"/>
  <c r="IO50"/>
  <c r="IP47"/>
  <c r="IP50"/>
  <c r="IQ47"/>
  <c r="IQ50"/>
  <c r="IR47"/>
  <c r="IS47"/>
  <c r="IS50" s="1"/>
  <c r="IT47"/>
  <c r="IT50" s="1"/>
  <c r="AT49"/>
  <c r="AT50" s="1"/>
  <c r="AT51" s="1"/>
  <c r="GI49"/>
  <c r="GI50"/>
  <c r="C50"/>
  <c r="C51"/>
  <c r="D50"/>
  <c r="F50"/>
  <c r="F51" s="1"/>
  <c r="G50"/>
  <c r="I50"/>
  <c r="J50"/>
  <c r="K50"/>
  <c r="K51"/>
  <c r="L50"/>
  <c r="L51"/>
  <c r="O50"/>
  <c r="O51"/>
  <c r="Q50"/>
  <c r="T50"/>
  <c r="U50"/>
  <c r="V50"/>
  <c r="W50"/>
  <c r="X50"/>
  <c r="Y50"/>
  <c r="Y51"/>
  <c r="Z50"/>
  <c r="AA50"/>
  <c r="AB50"/>
  <c r="AC50"/>
  <c r="AC51" s="1"/>
  <c r="AE50"/>
  <c r="AE51"/>
  <c r="AF50"/>
  <c r="AG50"/>
  <c r="AG51" s="1"/>
  <c r="AI50"/>
  <c r="AI51" s="1"/>
  <c r="AJ50"/>
  <c r="AJ51" s="1"/>
  <c r="AK50"/>
  <c r="AK51" s="1"/>
  <c r="AL50"/>
  <c r="AL51" s="1"/>
  <c r="AM50"/>
  <c r="AN50"/>
  <c r="AN51"/>
  <c r="AO50"/>
  <c r="AO51"/>
  <c r="AQ50"/>
  <c r="AQ51"/>
  <c r="AR50"/>
  <c r="AR51"/>
  <c r="AS50"/>
  <c r="AS51"/>
  <c r="AV50"/>
  <c r="AV51"/>
  <c r="AW50"/>
  <c r="AX50"/>
  <c r="AX51" s="1"/>
  <c r="AY50"/>
  <c r="AY51" s="1"/>
  <c r="AZ50"/>
  <c r="AZ51" s="1"/>
  <c r="BB50"/>
  <c r="BB51" s="1"/>
  <c r="BC50"/>
  <c r="BC51" s="1"/>
  <c r="BE50"/>
  <c r="BE51" s="1"/>
  <c r="BG50"/>
  <c r="BI50"/>
  <c r="BJ50"/>
  <c r="BK50"/>
  <c r="BL50"/>
  <c r="BM50"/>
  <c r="BM51"/>
  <c r="BO50"/>
  <c r="BO51"/>
  <c r="BP50"/>
  <c r="BP51"/>
  <c r="BQ50"/>
  <c r="BR50"/>
  <c r="BT50"/>
  <c r="BU50"/>
  <c r="BU51" s="1"/>
  <c r="BV50"/>
  <c r="BW50"/>
  <c r="BW51"/>
  <c r="BZ50"/>
  <c r="BZ51"/>
  <c r="CA50"/>
  <c r="CB50"/>
  <c r="CB51" s="1"/>
  <c r="CC50"/>
  <c r="CD50"/>
  <c r="CD51"/>
  <c r="CF50"/>
  <c r="CJ50"/>
  <c r="CL50"/>
  <c r="CP50"/>
  <c r="CP51" s="1"/>
  <c r="CR50"/>
  <c r="CT50"/>
  <c r="CV50"/>
  <c r="CX50"/>
  <c r="CZ50"/>
  <c r="DB50"/>
  <c r="DD50"/>
  <c r="DF50"/>
  <c r="DH50"/>
  <c r="DJ50"/>
  <c r="DL50"/>
  <c r="DP50"/>
  <c r="DT50"/>
  <c r="DV50"/>
  <c r="DX50"/>
  <c r="ED50"/>
  <c r="EF50"/>
  <c r="EH50"/>
  <c r="EJ50"/>
  <c r="EL50"/>
  <c r="EN50"/>
  <c r="EP50"/>
  <c r="ER50"/>
  <c r="ET50"/>
  <c r="EV50"/>
  <c r="EX50"/>
  <c r="EZ50"/>
  <c r="FB50"/>
  <c r="FD50"/>
  <c r="FF50"/>
  <c r="FH50"/>
  <c r="FJ50"/>
  <c r="FL50"/>
  <c r="FN50"/>
  <c r="FR50"/>
  <c r="FT50"/>
  <c r="FV50"/>
  <c r="FX50"/>
  <c r="FZ50"/>
  <c r="GB50"/>
  <c r="GD50"/>
  <c r="GF50"/>
  <c r="GH50"/>
  <c r="GJ50"/>
  <c r="GN50"/>
  <c r="GR50"/>
  <c r="GV50"/>
  <c r="GZ50"/>
  <c r="HD50"/>
  <c r="HH50"/>
  <c r="HL50"/>
  <c r="HP50"/>
  <c r="HT50"/>
  <c r="HX50"/>
  <c r="IB50"/>
  <c r="IJ50"/>
  <c r="IR50"/>
  <c r="I51"/>
  <c r="U51"/>
  <c r="AA51"/>
  <c r="AM51"/>
  <c r="AW51"/>
  <c r="BK51"/>
  <c r="CC51"/>
  <c r="CL51"/>
  <c r="CX51"/>
  <c r="CZ51"/>
  <c r="DB51"/>
  <c r="DD51"/>
  <c r="DF51"/>
  <c r="DH51"/>
  <c r="DJ51"/>
  <c r="DL51"/>
  <c r="DP51"/>
  <c r="H52"/>
  <c r="AT52"/>
  <c r="EC52"/>
  <c r="EH52"/>
  <c r="EI52"/>
  <c r="EJ52"/>
  <c r="EK52"/>
  <c r="EQ52"/>
  <c r="FZ52"/>
  <c r="GI52"/>
  <c r="HI52"/>
  <c r="D55"/>
  <c r="E55" s="1"/>
  <c r="F55" s="1"/>
  <c r="D56"/>
  <c r="E56"/>
  <c r="EK56"/>
  <c r="EL56"/>
  <c r="EM56" s="1"/>
  <c r="EN56" s="1"/>
  <c r="EO56" s="1"/>
  <c r="EP56" s="1"/>
  <c r="EQ56" s="1"/>
  <c r="ER56" s="1"/>
  <c r="ES56" s="1"/>
  <c r="ET56" s="1"/>
  <c r="EU56" s="1"/>
  <c r="EV56" s="1"/>
  <c r="EW56" s="1"/>
  <c r="EX56" s="1"/>
  <c r="EY56" s="1"/>
  <c r="EZ56" s="1"/>
  <c r="FA56" s="1"/>
  <c r="FB56" s="1"/>
  <c r="FC56" s="1"/>
  <c r="FD56" s="1"/>
  <c r="FE56" s="1"/>
  <c r="FF56" s="1"/>
  <c r="FG56" s="1"/>
  <c r="FH56" s="1"/>
  <c r="FI56" s="1"/>
  <c r="FJ56" s="1"/>
  <c r="FK56" s="1"/>
  <c r="FL56" s="1"/>
  <c r="FM56" s="1"/>
  <c r="FN56" s="1"/>
  <c r="FO56" s="1"/>
  <c r="FP56" s="1"/>
  <c r="FQ56" s="1"/>
  <c r="FR56" s="1"/>
  <c r="FS56" s="1"/>
  <c r="FT56" s="1"/>
  <c r="FU56" s="1"/>
  <c r="FV56" s="1"/>
  <c r="FW56" s="1"/>
  <c r="FX56" s="1"/>
  <c r="D57"/>
  <c r="E57"/>
  <c r="F57" s="1"/>
  <c r="G57" s="1"/>
  <c r="H57" s="1"/>
  <c r="I57" s="1"/>
  <c r="J57" s="1"/>
  <c r="K57" s="1"/>
  <c r="L57" s="1"/>
  <c r="M57" s="1"/>
  <c r="N57" s="1"/>
  <c r="O57" s="1"/>
  <c r="P57" s="1"/>
  <c r="Q57" s="1"/>
  <c r="R57" s="1"/>
  <c r="S57" s="1"/>
  <c r="T57" s="1"/>
  <c r="U57" s="1"/>
  <c r="V57" s="1"/>
  <c r="W57" s="1"/>
  <c r="X57" s="1"/>
  <c r="Y57" s="1"/>
  <c r="Z57" s="1"/>
  <c r="AA57" s="1"/>
  <c r="AB57" s="1"/>
  <c r="AC57" s="1"/>
  <c r="AD57" s="1"/>
  <c r="AE57" s="1"/>
  <c r="AF57" s="1"/>
  <c r="AG57" s="1"/>
  <c r="AH57" s="1"/>
  <c r="AI57" s="1"/>
  <c r="AJ57" s="1"/>
  <c r="AK57" s="1"/>
  <c r="AL57" s="1"/>
  <c r="AM57" s="1"/>
  <c r="AN57" s="1"/>
  <c r="AO57" s="1"/>
  <c r="AP57" s="1"/>
  <c r="AQ57" s="1"/>
  <c r="AR57" s="1"/>
  <c r="AS57" s="1"/>
  <c r="AT57" s="1"/>
  <c r="AU57" s="1"/>
  <c r="AV57" s="1"/>
  <c r="AW57" s="1"/>
  <c r="AX57" s="1"/>
  <c r="AY57" s="1"/>
  <c r="AZ57" s="1"/>
  <c r="BA57" s="1"/>
  <c r="BB57" s="1"/>
  <c r="BC57" s="1"/>
  <c r="BD57" s="1"/>
  <c r="BE57" s="1"/>
  <c r="BF57" s="1"/>
  <c r="BG57" s="1"/>
  <c r="BH57" s="1"/>
  <c r="BI57" s="1"/>
  <c r="BJ57" s="1"/>
  <c r="BK57" s="1"/>
  <c r="BL57" s="1"/>
  <c r="BM57" s="1"/>
  <c r="BN57" s="1"/>
  <c r="BO57" s="1"/>
  <c r="BP57" s="1"/>
  <c r="BQ57" s="1"/>
  <c r="BR57" s="1"/>
  <c r="BS57" s="1"/>
  <c r="BT57" s="1"/>
  <c r="BU57" s="1"/>
  <c r="BV57" s="1"/>
  <c r="BW57" s="1"/>
  <c r="BX57" s="1"/>
  <c r="BY57" s="1"/>
  <c r="BZ57" s="1"/>
  <c r="CA57" s="1"/>
  <c r="CB57" s="1"/>
  <c r="CC57" s="1"/>
  <c r="CD57" s="1"/>
  <c r="CE57" s="1"/>
  <c r="CF57" s="1"/>
  <c r="CG57" s="1"/>
  <c r="CH57" s="1"/>
  <c r="CI57" s="1"/>
  <c r="CJ57" s="1"/>
  <c r="CK57" s="1"/>
  <c r="CL57" s="1"/>
  <c r="CM57" s="1"/>
  <c r="CN57" s="1"/>
  <c r="CO57" s="1"/>
  <c r="CP57" s="1"/>
  <c r="CQ57" s="1"/>
  <c r="CR57" s="1"/>
  <c r="CS57" s="1"/>
  <c r="CT57" s="1"/>
  <c r="CU57" s="1"/>
  <c r="CV57" s="1"/>
  <c r="CW57" s="1"/>
  <c r="CX57" s="1"/>
  <c r="CY57" s="1"/>
  <c r="CZ57" s="1"/>
  <c r="DA57" s="1"/>
  <c r="DB57" s="1"/>
  <c r="DC57" s="1"/>
  <c r="DD57" s="1"/>
  <c r="DE57" s="1"/>
  <c r="DF57" s="1"/>
  <c r="DG57" s="1"/>
  <c r="DH57" s="1"/>
  <c r="DI57" s="1"/>
  <c r="DJ57" s="1"/>
  <c r="DK57" s="1"/>
  <c r="DL57" s="1"/>
  <c r="DM57" s="1"/>
  <c r="DN57" s="1"/>
  <c r="DO57" s="1"/>
  <c r="DP57" s="1"/>
  <c r="DQ57" s="1"/>
  <c r="DR57" s="1"/>
  <c r="DS57" s="1"/>
  <c r="DT57" s="1"/>
  <c r="DU57" s="1"/>
  <c r="DV57" s="1"/>
  <c r="DW57" s="1"/>
  <c r="DX57" s="1"/>
  <c r="DY57" s="1"/>
  <c r="DZ57" s="1"/>
  <c r="EA57" s="1"/>
  <c r="EB57" s="1"/>
  <c r="EC57" s="1"/>
  <c r="ED57" s="1"/>
  <c r="EE57" s="1"/>
  <c r="EF57" s="1"/>
  <c r="EG57" s="1"/>
  <c r="EH57" s="1"/>
  <c r="EI57" s="1"/>
  <c r="EJ57" s="1"/>
  <c r="EK57" s="1"/>
  <c r="EL57" s="1"/>
  <c r="EM57" s="1"/>
  <c r="EN57" s="1"/>
  <c r="EO57" s="1"/>
  <c r="EP57" s="1"/>
  <c r="EQ57" s="1"/>
  <c r="ER57" s="1"/>
  <c r="ES57" s="1"/>
  <c r="ET57" s="1"/>
  <c r="EU57" s="1"/>
  <c r="EV57" s="1"/>
  <c r="EW57" s="1"/>
  <c r="EX57" s="1"/>
  <c r="EY57" s="1"/>
  <c r="EZ57" s="1"/>
  <c r="FA57" s="1"/>
  <c r="FB57" s="1"/>
  <c r="FC57" s="1"/>
  <c r="FD57" s="1"/>
  <c r="FE57" s="1"/>
  <c r="FF57" s="1"/>
  <c r="FG57" s="1"/>
  <c r="FH57" s="1"/>
  <c r="FI57" s="1"/>
  <c r="FJ57" s="1"/>
  <c r="FK57" s="1"/>
  <c r="FL57" s="1"/>
  <c r="FM57" s="1"/>
  <c r="FN57" s="1"/>
  <c r="FO57" s="1"/>
  <c r="FP57" s="1"/>
  <c r="FQ57" s="1"/>
  <c r="FR57" s="1"/>
  <c r="FS57" s="1"/>
  <c r="FT57" s="1"/>
  <c r="FU57" s="1"/>
  <c r="FV57" s="1"/>
  <c r="FW57" s="1"/>
  <c r="FX57" s="1"/>
  <c r="FY57" s="1"/>
  <c r="FZ57" s="1"/>
  <c r="GA57" s="1"/>
  <c r="GB57" s="1"/>
  <c r="GC57" s="1"/>
  <c r="GD57" s="1"/>
  <c r="GE57" s="1"/>
  <c r="GF57" s="1"/>
  <c r="GG57" s="1"/>
  <c r="GH57" s="1"/>
  <c r="GI57" s="1"/>
  <c r="GJ57" s="1"/>
  <c r="GK57" s="1"/>
  <c r="GL57" s="1"/>
  <c r="GM57" s="1"/>
  <c r="GN57" s="1"/>
  <c r="GO57" s="1"/>
  <c r="GP57" s="1"/>
  <c r="GQ57" s="1"/>
  <c r="GR57" s="1"/>
  <c r="GS57" s="1"/>
  <c r="GT57" s="1"/>
  <c r="GU57" s="1"/>
  <c r="GV57" s="1"/>
  <c r="GW57" s="1"/>
  <c r="GX57" s="1"/>
  <c r="GY57" s="1"/>
  <c r="GZ57" s="1"/>
  <c r="HA57" s="1"/>
  <c r="HB57" s="1"/>
  <c r="HC57" s="1"/>
  <c r="HD57" s="1"/>
  <c r="HE57" s="1"/>
  <c r="HF57" s="1"/>
  <c r="HG57" s="1"/>
  <c r="HH57" s="1"/>
  <c r="HI57" s="1"/>
  <c r="HJ57" s="1"/>
  <c r="HK57" s="1"/>
  <c r="HL57" s="1"/>
  <c r="HM57" s="1"/>
  <c r="HN57" s="1"/>
  <c r="HO57" s="1"/>
  <c r="HP57" s="1"/>
  <c r="HQ57" s="1"/>
  <c r="HR57" s="1"/>
  <c r="HS57" s="1"/>
  <c r="HT57" s="1"/>
  <c r="HU57" s="1"/>
  <c r="HV57" s="1"/>
  <c r="HW57" s="1"/>
  <c r="HX57" s="1"/>
  <c r="HY57" s="1"/>
  <c r="HZ57" s="1"/>
  <c r="IA57" s="1"/>
  <c r="IB57" s="1"/>
  <c r="IC57" s="1"/>
  <c r="ID57" s="1"/>
  <c r="IE57" s="1"/>
  <c r="IF57" s="1"/>
  <c r="IG57" s="1"/>
  <c r="IH57" s="1"/>
  <c r="II57" s="1"/>
  <c r="IJ57" s="1"/>
  <c r="IK57" s="1"/>
  <c r="IL57" s="1"/>
  <c r="IM57" s="1"/>
  <c r="IN57" s="1"/>
  <c r="IO57" s="1"/>
  <c r="IP57" s="1"/>
  <c r="IQ57" s="1"/>
  <c r="IR57" s="1"/>
  <c r="IS57" s="1"/>
  <c r="IT57" s="1"/>
  <c r="D58"/>
  <c r="E58" s="1"/>
  <c r="F58" s="1"/>
  <c r="G58" s="1"/>
  <c r="H58" s="1"/>
  <c r="I58" s="1"/>
  <c r="J58" s="1"/>
  <c r="K58" s="1"/>
  <c r="L58" s="1"/>
  <c r="M58" s="1"/>
  <c r="N58" s="1"/>
  <c r="O58" s="1"/>
  <c r="P58" s="1"/>
  <c r="Q58" s="1"/>
  <c r="R58" s="1"/>
  <c r="S58" s="1"/>
  <c r="T58" s="1"/>
  <c r="U58" s="1"/>
  <c r="V58" s="1"/>
  <c r="W58" s="1"/>
  <c r="X58" s="1"/>
  <c r="Y58" s="1"/>
  <c r="Z58" s="1"/>
  <c r="AA58" s="1"/>
  <c r="AB58" s="1"/>
  <c r="AC58" s="1"/>
  <c r="AD58" s="1"/>
  <c r="AE58" s="1"/>
  <c r="AF58" s="1"/>
  <c r="AG58" s="1"/>
  <c r="AH58" s="1"/>
  <c r="AI58" s="1"/>
  <c r="AJ58" s="1"/>
  <c r="AK58" s="1"/>
  <c r="AL58" s="1"/>
  <c r="AM58" s="1"/>
  <c r="AN58" s="1"/>
  <c r="AO58" s="1"/>
  <c r="AP58" s="1"/>
  <c r="AQ58" s="1"/>
  <c r="AR58" s="1"/>
  <c r="AS58" s="1"/>
  <c r="AT58" s="1"/>
  <c r="AU58" s="1"/>
  <c r="AV58" s="1"/>
  <c r="AW58" s="1"/>
  <c r="AX58" s="1"/>
  <c r="AY58" s="1"/>
  <c r="AZ58" s="1"/>
  <c r="BA58" s="1"/>
  <c r="BB58" s="1"/>
  <c r="BC58" s="1"/>
  <c r="BD58" s="1"/>
  <c r="BE58" s="1"/>
  <c r="BF58" s="1"/>
  <c r="BG58" s="1"/>
  <c r="BH58" s="1"/>
  <c r="BI58" s="1"/>
  <c r="BJ58" s="1"/>
  <c r="BK58" s="1"/>
  <c r="BL58" s="1"/>
  <c r="BM58" s="1"/>
  <c r="BN58" s="1"/>
  <c r="BO58" s="1"/>
  <c r="BP58" s="1"/>
  <c r="BQ58" s="1"/>
  <c r="BR58" s="1"/>
  <c r="BS58" s="1"/>
  <c r="BT58" s="1"/>
  <c r="BU58" s="1"/>
  <c r="BV58" s="1"/>
  <c r="BW58" s="1"/>
  <c r="BX58" s="1"/>
  <c r="BY58" s="1"/>
  <c r="BZ58" s="1"/>
  <c r="CA58" s="1"/>
  <c r="CB58" s="1"/>
  <c r="CC58" s="1"/>
  <c r="CD58" s="1"/>
  <c r="CE58" s="1"/>
  <c r="CF58" s="1"/>
  <c r="CG58" s="1"/>
  <c r="CH58" s="1"/>
  <c r="CI58" s="1"/>
  <c r="CJ58" s="1"/>
  <c r="CK58" s="1"/>
  <c r="CL58" s="1"/>
  <c r="CM58" s="1"/>
  <c r="CN58" s="1"/>
  <c r="CO58" s="1"/>
  <c r="CP58" s="1"/>
  <c r="CQ58" s="1"/>
  <c r="CR58" s="1"/>
  <c r="CS58" s="1"/>
  <c r="CT58" s="1"/>
  <c r="CU58" s="1"/>
  <c r="CV58" s="1"/>
  <c r="CW58" s="1"/>
  <c r="CX58" s="1"/>
  <c r="CY58" s="1"/>
  <c r="CZ58" s="1"/>
  <c r="DA58" s="1"/>
  <c r="DB58" s="1"/>
  <c r="DC58" s="1"/>
  <c r="DD58" s="1"/>
  <c r="DE58" s="1"/>
  <c r="DF58" s="1"/>
  <c r="DG58" s="1"/>
  <c r="DH58" s="1"/>
  <c r="DI58" s="1"/>
  <c r="DJ58" s="1"/>
  <c r="DK58" s="1"/>
  <c r="DL58" s="1"/>
  <c r="DM58" s="1"/>
  <c r="DN58" s="1"/>
  <c r="DO58" s="1"/>
  <c r="DP58" s="1"/>
  <c r="DQ58" s="1"/>
  <c r="DR58" s="1"/>
  <c r="DS58" s="1"/>
  <c r="DT58" s="1"/>
  <c r="DU58" s="1"/>
  <c r="DV58" s="1"/>
  <c r="DW58" s="1"/>
  <c r="DX58" s="1"/>
  <c r="DY58" s="1"/>
  <c r="DZ58" s="1"/>
  <c r="EA58" s="1"/>
  <c r="EB58" s="1"/>
  <c r="EC58" s="1"/>
  <c r="ED58" s="1"/>
  <c r="EE58" s="1"/>
  <c r="EF58" s="1"/>
  <c r="EG58" s="1"/>
  <c r="EH58" s="1"/>
  <c r="EI58" s="1"/>
  <c r="EJ58" s="1"/>
  <c r="EK58" s="1"/>
  <c r="EL58" s="1"/>
  <c r="EM58" s="1"/>
  <c r="EN58" s="1"/>
  <c r="EO58" s="1"/>
  <c r="EP58" s="1"/>
  <c r="EQ58" s="1"/>
  <c r="ER58" s="1"/>
  <c r="ES58" s="1"/>
  <c r="ET58" s="1"/>
  <c r="EU58" s="1"/>
  <c r="EV58" s="1"/>
  <c r="EW58" s="1"/>
  <c r="EX58" s="1"/>
  <c r="EY58" s="1"/>
  <c r="EZ58" s="1"/>
  <c r="FA58" s="1"/>
  <c r="FB58" s="1"/>
  <c r="FC58" s="1"/>
  <c r="FD58" s="1"/>
  <c r="FE58" s="1"/>
  <c r="FF58" s="1"/>
  <c r="FG58" s="1"/>
  <c r="FH58" s="1"/>
  <c r="FI58" s="1"/>
  <c r="FJ58" s="1"/>
  <c r="FK58" s="1"/>
  <c r="FL58" s="1"/>
  <c r="FM58" s="1"/>
  <c r="FN58" s="1"/>
  <c r="FO58" s="1"/>
  <c r="FP58" s="1"/>
  <c r="FQ58" s="1"/>
  <c r="FR58" s="1"/>
  <c r="FS58" s="1"/>
  <c r="FT58" s="1"/>
  <c r="FU58" s="1"/>
  <c r="FV58" s="1"/>
  <c r="FW58" s="1"/>
  <c r="FX58" s="1"/>
  <c r="FY58" s="1"/>
  <c r="FZ58" s="1"/>
  <c r="GA58" s="1"/>
  <c r="GB58" s="1"/>
  <c r="GC58" s="1"/>
  <c r="GD58" s="1"/>
  <c r="GE58" s="1"/>
  <c r="GF58" s="1"/>
  <c r="GG58" s="1"/>
  <c r="GH58" s="1"/>
  <c r="GI58" s="1"/>
  <c r="GJ58" s="1"/>
  <c r="GK58" s="1"/>
  <c r="GL58" s="1"/>
  <c r="GM58" s="1"/>
  <c r="GN58" s="1"/>
  <c r="GO58" s="1"/>
  <c r="GP58" s="1"/>
  <c r="GQ58" s="1"/>
  <c r="GR58" s="1"/>
  <c r="GS58" s="1"/>
  <c r="GT58" s="1"/>
  <c r="GU58" s="1"/>
  <c r="GV58" s="1"/>
  <c r="GW58" s="1"/>
  <c r="GX58" s="1"/>
  <c r="GY58" s="1"/>
  <c r="GZ58" s="1"/>
  <c r="HA58" s="1"/>
  <c r="HB58" s="1"/>
  <c r="HC58" s="1"/>
  <c r="HD58" s="1"/>
  <c r="HE58" s="1"/>
  <c r="HF58" s="1"/>
  <c r="HG58" s="1"/>
  <c r="HH58" s="1"/>
  <c r="HI58" s="1"/>
  <c r="HJ58" s="1"/>
  <c r="HK58" s="1"/>
  <c r="HL58" s="1"/>
  <c r="HM58" s="1"/>
  <c r="HN58" s="1"/>
  <c r="HO58" s="1"/>
  <c r="HP58" s="1"/>
  <c r="HQ58" s="1"/>
  <c r="HR58" s="1"/>
  <c r="HS58" s="1"/>
  <c r="HT58" s="1"/>
  <c r="HU58" s="1"/>
  <c r="HV58" s="1"/>
  <c r="HW58" s="1"/>
  <c r="HX58" s="1"/>
  <c r="HY58" s="1"/>
  <c r="HZ58" s="1"/>
  <c r="IA58" s="1"/>
  <c r="IB58" s="1"/>
  <c r="IC58" s="1"/>
  <c r="ID58" s="1"/>
  <c r="IE58" s="1"/>
  <c r="IF58" s="1"/>
  <c r="IG58" s="1"/>
  <c r="IH58" s="1"/>
  <c r="II58" s="1"/>
  <c r="IJ58" s="1"/>
  <c r="IK58" s="1"/>
  <c r="IL58" s="1"/>
  <c r="IM58" s="1"/>
  <c r="IN58" s="1"/>
  <c r="IO58" s="1"/>
  <c r="IP58" s="1"/>
  <c r="IQ58" s="1"/>
  <c r="IR58" s="1"/>
  <c r="IS58" s="1"/>
  <c r="IT58" s="1"/>
  <c r="D59"/>
  <c r="E59" s="1"/>
  <c r="F59" s="1"/>
  <c r="G59" s="1"/>
  <c r="H59" s="1"/>
  <c r="I59" s="1"/>
  <c r="J59" s="1"/>
  <c r="K59" s="1"/>
  <c r="L59" s="1"/>
  <c r="M59" s="1"/>
  <c r="N59" s="1"/>
  <c r="O59" s="1"/>
  <c r="P59" s="1"/>
  <c r="Q59" s="1"/>
  <c r="R59" s="1"/>
  <c r="S59" s="1"/>
  <c r="T59" s="1"/>
  <c r="U59" s="1"/>
  <c r="V59" s="1"/>
  <c r="W59" s="1"/>
  <c r="X59" s="1"/>
  <c r="Y59" s="1"/>
  <c r="Z59" s="1"/>
  <c r="AA59" s="1"/>
  <c r="AB59" s="1"/>
  <c r="AC59" s="1"/>
  <c r="AD59" s="1"/>
  <c r="AE59" s="1"/>
  <c r="AF59" s="1"/>
  <c r="AG59" s="1"/>
  <c r="AH59" s="1"/>
  <c r="AI59" s="1"/>
  <c r="AJ59" s="1"/>
  <c r="AK59" s="1"/>
  <c r="AL59" s="1"/>
  <c r="AM59" s="1"/>
  <c r="AN59" s="1"/>
  <c r="AO59" s="1"/>
  <c r="AP59" s="1"/>
  <c r="AQ59" s="1"/>
  <c r="AR59" s="1"/>
  <c r="AS59" s="1"/>
  <c r="AT59" s="1"/>
  <c r="AU59" s="1"/>
  <c r="AV59" s="1"/>
  <c r="AW59" s="1"/>
  <c r="AX59" s="1"/>
  <c r="AY59" s="1"/>
  <c r="AZ59" s="1"/>
  <c r="BA59" s="1"/>
  <c r="BB59" s="1"/>
  <c r="BC59" s="1"/>
  <c r="BD59" s="1"/>
  <c r="BE59" s="1"/>
  <c r="BF59" s="1"/>
  <c r="BG59" s="1"/>
  <c r="BH59" s="1"/>
  <c r="BI59" s="1"/>
  <c r="BJ59" s="1"/>
  <c r="BK59" s="1"/>
  <c r="BL59" s="1"/>
  <c r="BM59" s="1"/>
  <c r="BN59" s="1"/>
  <c r="BO59" s="1"/>
  <c r="BP59" s="1"/>
  <c r="BQ59" s="1"/>
  <c r="BR59" s="1"/>
  <c r="BS59" s="1"/>
  <c r="BT59" s="1"/>
  <c r="BU59" s="1"/>
  <c r="BV59" s="1"/>
  <c r="BW59" s="1"/>
  <c r="BX59" s="1"/>
  <c r="BY59" s="1"/>
  <c r="BZ59" s="1"/>
  <c r="CA59" s="1"/>
  <c r="CB59" s="1"/>
  <c r="CC59" s="1"/>
  <c r="CD59" s="1"/>
  <c r="CE59" s="1"/>
  <c r="CF59" s="1"/>
  <c r="CG59" s="1"/>
  <c r="CH59" s="1"/>
  <c r="CI59" s="1"/>
  <c r="CJ59" s="1"/>
  <c r="CK59" s="1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DF59" s="1"/>
  <c r="DG59" s="1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DZ59" s="1"/>
  <c r="EA59" s="1"/>
  <c r="EB59" s="1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HG59" s="1"/>
  <c r="HH59" s="1"/>
  <c r="HI59" s="1"/>
  <c r="HJ59" s="1"/>
  <c r="HK59" s="1"/>
  <c r="HL59" s="1"/>
  <c r="HM59" s="1"/>
  <c r="HN59" s="1"/>
  <c r="HO59" s="1"/>
  <c r="HP59" s="1"/>
  <c r="HQ59" s="1"/>
  <c r="HR59" s="1"/>
  <c r="HS59" s="1"/>
  <c r="HT59" s="1"/>
  <c r="HU59" s="1"/>
  <c r="HV59" s="1"/>
  <c r="HW59" s="1"/>
  <c r="HX59" s="1"/>
  <c r="HY59" s="1"/>
  <c r="HZ59" s="1"/>
  <c r="IA59" s="1"/>
  <c r="IB59" s="1"/>
  <c r="IC59" s="1"/>
  <c r="ID59" s="1"/>
  <c r="IE59" s="1"/>
  <c r="IF59" s="1"/>
  <c r="IG59" s="1"/>
  <c r="IH59" s="1"/>
  <c r="II59" s="1"/>
  <c r="IJ59" s="1"/>
  <c r="IK59" s="1"/>
  <c r="IL59" s="1"/>
  <c r="IM59" s="1"/>
  <c r="IN59" s="1"/>
  <c r="IO59" s="1"/>
  <c r="IP59" s="1"/>
  <c r="IQ59" s="1"/>
  <c r="IR59" s="1"/>
  <c r="IS59" s="1"/>
  <c r="IT59" s="1"/>
  <c r="D60"/>
  <c r="E60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V60" s="1"/>
  <c r="W60" s="1"/>
  <c r="X60" s="1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J60" s="1"/>
  <c r="BK60" s="1"/>
  <c r="BL60" s="1"/>
  <c r="BM60" s="1"/>
  <c r="BN60" s="1"/>
  <c r="BO60" s="1"/>
  <c r="BP60" s="1"/>
  <c r="BQ60" s="1"/>
  <c r="BR60" s="1"/>
  <c r="BS60" s="1"/>
  <c r="BT60" s="1"/>
  <c r="BU60" s="1"/>
  <c r="BV60" s="1"/>
  <c r="BW60" s="1"/>
  <c r="BX60" s="1"/>
  <c r="BY60" s="1"/>
  <c r="BZ60" s="1"/>
  <c r="CA60" s="1"/>
  <c r="CB60" s="1"/>
  <c r="CC60" s="1"/>
  <c r="CD60" s="1"/>
  <c r="CE60" s="1"/>
  <c r="CF60" s="1"/>
  <c r="CG60" s="1"/>
  <c r="CH60" s="1"/>
  <c r="CI60" s="1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DA60" s="1"/>
  <c r="DB60" s="1"/>
  <c r="DC60" s="1"/>
  <c r="DD60" s="1"/>
  <c r="DE60" s="1"/>
  <c r="DF60" s="1"/>
  <c r="DG60" s="1"/>
  <c r="DH60" s="1"/>
  <c r="DI60" s="1"/>
  <c r="DJ60" s="1"/>
  <c r="DK60" s="1"/>
  <c r="DL60" s="1"/>
  <c r="DM60" s="1"/>
  <c r="DN60" s="1"/>
  <c r="DO60" s="1"/>
  <c r="DP60" s="1"/>
  <c r="DQ60" s="1"/>
  <c r="DR60" s="1"/>
  <c r="DS60" s="1"/>
  <c r="DT60" s="1"/>
  <c r="DU60" s="1"/>
  <c r="DV60" s="1"/>
  <c r="DW60" s="1"/>
  <c r="DX60" s="1"/>
  <c r="DY60" s="1"/>
  <c r="DZ60" s="1"/>
  <c r="EA60" s="1"/>
  <c r="EB60" s="1"/>
  <c r="EC60" s="1"/>
  <c r="ED60" s="1"/>
  <c r="EE60" s="1"/>
  <c r="EF60" s="1"/>
  <c r="EG60" s="1"/>
  <c r="EH60" s="1"/>
  <c r="EI60" s="1"/>
  <c r="EJ60" s="1"/>
  <c r="EK60" s="1"/>
  <c r="EL60" s="1"/>
  <c r="EM60" s="1"/>
  <c r="EN60" s="1"/>
  <c r="EO60" s="1"/>
  <c r="EP60" s="1"/>
  <c r="EQ60" s="1"/>
  <c r="ER60" s="1"/>
  <c r="ES60" s="1"/>
  <c r="ET60" s="1"/>
  <c r="EU60" s="1"/>
  <c r="EV60" s="1"/>
  <c r="EW60" s="1"/>
  <c r="EX60" s="1"/>
  <c r="EY60" s="1"/>
  <c r="EZ60" s="1"/>
  <c r="FA60" s="1"/>
  <c r="FB60" s="1"/>
  <c r="FC60" s="1"/>
  <c r="FD60" s="1"/>
  <c r="FE60" s="1"/>
  <c r="FF60" s="1"/>
  <c r="FG60" s="1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FZ60" s="1"/>
  <c r="GA60" s="1"/>
  <c r="GB60" s="1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D61"/>
  <c r="E61" s="1"/>
  <c r="F61" s="1"/>
  <c r="G61" s="1"/>
  <c r="H61" s="1"/>
  <c r="I61" s="1"/>
  <c r="J61" s="1"/>
  <c r="K61" s="1"/>
  <c r="L61" s="1"/>
  <c r="M61" s="1"/>
  <c r="N61" s="1"/>
  <c r="O61" s="1"/>
  <c r="P61" s="1"/>
  <c r="Q61" s="1"/>
  <c r="R61" s="1"/>
  <c r="S61" s="1"/>
  <c r="T61" s="1"/>
  <c r="U61" s="1"/>
  <c r="V61" s="1"/>
  <c r="W61" s="1"/>
  <c r="X61" s="1"/>
  <c r="Y61" s="1"/>
  <c r="Z61" s="1"/>
  <c r="AA61" s="1"/>
  <c r="AB61" s="1"/>
  <c r="AC61" s="1"/>
  <c r="AD61" s="1"/>
  <c r="AE61" s="1"/>
  <c r="AF61" s="1"/>
  <c r="AG61" s="1"/>
  <c r="AH61" s="1"/>
  <c r="AI61" s="1"/>
  <c r="AJ61" s="1"/>
  <c r="AK61" s="1"/>
  <c r="AL61" s="1"/>
  <c r="AM61" s="1"/>
  <c r="AN61" s="1"/>
  <c r="AO61" s="1"/>
  <c r="AP61" s="1"/>
  <c r="AQ61" s="1"/>
  <c r="AR61" s="1"/>
  <c r="AS61" s="1"/>
  <c r="AT61" s="1"/>
  <c r="AU61" s="1"/>
  <c r="AV61" s="1"/>
  <c r="AW61" s="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BO61" s="1"/>
  <c r="BP61" s="1"/>
  <c r="BQ61" s="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CI61" s="1"/>
  <c r="CJ61" s="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DE61" s="1"/>
  <c r="DF61" s="1"/>
  <c r="DG61" s="1"/>
  <c r="DH61" s="1"/>
  <c r="DI61" s="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DZ61" s="1"/>
  <c r="EA61" s="1"/>
  <c r="EB61" s="1"/>
  <c r="EC61" s="1"/>
  <c r="ED61" s="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FN61" s="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L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HE61" s="1"/>
  <c r="HF61" s="1"/>
  <c r="HG61" s="1"/>
  <c r="HH61" s="1"/>
  <c r="HI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HW61" s="1"/>
  <c r="HX61" s="1"/>
  <c r="HY61" s="1"/>
  <c r="HZ61" s="1"/>
  <c r="IA61" s="1"/>
  <c r="IB61" s="1"/>
  <c r="IC61" s="1"/>
  <c r="ID61" s="1"/>
  <c r="IE61" s="1"/>
  <c r="IF61" s="1"/>
  <c r="IG61" s="1"/>
  <c r="IH61" s="1"/>
  <c r="II61" s="1"/>
  <c r="IJ61" s="1"/>
  <c r="IK61" s="1"/>
  <c r="IL61" s="1"/>
  <c r="IM61" s="1"/>
  <c r="IN61" s="1"/>
  <c r="IO61" s="1"/>
  <c r="IP61" s="1"/>
  <c r="IQ61" s="1"/>
  <c r="IR61" s="1"/>
  <c r="IS61" s="1"/>
  <c r="IT61" s="1"/>
  <c r="C62"/>
  <c r="EK56" i="70"/>
  <c r="EL56" s="1"/>
  <c r="EM56" s="1"/>
  <c r="EN56" s="1"/>
  <c r="EO56" s="1"/>
  <c r="EP56" s="1"/>
  <c r="EQ56" s="1"/>
  <c r="ER56" s="1"/>
  <c r="ES56" s="1"/>
  <c r="ET56" s="1"/>
  <c r="EU56" s="1"/>
  <c r="EV56" s="1"/>
  <c r="EW56" s="1"/>
  <c r="EX56" s="1"/>
  <c r="EY56" s="1"/>
  <c r="EZ56" s="1"/>
  <c r="FA56" s="1"/>
  <c r="FB56" s="1"/>
  <c r="FC56" s="1"/>
  <c r="FD56" s="1"/>
  <c r="FE56" s="1"/>
  <c r="FF56" s="1"/>
  <c r="FG56" s="1"/>
  <c r="FH56" s="1"/>
  <c r="FI56" s="1"/>
  <c r="FJ56" s="1"/>
  <c r="FK56" s="1"/>
  <c r="FL56" s="1"/>
  <c r="FM56" s="1"/>
  <c r="FN56" s="1"/>
  <c r="FO56" s="1"/>
  <c r="FP56" s="1"/>
  <c r="FQ56" s="1"/>
  <c r="FR56" s="1"/>
  <c r="FS56" s="1"/>
  <c r="FT56" s="1"/>
  <c r="FU56" s="1"/>
  <c r="FV56" s="1"/>
  <c r="FW56" s="1"/>
  <c r="FX56" s="1"/>
  <c r="EG19"/>
  <c r="HF4"/>
  <c r="HH4"/>
  <c r="HI4" s="1"/>
  <c r="HK4"/>
  <c r="HL4" s="1"/>
  <c r="HM4" s="1"/>
  <c r="HN4" s="1"/>
  <c r="HP4"/>
  <c r="HQ4" s="1"/>
  <c r="HR4" s="1"/>
  <c r="HS4" s="1"/>
  <c r="HU4"/>
  <c r="HV4" s="1"/>
  <c r="HY4"/>
  <c r="HZ4" s="1"/>
  <c r="IC4"/>
  <c r="ID4" s="1"/>
  <c r="IE4" s="1"/>
  <c r="IF4" s="1"/>
  <c r="IH4"/>
  <c r="II4" s="1"/>
  <c r="IJ4" s="1"/>
  <c r="IK4" s="1"/>
  <c r="IM4"/>
  <c r="IN4" s="1"/>
  <c r="IO4" s="1"/>
  <c r="IQ4"/>
  <c r="IR4"/>
  <c r="IS4" s="1"/>
  <c r="IT4" s="1"/>
  <c r="BR8"/>
  <c r="CV8"/>
  <c r="CZ8"/>
  <c r="DE8"/>
  <c r="IU8" s="1"/>
  <c r="DG8"/>
  <c r="DO8"/>
  <c r="DQ8"/>
  <c r="DQ26"/>
  <c r="FF8"/>
  <c r="FF26"/>
  <c r="FN8"/>
  <c r="FN26"/>
  <c r="FZ8"/>
  <c r="GU8"/>
  <c r="GU26"/>
  <c r="HH8"/>
  <c r="HI8"/>
  <c r="HI26" s="1"/>
  <c r="HJ8"/>
  <c r="HK8"/>
  <c r="ID8"/>
  <c r="ID26" s="1"/>
  <c r="IG8"/>
  <c r="CO9"/>
  <c r="DF9"/>
  <c r="IU9" s="1"/>
  <c r="CI10"/>
  <c r="CW10"/>
  <c r="IU10"/>
  <c r="G11"/>
  <c r="G26"/>
  <c r="O11"/>
  <c r="T11"/>
  <c r="IU11" s="1"/>
  <c r="V11"/>
  <c r="X11"/>
  <c r="X26"/>
  <c r="AB11"/>
  <c r="AC11"/>
  <c r="AC26" s="1"/>
  <c r="AF11"/>
  <c r="AK11"/>
  <c r="AW11"/>
  <c r="AW26" s="1"/>
  <c r="BA11"/>
  <c r="BA26"/>
  <c r="BG11"/>
  <c r="BJ11"/>
  <c r="BJ26" s="1"/>
  <c r="BL11"/>
  <c r="BL26" s="1"/>
  <c r="BR11"/>
  <c r="BS11"/>
  <c r="BS26"/>
  <c r="BT11"/>
  <c r="BT26"/>
  <c r="BV11"/>
  <c r="BW11"/>
  <c r="BW26" s="1"/>
  <c r="CA11"/>
  <c r="CA26" s="1"/>
  <c r="CA51" s="1"/>
  <c r="CC11"/>
  <c r="CC26"/>
  <c r="CF11"/>
  <c r="CJ11"/>
  <c r="CJ26" s="1"/>
  <c r="CK11"/>
  <c r="CN11"/>
  <c r="CN26" s="1"/>
  <c r="CP11"/>
  <c r="CP26"/>
  <c r="CR11"/>
  <c r="CS11"/>
  <c r="CS26" s="1"/>
  <c r="CT11"/>
  <c r="CT26"/>
  <c r="CU11"/>
  <c r="CV11"/>
  <c r="CV26" s="1"/>
  <c r="CW11"/>
  <c r="CW26"/>
  <c r="DE11"/>
  <c r="DE26"/>
  <c r="DO11"/>
  <c r="DP11"/>
  <c r="DP26" s="1"/>
  <c r="DZ11"/>
  <c r="DZ26" s="1"/>
  <c r="EE11"/>
  <c r="EE26" s="1"/>
  <c r="EN11"/>
  <c r="ER11"/>
  <c r="ER26"/>
  <c r="ES11"/>
  <c r="ES26"/>
  <c r="EY11"/>
  <c r="FB11"/>
  <c r="FB26" s="1"/>
  <c r="FC11"/>
  <c r="FD11"/>
  <c r="FD26"/>
  <c r="FF11"/>
  <c r="FQ11"/>
  <c r="GA11"/>
  <c r="GD11"/>
  <c r="GG11"/>
  <c r="GQ11"/>
  <c r="GV11"/>
  <c r="GV26" s="1"/>
  <c r="GX11"/>
  <c r="GX26" s="1"/>
  <c r="GY11"/>
  <c r="HK11"/>
  <c r="HN11"/>
  <c r="HR11"/>
  <c r="IF11"/>
  <c r="II11"/>
  <c r="IJ11"/>
  <c r="IM11"/>
  <c r="IU12"/>
  <c r="IU13"/>
  <c r="P14"/>
  <c r="CI14"/>
  <c r="DV14"/>
  <c r="IU14"/>
  <c r="CI15"/>
  <c r="GN15"/>
  <c r="IU15" s="1"/>
  <c r="FM16"/>
  <c r="GH16"/>
  <c r="IU16"/>
  <c r="AI17"/>
  <c r="GD17"/>
  <c r="GD26" s="1"/>
  <c r="D18"/>
  <c r="IU18" s="1"/>
  <c r="J18"/>
  <c r="J26" s="1"/>
  <c r="Q18"/>
  <c r="W18"/>
  <c r="W26"/>
  <c r="Z18"/>
  <c r="Z26"/>
  <c r="AO18"/>
  <c r="AP18"/>
  <c r="AP26" s="1"/>
  <c r="BH18"/>
  <c r="BH26" s="1"/>
  <c r="BI18"/>
  <c r="BI26" s="1"/>
  <c r="BI51" s="1"/>
  <c r="BQ18"/>
  <c r="BQ26"/>
  <c r="BX18"/>
  <c r="BX26"/>
  <c r="CB18"/>
  <c r="CB26"/>
  <c r="CF18"/>
  <c r="CF26"/>
  <c r="CG18"/>
  <c r="CG26"/>
  <c r="CH18"/>
  <c r="CH26"/>
  <c r="CI18"/>
  <c r="EG18"/>
  <c r="EG26" s="1"/>
  <c r="FB18"/>
  <c r="FC18"/>
  <c r="FC26"/>
  <c r="FF18"/>
  <c r="GA18"/>
  <c r="GA26" s="1"/>
  <c r="GB18"/>
  <c r="GQ18"/>
  <c r="GQ26" s="1"/>
  <c r="HA18"/>
  <c r="HA26" s="1"/>
  <c r="HK18"/>
  <c r="HK26" s="1"/>
  <c r="HM18"/>
  <c r="HM26"/>
  <c r="HS18"/>
  <c r="HS26"/>
  <c r="HT18"/>
  <c r="IQ18"/>
  <c r="E19"/>
  <c r="E26"/>
  <c r="BQ19"/>
  <c r="BV19"/>
  <c r="BV26" s="1"/>
  <c r="DW19"/>
  <c r="DW26" s="1"/>
  <c r="EC19"/>
  <c r="FL19"/>
  <c r="FL26"/>
  <c r="FT19"/>
  <c r="FZ19"/>
  <c r="FZ26" s="1"/>
  <c r="GI19"/>
  <c r="GI26"/>
  <c r="GL19"/>
  <c r="GV19"/>
  <c r="HG19"/>
  <c r="HG26"/>
  <c r="EC20"/>
  <c r="EC26"/>
  <c r="FZ20"/>
  <c r="C26"/>
  <c r="F26"/>
  <c r="H26"/>
  <c r="I26"/>
  <c r="K26"/>
  <c r="L26"/>
  <c r="M26"/>
  <c r="N26"/>
  <c r="O26"/>
  <c r="R26"/>
  <c r="S26"/>
  <c r="U26"/>
  <c r="Y26"/>
  <c r="AA26"/>
  <c r="AD26"/>
  <c r="AE26"/>
  <c r="AG26"/>
  <c r="AH26"/>
  <c r="AI26"/>
  <c r="AJ26"/>
  <c r="AK26"/>
  <c r="AL26"/>
  <c r="AM26"/>
  <c r="AN26"/>
  <c r="AO26"/>
  <c r="AQ26"/>
  <c r="AR26"/>
  <c r="AS26"/>
  <c r="AT26"/>
  <c r="AU26"/>
  <c r="AV26"/>
  <c r="AX26"/>
  <c r="AY26"/>
  <c r="AZ26"/>
  <c r="BB26"/>
  <c r="BC26"/>
  <c r="BD26"/>
  <c r="BE26"/>
  <c r="BF26"/>
  <c r="BG26"/>
  <c r="BK26"/>
  <c r="BM26"/>
  <c r="BN26"/>
  <c r="BO26"/>
  <c r="BP26"/>
  <c r="BR26"/>
  <c r="BU26"/>
  <c r="BY26"/>
  <c r="BZ26"/>
  <c r="CD26"/>
  <c r="CE26"/>
  <c r="CI26"/>
  <c r="CK26"/>
  <c r="CL26"/>
  <c r="CM26"/>
  <c r="CO26"/>
  <c r="CQ26"/>
  <c r="CR26"/>
  <c r="CU26"/>
  <c r="CX26"/>
  <c r="CY26"/>
  <c r="DA26"/>
  <c r="DB26"/>
  <c r="DC26"/>
  <c r="DD26"/>
  <c r="DG26"/>
  <c r="DH26"/>
  <c r="DI26"/>
  <c r="DJ26"/>
  <c r="DK26"/>
  <c r="DL26"/>
  <c r="DM26"/>
  <c r="DN26"/>
  <c r="DO26"/>
  <c r="DR26"/>
  <c r="DS26"/>
  <c r="DT26"/>
  <c r="DU26"/>
  <c r="DX26"/>
  <c r="DY26"/>
  <c r="EA26"/>
  <c r="EB26"/>
  <c r="ED26"/>
  <c r="EF26"/>
  <c r="EH26"/>
  <c r="EI26"/>
  <c r="EJ26"/>
  <c r="EK26"/>
  <c r="EL26"/>
  <c r="EM26"/>
  <c r="EN26"/>
  <c r="EO26"/>
  <c r="EP26"/>
  <c r="EQ26"/>
  <c r="ET26"/>
  <c r="EU26"/>
  <c r="EV26"/>
  <c r="EW26"/>
  <c r="EX26"/>
  <c r="EY26"/>
  <c r="EZ26"/>
  <c r="FA26"/>
  <c r="FE26"/>
  <c r="FG26"/>
  <c r="FH26"/>
  <c r="FI26"/>
  <c r="FJ26"/>
  <c r="FK26"/>
  <c r="FM26"/>
  <c r="FO26"/>
  <c r="FP26"/>
  <c r="FQ26"/>
  <c r="FR26"/>
  <c r="FS26"/>
  <c r="FT26"/>
  <c r="FU26"/>
  <c r="FV26"/>
  <c r="FW26"/>
  <c r="FX26"/>
  <c r="FY26"/>
  <c r="GB26"/>
  <c r="GC26"/>
  <c r="GE26"/>
  <c r="GF26"/>
  <c r="GG26"/>
  <c r="GH26"/>
  <c r="GJ26"/>
  <c r="GK26"/>
  <c r="GL26"/>
  <c r="GM26"/>
  <c r="GN26"/>
  <c r="GO26"/>
  <c r="GP26"/>
  <c r="GR26"/>
  <c r="GS26"/>
  <c r="GT26"/>
  <c r="GW26"/>
  <c r="GY26"/>
  <c r="GZ26"/>
  <c r="HB26"/>
  <c r="HC26"/>
  <c r="HD26"/>
  <c r="HE26"/>
  <c r="HF26"/>
  <c r="HH26"/>
  <c r="HJ26"/>
  <c r="HL26"/>
  <c r="HN26"/>
  <c r="HO26"/>
  <c r="HP26"/>
  <c r="HQ26"/>
  <c r="HR26"/>
  <c r="HT26"/>
  <c r="HU26"/>
  <c r="HV26"/>
  <c r="HW26"/>
  <c r="HX26"/>
  <c r="HY26"/>
  <c r="HZ26"/>
  <c r="IA26"/>
  <c r="IB26"/>
  <c r="IC26"/>
  <c r="IE26"/>
  <c r="IF26"/>
  <c r="IG26"/>
  <c r="IH26"/>
  <c r="II26"/>
  <c r="IJ26"/>
  <c r="IK26"/>
  <c r="IL26"/>
  <c r="IM26"/>
  <c r="IN26"/>
  <c r="IO26"/>
  <c r="IP26"/>
  <c r="IQ26"/>
  <c r="IR26"/>
  <c r="IS26"/>
  <c r="IT26"/>
  <c r="N29"/>
  <c r="IU29" s="1"/>
  <c r="AH29"/>
  <c r="AH47" s="1"/>
  <c r="AH50" s="1"/>
  <c r="AH51" s="1"/>
  <c r="BC29"/>
  <c r="BC47" s="1"/>
  <c r="BC50" s="1"/>
  <c r="BY29"/>
  <c r="IJ29"/>
  <c r="IJ47" s="1"/>
  <c r="IJ50" s="1"/>
  <c r="Q30"/>
  <c r="AD30"/>
  <c r="DO30"/>
  <c r="IU30" s="1"/>
  <c r="EY30"/>
  <c r="IE30"/>
  <c r="IU31"/>
  <c r="R32"/>
  <c r="R47" s="1"/>
  <c r="R50" s="1"/>
  <c r="R51" s="1"/>
  <c r="AL32"/>
  <c r="BF32"/>
  <c r="BF47"/>
  <c r="BF50" s="1"/>
  <c r="BF51" s="1"/>
  <c r="CS32"/>
  <c r="CS47"/>
  <c r="CS50" s="1"/>
  <c r="DN32"/>
  <c r="EY32"/>
  <c r="EY47" s="1"/>
  <c r="EY50" s="1"/>
  <c r="FK32"/>
  <c r="GB32"/>
  <c r="GB47" s="1"/>
  <c r="GB50" s="1"/>
  <c r="IH32"/>
  <c r="IO32"/>
  <c r="W33"/>
  <c r="IU33"/>
  <c r="IU34"/>
  <c r="S35"/>
  <c r="S47" s="1"/>
  <c r="S50" s="1"/>
  <c r="BD35"/>
  <c r="BD47" s="1"/>
  <c r="BD50" s="1"/>
  <c r="BD51" s="1"/>
  <c r="BN35"/>
  <c r="CD35"/>
  <c r="CH35"/>
  <c r="DP35"/>
  <c r="FF35"/>
  <c r="FI35"/>
  <c r="FI47" s="1"/>
  <c r="FI50" s="1"/>
  <c r="HT35"/>
  <c r="HT47"/>
  <c r="HT50" s="1"/>
  <c r="IG36"/>
  <c r="IG47" s="1"/>
  <c r="IG50" s="1"/>
  <c r="IL36"/>
  <c r="IU36"/>
  <c r="IU37"/>
  <c r="IU38"/>
  <c r="IU39"/>
  <c r="IU40"/>
  <c r="P41"/>
  <c r="BN41"/>
  <c r="FL41"/>
  <c r="IU41" s="1"/>
  <c r="IU42"/>
  <c r="E43"/>
  <c r="E47" s="1"/>
  <c r="E50" s="1"/>
  <c r="H43"/>
  <c r="H47"/>
  <c r="H50" s="1"/>
  <c r="H51" s="1"/>
  <c r="M43"/>
  <c r="M47"/>
  <c r="M50" s="1"/>
  <c r="M51" s="1"/>
  <c r="X43"/>
  <c r="X47"/>
  <c r="X50" s="1"/>
  <c r="AP43"/>
  <c r="AP47" s="1"/>
  <c r="AP50" s="1"/>
  <c r="AU43"/>
  <c r="AU47"/>
  <c r="AU50" s="1"/>
  <c r="AU51" s="1"/>
  <c r="BA43"/>
  <c r="BA47"/>
  <c r="BA50" s="1"/>
  <c r="BD43"/>
  <c r="BH43"/>
  <c r="BH47" s="1"/>
  <c r="BH50" s="1"/>
  <c r="BN43"/>
  <c r="BQ43"/>
  <c r="BS43"/>
  <c r="BS47"/>
  <c r="BS50" s="1"/>
  <c r="BW43"/>
  <c r="BW47" s="1"/>
  <c r="BW50" s="1"/>
  <c r="BX43"/>
  <c r="BX47"/>
  <c r="BX50" s="1"/>
  <c r="CH43"/>
  <c r="CI43"/>
  <c r="CI47"/>
  <c r="CI50" s="1"/>
  <c r="CI51" s="1"/>
  <c r="CK43"/>
  <c r="CM43"/>
  <c r="CM47" s="1"/>
  <c r="CM50" s="1"/>
  <c r="CN43"/>
  <c r="CN47" s="1"/>
  <c r="CN50" s="1"/>
  <c r="CR43"/>
  <c r="CR47" s="1"/>
  <c r="CR50" s="1"/>
  <c r="CW43"/>
  <c r="CW47" s="1"/>
  <c r="CW50" s="1"/>
  <c r="DD43"/>
  <c r="DG43"/>
  <c r="DG47" s="1"/>
  <c r="DG50" s="1"/>
  <c r="DG51" s="1"/>
  <c r="DR43"/>
  <c r="DU43"/>
  <c r="DW43"/>
  <c r="DW47" s="1"/>
  <c r="DW50" s="1"/>
  <c r="DZ43"/>
  <c r="DZ47"/>
  <c r="DZ50" s="1"/>
  <c r="EB43"/>
  <c r="EO43"/>
  <c r="EO47"/>
  <c r="EO50" s="1"/>
  <c r="EW43"/>
  <c r="EW47" s="1"/>
  <c r="EW50" s="1"/>
  <c r="FC43"/>
  <c r="FC47"/>
  <c r="FC50" s="1"/>
  <c r="FO43"/>
  <c r="FO47" s="1"/>
  <c r="FO50" s="1"/>
  <c r="FP43"/>
  <c r="FP47"/>
  <c r="FP50" s="1"/>
  <c r="FS43"/>
  <c r="FS47" s="1"/>
  <c r="FS50" s="1"/>
  <c r="GL43"/>
  <c r="GP43"/>
  <c r="HD43"/>
  <c r="HG43"/>
  <c r="HG47" s="1"/>
  <c r="HG50" s="1"/>
  <c r="HM43"/>
  <c r="HO43"/>
  <c r="HO47" s="1"/>
  <c r="HO50" s="1"/>
  <c r="IB43"/>
  <c r="IB47"/>
  <c r="IB50" s="1"/>
  <c r="IF43"/>
  <c r="IF47" s="1"/>
  <c r="IF50" s="1"/>
  <c r="IU44"/>
  <c r="IU45"/>
  <c r="IU46"/>
  <c r="C47"/>
  <c r="D47"/>
  <c r="D50"/>
  <c r="F47"/>
  <c r="F50"/>
  <c r="F51" s="1"/>
  <c r="G47"/>
  <c r="I47"/>
  <c r="J47"/>
  <c r="J50" s="1"/>
  <c r="K47"/>
  <c r="L47"/>
  <c r="L50"/>
  <c r="L51" s="1"/>
  <c r="O47"/>
  <c r="T47"/>
  <c r="T50" s="1"/>
  <c r="U47"/>
  <c r="V47"/>
  <c r="V50"/>
  <c r="Y47"/>
  <c r="Z47"/>
  <c r="Z50" s="1"/>
  <c r="AA47"/>
  <c r="AB47"/>
  <c r="AB50"/>
  <c r="AC47"/>
  <c r="AD47"/>
  <c r="AD50" s="1"/>
  <c r="AD51" s="1"/>
  <c r="AE47"/>
  <c r="AF47"/>
  <c r="AF50" s="1"/>
  <c r="AG47"/>
  <c r="AG50" s="1"/>
  <c r="AG51" s="1"/>
  <c r="AI47"/>
  <c r="AJ47"/>
  <c r="AJ50" s="1"/>
  <c r="AJ51" s="1"/>
  <c r="AK47"/>
  <c r="AK50"/>
  <c r="AK51" s="1"/>
  <c r="AM47"/>
  <c r="AN47"/>
  <c r="AN50"/>
  <c r="AN51" s="1"/>
  <c r="AO47"/>
  <c r="AO50" s="1"/>
  <c r="AO51" s="1"/>
  <c r="AQ47"/>
  <c r="AR47"/>
  <c r="AR50" s="1"/>
  <c r="AR51" s="1"/>
  <c r="AS47"/>
  <c r="AT47"/>
  <c r="AV47"/>
  <c r="AV50"/>
  <c r="AW47"/>
  <c r="AW50"/>
  <c r="AX47"/>
  <c r="AX50"/>
  <c r="AX51" s="1"/>
  <c r="AY47"/>
  <c r="AY50" s="1"/>
  <c r="AY51" s="1"/>
  <c r="AZ47"/>
  <c r="AZ50"/>
  <c r="BB47"/>
  <c r="BB50"/>
  <c r="BE47"/>
  <c r="BE50"/>
  <c r="BE51" s="1"/>
  <c r="BG47"/>
  <c r="BI47"/>
  <c r="BI50"/>
  <c r="BJ47"/>
  <c r="BJ50"/>
  <c r="BK47"/>
  <c r="BL47"/>
  <c r="BL50" s="1"/>
  <c r="BM47"/>
  <c r="BM50" s="1"/>
  <c r="BM51" s="1"/>
  <c r="BN47"/>
  <c r="BN50"/>
  <c r="BN51" s="1"/>
  <c r="BO47"/>
  <c r="BP47"/>
  <c r="BP50"/>
  <c r="BP51" s="1"/>
  <c r="BQ47"/>
  <c r="BQ50" s="1"/>
  <c r="BR47"/>
  <c r="BR50" s="1"/>
  <c r="BR51" s="1"/>
  <c r="BT47"/>
  <c r="BT50"/>
  <c r="BU47"/>
  <c r="BU50"/>
  <c r="BU51" s="1"/>
  <c r="BV47"/>
  <c r="BV50" s="1"/>
  <c r="BY47"/>
  <c r="BY50" s="1"/>
  <c r="BY51" s="1"/>
  <c r="BZ47"/>
  <c r="BZ50"/>
  <c r="BZ51" s="1"/>
  <c r="CA47"/>
  <c r="CB47"/>
  <c r="CB50"/>
  <c r="CC47"/>
  <c r="CD47"/>
  <c r="CD50" s="1"/>
  <c r="CD51" s="1"/>
  <c r="CE47"/>
  <c r="CF47"/>
  <c r="CF50" s="1"/>
  <c r="CG47"/>
  <c r="CG50" s="1"/>
  <c r="CH47"/>
  <c r="CH50" s="1"/>
  <c r="CJ47"/>
  <c r="CJ50" s="1"/>
  <c r="CK47"/>
  <c r="CK50"/>
  <c r="CL47"/>
  <c r="CL50"/>
  <c r="CL51" s="1"/>
  <c r="CO47"/>
  <c r="CP47"/>
  <c r="CP50"/>
  <c r="CQ47"/>
  <c r="CT47"/>
  <c r="CT50" s="1"/>
  <c r="CU47"/>
  <c r="CV47"/>
  <c r="CV50"/>
  <c r="CX47"/>
  <c r="CX50"/>
  <c r="CX51" s="1"/>
  <c r="CY47"/>
  <c r="CZ47"/>
  <c r="CZ50"/>
  <c r="DA47"/>
  <c r="DB47"/>
  <c r="DB50" s="1"/>
  <c r="DB51" s="1"/>
  <c r="DC47"/>
  <c r="DD47"/>
  <c r="DD50" s="1"/>
  <c r="DD51" s="1"/>
  <c r="DE47"/>
  <c r="DF47"/>
  <c r="DF50" s="1"/>
  <c r="DH47"/>
  <c r="DH50" s="1"/>
  <c r="DH51" s="1"/>
  <c r="DI47"/>
  <c r="DI50"/>
  <c r="DI51" s="1"/>
  <c r="DJ47"/>
  <c r="DJ50" s="1"/>
  <c r="DJ51" s="1"/>
  <c r="DK47"/>
  <c r="DK50"/>
  <c r="DK51" s="1"/>
  <c r="DL47"/>
  <c r="DL50" s="1"/>
  <c r="DL51" s="1"/>
  <c r="DM47"/>
  <c r="DM50"/>
  <c r="DM51" s="1"/>
  <c r="DN47"/>
  <c r="DN50" s="1"/>
  <c r="DN51" s="1"/>
  <c r="DP47"/>
  <c r="DP50"/>
  <c r="DQ47"/>
  <c r="DR47"/>
  <c r="DR50" s="1"/>
  <c r="DS47"/>
  <c r="DT47"/>
  <c r="DT50"/>
  <c r="DU47"/>
  <c r="DV47"/>
  <c r="DV50" s="1"/>
  <c r="DX47"/>
  <c r="DX50" s="1"/>
  <c r="DY47"/>
  <c r="DY50" s="1"/>
  <c r="EA47"/>
  <c r="EB47"/>
  <c r="EB50"/>
  <c r="EC47"/>
  <c r="EC50"/>
  <c r="ED47"/>
  <c r="ED50"/>
  <c r="EE47"/>
  <c r="EF47"/>
  <c r="EF50" s="1"/>
  <c r="EG47"/>
  <c r="EG50" s="1"/>
  <c r="EH47"/>
  <c r="EH50" s="1"/>
  <c r="EI47"/>
  <c r="EJ47"/>
  <c r="EJ50"/>
  <c r="EK47"/>
  <c r="EK50"/>
  <c r="EL47"/>
  <c r="EL50"/>
  <c r="EM47"/>
  <c r="EN47"/>
  <c r="EN50" s="1"/>
  <c r="EP47"/>
  <c r="EP50" s="1"/>
  <c r="EQ47"/>
  <c r="ER47"/>
  <c r="ER50"/>
  <c r="ES47"/>
  <c r="ES50"/>
  <c r="ET47"/>
  <c r="ET50"/>
  <c r="EU47"/>
  <c r="EV47"/>
  <c r="EV50" s="1"/>
  <c r="EX47"/>
  <c r="EX50" s="1"/>
  <c r="EZ47"/>
  <c r="EZ50" s="1"/>
  <c r="FA47"/>
  <c r="FA50" s="1"/>
  <c r="FB47"/>
  <c r="FB50" s="1"/>
  <c r="FD47"/>
  <c r="FD50" s="1"/>
  <c r="FE47"/>
  <c r="FE50" s="1"/>
  <c r="FF47"/>
  <c r="FF50" s="1"/>
  <c r="FG47"/>
  <c r="FH47"/>
  <c r="FH50"/>
  <c r="FJ47"/>
  <c r="FJ50"/>
  <c r="FK47"/>
  <c r="FM47"/>
  <c r="FN47"/>
  <c r="FN50"/>
  <c r="FQ47"/>
  <c r="FQ50"/>
  <c r="FR47"/>
  <c r="FR50"/>
  <c r="FT47"/>
  <c r="FT50"/>
  <c r="FU47"/>
  <c r="FV47"/>
  <c r="FV50" s="1"/>
  <c r="FW47"/>
  <c r="FW50" s="1"/>
  <c r="FX47"/>
  <c r="FX50" s="1"/>
  <c r="FY47"/>
  <c r="FY50" s="1"/>
  <c r="FZ47"/>
  <c r="FZ50" s="1"/>
  <c r="GA47"/>
  <c r="GA50" s="1"/>
  <c r="GC47"/>
  <c r="GD47"/>
  <c r="GD50"/>
  <c r="GE47"/>
  <c r="GE50"/>
  <c r="GF47"/>
  <c r="GF50"/>
  <c r="GG47"/>
  <c r="GG50"/>
  <c r="GH47"/>
  <c r="GH50"/>
  <c r="GI47"/>
  <c r="GJ47"/>
  <c r="GJ50" s="1"/>
  <c r="GK47"/>
  <c r="GK50" s="1"/>
  <c r="GL47"/>
  <c r="GL50" s="1"/>
  <c r="GM47"/>
  <c r="GM50" s="1"/>
  <c r="GN47"/>
  <c r="GN50" s="1"/>
  <c r="GO47"/>
  <c r="GO50" s="1"/>
  <c r="GP47"/>
  <c r="GP50" s="1"/>
  <c r="GQ47"/>
  <c r="GQ50" s="1"/>
  <c r="GR47"/>
  <c r="GR50" s="1"/>
  <c r="GS47"/>
  <c r="GS50" s="1"/>
  <c r="GT47"/>
  <c r="GT50"/>
  <c r="GU47"/>
  <c r="GU50"/>
  <c r="GV47"/>
  <c r="GV50"/>
  <c r="GW47"/>
  <c r="GW50"/>
  <c r="GX47"/>
  <c r="GX50"/>
  <c r="GY47"/>
  <c r="GY50"/>
  <c r="GZ47"/>
  <c r="GZ50"/>
  <c r="HA47"/>
  <c r="HA50"/>
  <c r="HB47"/>
  <c r="HB50"/>
  <c r="HC47"/>
  <c r="HC50"/>
  <c r="HD47"/>
  <c r="HD50"/>
  <c r="HE47"/>
  <c r="HE50"/>
  <c r="HF47"/>
  <c r="HF50"/>
  <c r="HH47"/>
  <c r="HH50"/>
  <c r="HI47"/>
  <c r="HI50"/>
  <c r="HJ47"/>
  <c r="HJ50"/>
  <c r="HK47"/>
  <c r="HK50"/>
  <c r="HL47"/>
  <c r="HL50"/>
  <c r="HM47"/>
  <c r="HM50"/>
  <c r="HN47"/>
  <c r="HN50"/>
  <c r="HP47"/>
  <c r="HP50"/>
  <c r="HQ47"/>
  <c r="HR47"/>
  <c r="HR50" s="1"/>
  <c r="HS47"/>
  <c r="HS50" s="1"/>
  <c r="HU47"/>
  <c r="HU50" s="1"/>
  <c r="HV47"/>
  <c r="HV50" s="1"/>
  <c r="HW47"/>
  <c r="HW50" s="1"/>
  <c r="HX47"/>
  <c r="HX50" s="1"/>
  <c r="HY47"/>
  <c r="HY50" s="1"/>
  <c r="HZ47"/>
  <c r="HZ50"/>
  <c r="IA47"/>
  <c r="IA50"/>
  <c r="IC47"/>
  <c r="IC50"/>
  <c r="ID47"/>
  <c r="ID50"/>
  <c r="IE47"/>
  <c r="IE50"/>
  <c r="IH47"/>
  <c r="IH50"/>
  <c r="II47"/>
  <c r="IK47"/>
  <c r="IK50" s="1"/>
  <c r="IL47"/>
  <c r="IL50" s="1"/>
  <c r="IM47"/>
  <c r="IM50" s="1"/>
  <c r="IN47"/>
  <c r="IN50" s="1"/>
  <c r="IO47"/>
  <c r="IO50" s="1"/>
  <c r="IP47"/>
  <c r="IP50" s="1"/>
  <c r="IQ47"/>
  <c r="IQ50" s="1"/>
  <c r="IR47"/>
  <c r="IR50" s="1"/>
  <c r="IS47"/>
  <c r="IS50" s="1"/>
  <c r="IT47"/>
  <c r="IT50" s="1"/>
  <c r="AT49"/>
  <c r="GI49"/>
  <c r="GI50"/>
  <c r="C50"/>
  <c r="C51"/>
  <c r="G50"/>
  <c r="I50"/>
  <c r="I51" s="1"/>
  <c r="K50"/>
  <c r="K51"/>
  <c r="O50"/>
  <c r="O51"/>
  <c r="U50"/>
  <c r="U51"/>
  <c r="Y50"/>
  <c r="Y51"/>
  <c r="AA50"/>
  <c r="AA51"/>
  <c r="AC50"/>
  <c r="AE50"/>
  <c r="AE51" s="1"/>
  <c r="AI50"/>
  <c r="AI51" s="1"/>
  <c r="AM50"/>
  <c r="AM51" s="1"/>
  <c r="AQ50"/>
  <c r="AS50"/>
  <c r="AS51"/>
  <c r="BG50"/>
  <c r="BG51"/>
  <c r="BK50"/>
  <c r="BK51"/>
  <c r="BO50"/>
  <c r="BO51"/>
  <c r="CA50"/>
  <c r="CC50"/>
  <c r="CE50"/>
  <c r="CE51"/>
  <c r="CO50"/>
  <c r="CQ50"/>
  <c r="CQ51" s="1"/>
  <c r="CU50"/>
  <c r="CU51" s="1"/>
  <c r="CY50"/>
  <c r="DA50"/>
  <c r="DA51"/>
  <c r="DC50"/>
  <c r="DE50"/>
  <c r="DQ50"/>
  <c r="DS50"/>
  <c r="DU50"/>
  <c r="EA50"/>
  <c r="EE50"/>
  <c r="EI50"/>
  <c r="EM50"/>
  <c r="EQ50"/>
  <c r="EU50"/>
  <c r="FG50"/>
  <c r="FK50"/>
  <c r="FM50"/>
  <c r="FU50"/>
  <c r="GC50"/>
  <c r="HQ50"/>
  <c r="II50"/>
  <c r="AQ51"/>
  <c r="CO51"/>
  <c r="CY51"/>
  <c r="DC51"/>
  <c r="H52"/>
  <c r="AT52"/>
  <c r="EC52"/>
  <c r="EH52"/>
  <c r="EI52"/>
  <c r="EJ52"/>
  <c r="EK52"/>
  <c r="EQ52"/>
  <c r="FZ52"/>
  <c r="GI52"/>
  <c r="HI52"/>
  <c r="D55"/>
  <c r="E55"/>
  <c r="F55" s="1"/>
  <c r="G55" s="1"/>
  <c r="H55" s="1"/>
  <c r="I55" s="1"/>
  <c r="D56"/>
  <c r="E56"/>
  <c r="D57"/>
  <c r="E57"/>
  <c r="F57" s="1"/>
  <c r="G57" s="1"/>
  <c r="H57" s="1"/>
  <c r="I57" s="1"/>
  <c r="J57" s="1"/>
  <c r="K57" s="1"/>
  <c r="L57" s="1"/>
  <c r="M57" s="1"/>
  <c r="N57" s="1"/>
  <c r="O57" s="1"/>
  <c r="P57" s="1"/>
  <c r="Q57" s="1"/>
  <c r="R57" s="1"/>
  <c r="S57" s="1"/>
  <c r="T57" s="1"/>
  <c r="U57" s="1"/>
  <c r="V57" s="1"/>
  <c r="W57" s="1"/>
  <c r="X57" s="1"/>
  <c r="Y57" s="1"/>
  <c r="Z57" s="1"/>
  <c r="AA57" s="1"/>
  <c r="AB57" s="1"/>
  <c r="AC57" s="1"/>
  <c r="AD57" s="1"/>
  <c r="AE57" s="1"/>
  <c r="AF57" s="1"/>
  <c r="AG57" s="1"/>
  <c r="AH57" s="1"/>
  <c r="AI57" s="1"/>
  <c r="AJ57" s="1"/>
  <c r="AK57" s="1"/>
  <c r="AL57" s="1"/>
  <c r="AM57" s="1"/>
  <c r="AN57" s="1"/>
  <c r="AO57" s="1"/>
  <c r="AP57" s="1"/>
  <c r="AQ57" s="1"/>
  <c r="AR57" s="1"/>
  <c r="AS57" s="1"/>
  <c r="AT57" s="1"/>
  <c r="AU57" s="1"/>
  <c r="AV57" s="1"/>
  <c r="AW57" s="1"/>
  <c r="AX57" s="1"/>
  <c r="AY57" s="1"/>
  <c r="AZ57" s="1"/>
  <c r="BA57" s="1"/>
  <c r="BB57" s="1"/>
  <c r="BC57" s="1"/>
  <c r="BD57" s="1"/>
  <c r="BE57" s="1"/>
  <c r="BF57" s="1"/>
  <c r="BG57" s="1"/>
  <c r="BH57" s="1"/>
  <c r="BI57" s="1"/>
  <c r="BJ57" s="1"/>
  <c r="BK57" s="1"/>
  <c r="BL57" s="1"/>
  <c r="BM57" s="1"/>
  <c r="BN57" s="1"/>
  <c r="BO57" s="1"/>
  <c r="BP57" s="1"/>
  <c r="BQ57" s="1"/>
  <c r="BR57" s="1"/>
  <c r="BS57" s="1"/>
  <c r="BT57" s="1"/>
  <c r="BU57" s="1"/>
  <c r="BV57" s="1"/>
  <c r="BW57" s="1"/>
  <c r="BX57" s="1"/>
  <c r="BY57" s="1"/>
  <c r="BZ57" s="1"/>
  <c r="CA57" s="1"/>
  <c r="CB57" s="1"/>
  <c r="CC57" s="1"/>
  <c r="CD57" s="1"/>
  <c r="CE57" s="1"/>
  <c r="CF57" s="1"/>
  <c r="CG57" s="1"/>
  <c r="CH57" s="1"/>
  <c r="CI57" s="1"/>
  <c r="CJ57" s="1"/>
  <c r="CK57" s="1"/>
  <c r="CL57" s="1"/>
  <c r="CM57" s="1"/>
  <c r="CN57" s="1"/>
  <c r="CO57" s="1"/>
  <c r="CP57" s="1"/>
  <c r="CQ57" s="1"/>
  <c r="CR57" s="1"/>
  <c r="CS57" s="1"/>
  <c r="CT57" s="1"/>
  <c r="CU57" s="1"/>
  <c r="CV57" s="1"/>
  <c r="CW57" s="1"/>
  <c r="CX57" s="1"/>
  <c r="CY57" s="1"/>
  <c r="CZ57" s="1"/>
  <c r="DA57" s="1"/>
  <c r="DB57" s="1"/>
  <c r="DC57" s="1"/>
  <c r="DD57" s="1"/>
  <c r="DE57" s="1"/>
  <c r="DF57" s="1"/>
  <c r="DG57" s="1"/>
  <c r="DH57" s="1"/>
  <c r="DI57" s="1"/>
  <c r="DJ57" s="1"/>
  <c r="DK57" s="1"/>
  <c r="DL57" s="1"/>
  <c r="DM57" s="1"/>
  <c r="DN57" s="1"/>
  <c r="DO57" s="1"/>
  <c r="DP57" s="1"/>
  <c r="DQ57" s="1"/>
  <c r="DR57" s="1"/>
  <c r="DS57" s="1"/>
  <c r="DT57" s="1"/>
  <c r="DU57" s="1"/>
  <c r="DV57" s="1"/>
  <c r="DW57" s="1"/>
  <c r="DX57" s="1"/>
  <c r="DY57" s="1"/>
  <c r="DZ57" s="1"/>
  <c r="EA57" s="1"/>
  <c r="EB57" s="1"/>
  <c r="EC57" s="1"/>
  <c r="ED57" s="1"/>
  <c r="EE57" s="1"/>
  <c r="EF57" s="1"/>
  <c r="EG57" s="1"/>
  <c r="EH57" s="1"/>
  <c r="EI57" s="1"/>
  <c r="EJ57" s="1"/>
  <c r="EK57" s="1"/>
  <c r="EL57" s="1"/>
  <c r="EM57" s="1"/>
  <c r="EN57" s="1"/>
  <c r="EO57" s="1"/>
  <c r="EP57" s="1"/>
  <c r="EQ57" s="1"/>
  <c r="ER57" s="1"/>
  <c r="ES57" s="1"/>
  <c r="ET57" s="1"/>
  <c r="EU57" s="1"/>
  <c r="EV57" s="1"/>
  <c r="EW57" s="1"/>
  <c r="EX57" s="1"/>
  <c r="EY57" s="1"/>
  <c r="EZ57" s="1"/>
  <c r="FA57" s="1"/>
  <c r="FB57" s="1"/>
  <c r="FC57" s="1"/>
  <c r="FD57" s="1"/>
  <c r="FE57" s="1"/>
  <c r="FF57" s="1"/>
  <c r="FG57" s="1"/>
  <c r="FH57" s="1"/>
  <c r="FI57" s="1"/>
  <c r="FJ57" s="1"/>
  <c r="FK57" s="1"/>
  <c r="FL57" s="1"/>
  <c r="FM57" s="1"/>
  <c r="FN57" s="1"/>
  <c r="FO57" s="1"/>
  <c r="FP57" s="1"/>
  <c r="FQ57" s="1"/>
  <c r="FR57" s="1"/>
  <c r="FS57" s="1"/>
  <c r="FT57" s="1"/>
  <c r="FU57" s="1"/>
  <c r="FV57" s="1"/>
  <c r="FW57" s="1"/>
  <c r="FX57" s="1"/>
  <c r="FY57" s="1"/>
  <c r="FZ57" s="1"/>
  <c r="GA57" s="1"/>
  <c r="GB57" s="1"/>
  <c r="GC57" s="1"/>
  <c r="GD57" s="1"/>
  <c r="GE57" s="1"/>
  <c r="GF57" s="1"/>
  <c r="GG57" s="1"/>
  <c r="GH57" s="1"/>
  <c r="GI57" s="1"/>
  <c r="GJ57" s="1"/>
  <c r="GK57" s="1"/>
  <c r="GL57" s="1"/>
  <c r="GM57" s="1"/>
  <c r="GN57" s="1"/>
  <c r="GO57" s="1"/>
  <c r="GP57" s="1"/>
  <c r="GQ57" s="1"/>
  <c r="GR57" s="1"/>
  <c r="GS57" s="1"/>
  <c r="GT57" s="1"/>
  <c r="GU57" s="1"/>
  <c r="GV57" s="1"/>
  <c r="GW57" s="1"/>
  <c r="GX57" s="1"/>
  <c r="GY57" s="1"/>
  <c r="GZ57" s="1"/>
  <c r="HA57" s="1"/>
  <c r="HB57" s="1"/>
  <c r="HC57" s="1"/>
  <c r="HD57" s="1"/>
  <c r="HE57" s="1"/>
  <c r="HF57" s="1"/>
  <c r="HG57" s="1"/>
  <c r="HH57" s="1"/>
  <c r="HI57" s="1"/>
  <c r="HJ57" s="1"/>
  <c r="HK57" s="1"/>
  <c r="HL57" s="1"/>
  <c r="HM57" s="1"/>
  <c r="HN57" s="1"/>
  <c r="HO57" s="1"/>
  <c r="HP57" s="1"/>
  <c r="HQ57" s="1"/>
  <c r="HR57" s="1"/>
  <c r="HS57" s="1"/>
  <c r="HT57" s="1"/>
  <c r="HU57" s="1"/>
  <c r="HV57" s="1"/>
  <c r="HW57" s="1"/>
  <c r="HX57" s="1"/>
  <c r="HY57" s="1"/>
  <c r="HZ57" s="1"/>
  <c r="IA57" s="1"/>
  <c r="IB57" s="1"/>
  <c r="IC57" s="1"/>
  <c r="ID57" s="1"/>
  <c r="IE57" s="1"/>
  <c r="IF57" s="1"/>
  <c r="IG57" s="1"/>
  <c r="IH57" s="1"/>
  <c r="II57" s="1"/>
  <c r="IJ57" s="1"/>
  <c r="IK57" s="1"/>
  <c r="IL57" s="1"/>
  <c r="IM57" s="1"/>
  <c r="IN57" s="1"/>
  <c r="IO57" s="1"/>
  <c r="IP57" s="1"/>
  <c r="IQ57" s="1"/>
  <c r="IR57" s="1"/>
  <c r="IS57" s="1"/>
  <c r="IT57" s="1"/>
  <c r="D58"/>
  <c r="E58" s="1"/>
  <c r="F58" s="1"/>
  <c r="G58" s="1"/>
  <c r="H58" s="1"/>
  <c r="I58" s="1"/>
  <c r="J58" s="1"/>
  <c r="K58" s="1"/>
  <c r="L58" s="1"/>
  <c r="M58" s="1"/>
  <c r="N58" s="1"/>
  <c r="O58" s="1"/>
  <c r="P58" s="1"/>
  <c r="Q58" s="1"/>
  <c r="R58" s="1"/>
  <c r="S58" s="1"/>
  <c r="T58" s="1"/>
  <c r="U58" s="1"/>
  <c r="V58" s="1"/>
  <c r="W58" s="1"/>
  <c r="X58" s="1"/>
  <c r="Y58" s="1"/>
  <c r="Z58" s="1"/>
  <c r="AA58" s="1"/>
  <c r="AB58" s="1"/>
  <c r="AC58" s="1"/>
  <c r="AD58" s="1"/>
  <c r="AE58" s="1"/>
  <c r="AF58" s="1"/>
  <c r="AG58" s="1"/>
  <c r="AH58" s="1"/>
  <c r="AI58" s="1"/>
  <c r="AJ58" s="1"/>
  <c r="AK58" s="1"/>
  <c r="AL58" s="1"/>
  <c r="AM58" s="1"/>
  <c r="AN58" s="1"/>
  <c r="AO58" s="1"/>
  <c r="AP58" s="1"/>
  <c r="AQ58" s="1"/>
  <c r="AR58" s="1"/>
  <c r="AS58" s="1"/>
  <c r="AT58" s="1"/>
  <c r="AU58" s="1"/>
  <c r="AV58" s="1"/>
  <c r="AW58" s="1"/>
  <c r="AX58" s="1"/>
  <c r="AY58" s="1"/>
  <c r="AZ58" s="1"/>
  <c r="BA58" s="1"/>
  <c r="BB58" s="1"/>
  <c r="BC58" s="1"/>
  <c r="BD58" s="1"/>
  <c r="BE58" s="1"/>
  <c r="BF58" s="1"/>
  <c r="BG58" s="1"/>
  <c r="BH58" s="1"/>
  <c r="BI58" s="1"/>
  <c r="BJ58" s="1"/>
  <c r="BK58" s="1"/>
  <c r="BL58" s="1"/>
  <c r="BM58" s="1"/>
  <c r="BN58" s="1"/>
  <c r="BO58" s="1"/>
  <c r="BP58" s="1"/>
  <c r="BQ58" s="1"/>
  <c r="BR58" s="1"/>
  <c r="BS58" s="1"/>
  <c r="BT58" s="1"/>
  <c r="BU58" s="1"/>
  <c r="BV58" s="1"/>
  <c r="BW58" s="1"/>
  <c r="BX58" s="1"/>
  <c r="BY58" s="1"/>
  <c r="BZ58" s="1"/>
  <c r="CA58" s="1"/>
  <c r="CB58" s="1"/>
  <c r="CC58" s="1"/>
  <c r="CD58" s="1"/>
  <c r="CE58" s="1"/>
  <c r="CF58" s="1"/>
  <c r="CG58" s="1"/>
  <c r="CH58" s="1"/>
  <c r="CI58" s="1"/>
  <c r="CJ58" s="1"/>
  <c r="CK58" s="1"/>
  <c r="CL58" s="1"/>
  <c r="CM58" s="1"/>
  <c r="CN58" s="1"/>
  <c r="CO58" s="1"/>
  <c r="CP58" s="1"/>
  <c r="CQ58" s="1"/>
  <c r="CR58" s="1"/>
  <c r="CS58" s="1"/>
  <c r="CT58" s="1"/>
  <c r="CU58" s="1"/>
  <c r="CV58" s="1"/>
  <c r="CW58" s="1"/>
  <c r="CX58" s="1"/>
  <c r="CY58" s="1"/>
  <c r="CZ58" s="1"/>
  <c r="DA58" s="1"/>
  <c r="DB58" s="1"/>
  <c r="DC58" s="1"/>
  <c r="DD58" s="1"/>
  <c r="DE58" s="1"/>
  <c r="DF58" s="1"/>
  <c r="DG58" s="1"/>
  <c r="DH58" s="1"/>
  <c r="DI58" s="1"/>
  <c r="DJ58" s="1"/>
  <c r="DK58" s="1"/>
  <c r="DL58" s="1"/>
  <c r="DM58" s="1"/>
  <c r="DN58" s="1"/>
  <c r="DO58" s="1"/>
  <c r="DP58" s="1"/>
  <c r="DQ58" s="1"/>
  <c r="DR58" s="1"/>
  <c r="DS58" s="1"/>
  <c r="DT58" s="1"/>
  <c r="DU58" s="1"/>
  <c r="DV58" s="1"/>
  <c r="DW58" s="1"/>
  <c r="DX58" s="1"/>
  <c r="DY58" s="1"/>
  <c r="DZ58" s="1"/>
  <c r="EA58" s="1"/>
  <c r="EB58" s="1"/>
  <c r="EC58" s="1"/>
  <c r="ED58" s="1"/>
  <c r="EE58" s="1"/>
  <c r="EF58" s="1"/>
  <c r="EG58" s="1"/>
  <c r="EH58" s="1"/>
  <c r="EI58" s="1"/>
  <c r="EJ58" s="1"/>
  <c r="EK58" s="1"/>
  <c r="EL58" s="1"/>
  <c r="EM58" s="1"/>
  <c r="EN58" s="1"/>
  <c r="EO58" s="1"/>
  <c r="EP58" s="1"/>
  <c r="EQ58" s="1"/>
  <c r="ER58" s="1"/>
  <c r="ES58" s="1"/>
  <c r="ET58" s="1"/>
  <c r="EU58" s="1"/>
  <c r="EV58" s="1"/>
  <c r="EW58" s="1"/>
  <c r="EX58" s="1"/>
  <c r="EY58" s="1"/>
  <c r="EZ58" s="1"/>
  <c r="FA58" s="1"/>
  <c r="FB58" s="1"/>
  <c r="FC58" s="1"/>
  <c r="FD58" s="1"/>
  <c r="FE58" s="1"/>
  <c r="FF58" s="1"/>
  <c r="FG58" s="1"/>
  <c r="FH58" s="1"/>
  <c r="FI58" s="1"/>
  <c r="FJ58" s="1"/>
  <c r="FK58" s="1"/>
  <c r="FL58" s="1"/>
  <c r="FM58" s="1"/>
  <c r="FN58" s="1"/>
  <c r="FO58" s="1"/>
  <c r="FP58" s="1"/>
  <c r="FQ58" s="1"/>
  <c r="FR58" s="1"/>
  <c r="FS58" s="1"/>
  <c r="FT58" s="1"/>
  <c r="FU58" s="1"/>
  <c r="FV58" s="1"/>
  <c r="FW58" s="1"/>
  <c r="FX58" s="1"/>
  <c r="FY58" s="1"/>
  <c r="FZ58" s="1"/>
  <c r="GA58" s="1"/>
  <c r="GB58" s="1"/>
  <c r="GC58" s="1"/>
  <c r="GD58" s="1"/>
  <c r="GE58" s="1"/>
  <c r="GF58" s="1"/>
  <c r="GG58" s="1"/>
  <c r="GH58" s="1"/>
  <c r="GI58" s="1"/>
  <c r="GJ58" s="1"/>
  <c r="GK58" s="1"/>
  <c r="GL58" s="1"/>
  <c r="GM58" s="1"/>
  <c r="GN58" s="1"/>
  <c r="GO58" s="1"/>
  <c r="GP58" s="1"/>
  <c r="GQ58" s="1"/>
  <c r="GR58" s="1"/>
  <c r="GS58" s="1"/>
  <c r="GT58" s="1"/>
  <c r="GU58" s="1"/>
  <c r="GV58" s="1"/>
  <c r="GW58" s="1"/>
  <c r="GX58" s="1"/>
  <c r="GY58" s="1"/>
  <c r="GZ58" s="1"/>
  <c r="HA58" s="1"/>
  <c r="HB58" s="1"/>
  <c r="HC58" s="1"/>
  <c r="HD58" s="1"/>
  <c r="HE58" s="1"/>
  <c r="HF58" s="1"/>
  <c r="HG58" s="1"/>
  <c r="HH58" s="1"/>
  <c r="HI58" s="1"/>
  <c r="HJ58" s="1"/>
  <c r="HK58" s="1"/>
  <c r="HL58" s="1"/>
  <c r="HM58" s="1"/>
  <c r="HN58" s="1"/>
  <c r="HO58" s="1"/>
  <c r="HP58" s="1"/>
  <c r="HQ58" s="1"/>
  <c r="HR58" s="1"/>
  <c r="HS58" s="1"/>
  <c r="HT58" s="1"/>
  <c r="HU58" s="1"/>
  <c r="HV58" s="1"/>
  <c r="HW58" s="1"/>
  <c r="HX58" s="1"/>
  <c r="HY58" s="1"/>
  <c r="HZ58" s="1"/>
  <c r="IA58" s="1"/>
  <c r="IB58" s="1"/>
  <c r="IC58" s="1"/>
  <c r="ID58" s="1"/>
  <c r="IE58" s="1"/>
  <c r="IF58" s="1"/>
  <c r="IG58" s="1"/>
  <c r="IH58" s="1"/>
  <c r="II58" s="1"/>
  <c r="IJ58" s="1"/>
  <c r="IK58" s="1"/>
  <c r="IL58" s="1"/>
  <c r="IM58" s="1"/>
  <c r="IN58" s="1"/>
  <c r="IO58" s="1"/>
  <c r="IP58" s="1"/>
  <c r="IQ58" s="1"/>
  <c r="IR58" s="1"/>
  <c r="IS58" s="1"/>
  <c r="IT58" s="1"/>
  <c r="D59"/>
  <c r="E59"/>
  <c r="F59" s="1"/>
  <c r="G59" s="1"/>
  <c r="H59" s="1"/>
  <c r="I59" s="1"/>
  <c r="J59" s="1"/>
  <c r="K59" s="1"/>
  <c r="L59" s="1"/>
  <c r="M59" s="1"/>
  <c r="N59" s="1"/>
  <c r="O59" s="1"/>
  <c r="P59" s="1"/>
  <c r="Q59" s="1"/>
  <c r="R59" s="1"/>
  <c r="S59" s="1"/>
  <c r="T59" s="1"/>
  <c r="U59" s="1"/>
  <c r="V59" s="1"/>
  <c r="W59" s="1"/>
  <c r="X59" s="1"/>
  <c r="Y59" s="1"/>
  <c r="Z59" s="1"/>
  <c r="AA59" s="1"/>
  <c r="AB59" s="1"/>
  <c r="AC59" s="1"/>
  <c r="AD59" s="1"/>
  <c r="AE59" s="1"/>
  <c r="AF59" s="1"/>
  <c r="AG59" s="1"/>
  <c r="AH59" s="1"/>
  <c r="AI59" s="1"/>
  <c r="AJ59" s="1"/>
  <c r="AK59" s="1"/>
  <c r="AL59" s="1"/>
  <c r="AM59" s="1"/>
  <c r="AN59" s="1"/>
  <c r="AO59" s="1"/>
  <c r="AP59" s="1"/>
  <c r="AQ59" s="1"/>
  <c r="AR59" s="1"/>
  <c r="AS59" s="1"/>
  <c r="AT59" s="1"/>
  <c r="AU59" s="1"/>
  <c r="AV59" s="1"/>
  <c r="AW59" s="1"/>
  <c r="AX59" s="1"/>
  <c r="AY59" s="1"/>
  <c r="AZ59" s="1"/>
  <c r="BA59" s="1"/>
  <c r="BB59" s="1"/>
  <c r="BC59" s="1"/>
  <c r="BD59" s="1"/>
  <c r="BE59" s="1"/>
  <c r="BF59" s="1"/>
  <c r="BG59" s="1"/>
  <c r="BH59" s="1"/>
  <c r="BI59" s="1"/>
  <c r="BJ59" s="1"/>
  <c r="BK59" s="1"/>
  <c r="BL59" s="1"/>
  <c r="BM59" s="1"/>
  <c r="BN59" s="1"/>
  <c r="BO59" s="1"/>
  <c r="BP59" s="1"/>
  <c r="BQ59" s="1"/>
  <c r="BR59" s="1"/>
  <c r="BS59" s="1"/>
  <c r="BT59" s="1"/>
  <c r="BU59" s="1"/>
  <c r="BV59" s="1"/>
  <c r="BW59" s="1"/>
  <c r="BX59" s="1"/>
  <c r="BY59" s="1"/>
  <c r="BZ59" s="1"/>
  <c r="CA59" s="1"/>
  <c r="CB59" s="1"/>
  <c r="CC59" s="1"/>
  <c r="CD59" s="1"/>
  <c r="CE59" s="1"/>
  <c r="CF59" s="1"/>
  <c r="CG59" s="1"/>
  <c r="CH59" s="1"/>
  <c r="CI59" s="1"/>
  <c r="CJ59" s="1"/>
  <c r="CK59" s="1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DF59" s="1"/>
  <c r="DG59" s="1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DZ59" s="1"/>
  <c r="EA59" s="1"/>
  <c r="EB59" s="1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HG59" s="1"/>
  <c r="HH59" s="1"/>
  <c r="HI59" s="1"/>
  <c r="HJ59" s="1"/>
  <c r="HK59" s="1"/>
  <c r="HL59" s="1"/>
  <c r="HM59" s="1"/>
  <c r="HN59" s="1"/>
  <c r="HO59" s="1"/>
  <c r="HP59" s="1"/>
  <c r="HQ59" s="1"/>
  <c r="HR59" s="1"/>
  <c r="HS59" s="1"/>
  <c r="HT59" s="1"/>
  <c r="HU59" s="1"/>
  <c r="HV59" s="1"/>
  <c r="HW59" s="1"/>
  <c r="HX59" s="1"/>
  <c r="HY59" s="1"/>
  <c r="HZ59" s="1"/>
  <c r="IA59" s="1"/>
  <c r="IB59" s="1"/>
  <c r="IC59" s="1"/>
  <c r="ID59" s="1"/>
  <c r="IE59" s="1"/>
  <c r="IF59" s="1"/>
  <c r="IG59" s="1"/>
  <c r="IH59" s="1"/>
  <c r="II59" s="1"/>
  <c r="IJ59" s="1"/>
  <c r="IK59" s="1"/>
  <c r="IL59" s="1"/>
  <c r="IM59" s="1"/>
  <c r="IN59" s="1"/>
  <c r="IO59" s="1"/>
  <c r="IP59" s="1"/>
  <c r="IQ59" s="1"/>
  <c r="IR59" s="1"/>
  <c r="IS59" s="1"/>
  <c r="IT59" s="1"/>
  <c r="D60"/>
  <c r="E60" s="1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V60" s="1"/>
  <c r="W60" s="1"/>
  <c r="X60" s="1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J60" s="1"/>
  <c r="BK60" s="1"/>
  <c r="BL60" s="1"/>
  <c r="BM60" s="1"/>
  <c r="BN60" s="1"/>
  <c r="BO60" s="1"/>
  <c r="BP60" s="1"/>
  <c r="BQ60" s="1"/>
  <c r="BR60" s="1"/>
  <c r="BS60" s="1"/>
  <c r="BT60" s="1"/>
  <c r="BU60" s="1"/>
  <c r="BV60" s="1"/>
  <c r="BW60" s="1"/>
  <c r="BX60" s="1"/>
  <c r="BY60" s="1"/>
  <c r="BZ60" s="1"/>
  <c r="CA60" s="1"/>
  <c r="CB60" s="1"/>
  <c r="CC60" s="1"/>
  <c r="CD60" s="1"/>
  <c r="CE60" s="1"/>
  <c r="CF60" s="1"/>
  <c r="CG60" s="1"/>
  <c r="CH60" s="1"/>
  <c r="CI60" s="1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DA60" s="1"/>
  <c r="DB60" s="1"/>
  <c r="DC60" s="1"/>
  <c r="DD60" s="1"/>
  <c r="DE60" s="1"/>
  <c r="DF60" s="1"/>
  <c r="DG60" s="1"/>
  <c r="DH60" s="1"/>
  <c r="DI60" s="1"/>
  <c r="DJ60" s="1"/>
  <c r="DK60" s="1"/>
  <c r="DL60" s="1"/>
  <c r="DM60" s="1"/>
  <c r="DN60" s="1"/>
  <c r="DO60" s="1"/>
  <c r="DP60" s="1"/>
  <c r="DQ60" s="1"/>
  <c r="DR60" s="1"/>
  <c r="DS60" s="1"/>
  <c r="DT60" s="1"/>
  <c r="DU60" s="1"/>
  <c r="DV60" s="1"/>
  <c r="DW60" s="1"/>
  <c r="DX60" s="1"/>
  <c r="DY60" s="1"/>
  <c r="DZ60"/>
  <c r="EA60" s="1"/>
  <c r="EB60" s="1"/>
  <c r="EC60" s="1"/>
  <c r="ED60" s="1"/>
  <c r="EE60" s="1"/>
  <c r="EF60" s="1"/>
  <c r="EG60" s="1"/>
  <c r="EH60" s="1"/>
  <c r="EI60" s="1"/>
  <c r="EJ60" s="1"/>
  <c r="EK60" s="1"/>
  <c r="EL60" s="1"/>
  <c r="EM60" s="1"/>
  <c r="EN60" s="1"/>
  <c r="EO60" s="1"/>
  <c r="EP60" s="1"/>
  <c r="EQ60" s="1"/>
  <c r="ER60" s="1"/>
  <c r="ES60" s="1"/>
  <c r="ET60" s="1"/>
  <c r="EU60" s="1"/>
  <c r="EV60" s="1"/>
  <c r="EW60" s="1"/>
  <c r="EX60" s="1"/>
  <c r="EY60" s="1"/>
  <c r="EZ60" s="1"/>
  <c r="FA60" s="1"/>
  <c r="FB60" s="1"/>
  <c r="FC60" s="1"/>
  <c r="FD60" s="1"/>
  <c r="FE60" s="1"/>
  <c r="FF60" s="1"/>
  <c r="FG60" s="1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FZ60" s="1"/>
  <c r="GA60" s="1"/>
  <c r="GB60" s="1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D61"/>
  <c r="E61"/>
  <c r="F61" s="1"/>
  <c r="G61" s="1"/>
  <c r="C62"/>
  <c r="IU13" i="68"/>
  <c r="AH29"/>
  <c r="BC29"/>
  <c r="BY29"/>
  <c r="IJ29"/>
  <c r="AD30"/>
  <c r="DO30"/>
  <c r="EY30"/>
  <c r="IE30"/>
  <c r="AL32"/>
  <c r="BF32"/>
  <c r="CS32"/>
  <c r="DN32"/>
  <c r="EY32"/>
  <c r="FK32"/>
  <c r="GB32"/>
  <c r="IH32"/>
  <c r="IO32"/>
  <c r="W33"/>
  <c r="BD35"/>
  <c r="BN35"/>
  <c r="CD35"/>
  <c r="CH35"/>
  <c r="DP35"/>
  <c r="FF35"/>
  <c r="FI35"/>
  <c r="HT35"/>
  <c r="IG36"/>
  <c r="IL36"/>
  <c r="IU36"/>
  <c r="BN41"/>
  <c r="FL41"/>
  <c r="X43"/>
  <c r="AP43"/>
  <c r="AU43"/>
  <c r="BA43"/>
  <c r="BD43"/>
  <c r="BH43"/>
  <c r="BN43"/>
  <c r="BQ43"/>
  <c r="BS43"/>
  <c r="BW43"/>
  <c r="BX43"/>
  <c r="CH43"/>
  <c r="CI43"/>
  <c r="CK43"/>
  <c r="CM43"/>
  <c r="CN43"/>
  <c r="CR43"/>
  <c r="CW43"/>
  <c r="DD43"/>
  <c r="DG43"/>
  <c r="DR43"/>
  <c r="DU43"/>
  <c r="DU47" s="1"/>
  <c r="DU50"/>
  <c r="DW43"/>
  <c r="DZ43"/>
  <c r="DZ47" s="1"/>
  <c r="DZ50" s="1"/>
  <c r="EB43"/>
  <c r="EO43"/>
  <c r="EW43"/>
  <c r="FC43"/>
  <c r="FC47" s="1"/>
  <c r="FC50" s="1"/>
  <c r="FO43"/>
  <c r="FP43"/>
  <c r="FP47" s="1"/>
  <c r="FP50" s="1"/>
  <c r="FS43"/>
  <c r="GL43"/>
  <c r="GL47" s="1"/>
  <c r="GL50" s="1"/>
  <c r="GP43"/>
  <c r="HD43"/>
  <c r="HD47" s="1"/>
  <c r="HD50" s="1"/>
  <c r="HG43"/>
  <c r="HM43"/>
  <c r="HM47" s="1"/>
  <c r="HM50" s="1"/>
  <c r="HO43"/>
  <c r="IB43"/>
  <c r="IF43"/>
  <c r="GN15"/>
  <c r="CI15"/>
  <c r="IU15"/>
  <c r="DV14"/>
  <c r="CI14"/>
  <c r="IM11"/>
  <c r="IJ11"/>
  <c r="II11"/>
  <c r="IF11"/>
  <c r="HR11"/>
  <c r="HN11"/>
  <c r="HK11"/>
  <c r="GY11"/>
  <c r="GX11"/>
  <c r="GV11"/>
  <c r="GQ11"/>
  <c r="GG11"/>
  <c r="GD11"/>
  <c r="GA11"/>
  <c r="FQ11"/>
  <c r="FF11"/>
  <c r="FD11"/>
  <c r="FC11"/>
  <c r="FB11"/>
  <c r="EY11"/>
  <c r="ES11"/>
  <c r="ER11"/>
  <c r="EN11"/>
  <c r="EE11"/>
  <c r="DZ11"/>
  <c r="DP11"/>
  <c r="DO11"/>
  <c r="DE11"/>
  <c r="CW11"/>
  <c r="CV11"/>
  <c r="CU11"/>
  <c r="CT11"/>
  <c r="CS11"/>
  <c r="CR11"/>
  <c r="CP11"/>
  <c r="CN11"/>
  <c r="CK11"/>
  <c r="CJ11"/>
  <c r="CF11"/>
  <c r="CC11"/>
  <c r="CA11"/>
  <c r="BW11"/>
  <c r="BV11"/>
  <c r="BT11"/>
  <c r="BS11"/>
  <c r="BR11"/>
  <c r="BL11"/>
  <c r="BJ11"/>
  <c r="BG11"/>
  <c r="BA11"/>
  <c r="AW11"/>
  <c r="AK11"/>
  <c r="AF11"/>
  <c r="AC11"/>
  <c r="AB11"/>
  <c r="X11"/>
  <c r="V11"/>
  <c r="CW10"/>
  <c r="CI10"/>
  <c r="IU10"/>
  <c r="T11"/>
  <c r="DF9"/>
  <c r="CO9"/>
  <c r="IU9"/>
  <c r="IG8"/>
  <c r="ID8"/>
  <c r="HK8"/>
  <c r="HJ8"/>
  <c r="HI8"/>
  <c r="HH8"/>
  <c r="GU8"/>
  <c r="FZ8"/>
  <c r="FN8"/>
  <c r="FF8"/>
  <c r="DQ8"/>
  <c r="DO8"/>
  <c r="DG8"/>
  <c r="DE8"/>
  <c r="CZ8"/>
  <c r="CV8"/>
  <c r="BR8"/>
  <c r="IU8"/>
  <c r="E43"/>
  <c r="H43"/>
  <c r="M43"/>
  <c r="IU43"/>
  <c r="G11"/>
  <c r="O11"/>
  <c r="IU11" s="1"/>
  <c r="IU26" s="1"/>
  <c r="IU12"/>
  <c r="P14"/>
  <c r="IU14"/>
  <c r="FM16"/>
  <c r="GH16"/>
  <c r="IU16" s="1"/>
  <c r="IU45"/>
  <c r="N29"/>
  <c r="IU29"/>
  <c r="Q30"/>
  <c r="IU30"/>
  <c r="IU31"/>
  <c r="R32"/>
  <c r="IU32" s="1"/>
  <c r="IU33"/>
  <c r="IU34"/>
  <c r="S35"/>
  <c r="IU35" s="1"/>
  <c r="IU37"/>
  <c r="IU38"/>
  <c r="IU39"/>
  <c r="IU40"/>
  <c r="P41"/>
  <c r="IU41" s="1"/>
  <c r="IU42"/>
  <c r="IU44"/>
  <c r="IU46"/>
  <c r="DQ47"/>
  <c r="DQ50"/>
  <c r="DR26"/>
  <c r="DR47"/>
  <c r="DR50" s="1"/>
  <c r="DS26"/>
  <c r="DS47"/>
  <c r="DS50"/>
  <c r="DT26"/>
  <c r="DT47"/>
  <c r="DT50" s="1"/>
  <c r="DU26"/>
  <c r="DV26"/>
  <c r="DV47"/>
  <c r="DV50" s="1"/>
  <c r="DW19"/>
  <c r="DW26" s="1"/>
  <c r="DW47"/>
  <c r="DW50" s="1"/>
  <c r="DX26"/>
  <c r="DX47"/>
  <c r="DX50"/>
  <c r="DY26"/>
  <c r="DY47"/>
  <c r="DY50" s="1"/>
  <c r="DZ26"/>
  <c r="EA26"/>
  <c r="EA47"/>
  <c r="EA50" s="1"/>
  <c r="EB26"/>
  <c r="EB47"/>
  <c r="EB50"/>
  <c r="EC19"/>
  <c r="EC20"/>
  <c r="EC26" s="1"/>
  <c r="EC47"/>
  <c r="EC50" s="1"/>
  <c r="ED26"/>
  <c r="ED47"/>
  <c r="ED50"/>
  <c r="EE47"/>
  <c r="EE50"/>
  <c r="EF26"/>
  <c r="EF47"/>
  <c r="EF50" s="1"/>
  <c r="EG18"/>
  <c r="EG47"/>
  <c r="EG50"/>
  <c r="EH26"/>
  <c r="EH47"/>
  <c r="EH50" s="1"/>
  <c r="EI26"/>
  <c r="EI47"/>
  <c r="EI50"/>
  <c r="EJ26"/>
  <c r="EJ47"/>
  <c r="EJ50" s="1"/>
  <c r="EK26"/>
  <c r="EK47"/>
  <c r="EK50"/>
  <c r="EL26"/>
  <c r="EL47"/>
  <c r="EL50" s="1"/>
  <c r="EM26"/>
  <c r="EM47"/>
  <c r="EM50"/>
  <c r="EN26"/>
  <c r="EN47"/>
  <c r="EN50" s="1"/>
  <c r="EO26"/>
  <c r="EO47"/>
  <c r="EO50"/>
  <c r="EP26"/>
  <c r="EP47"/>
  <c r="EP50" s="1"/>
  <c r="EQ26"/>
  <c r="EQ47"/>
  <c r="EQ50"/>
  <c r="ER26"/>
  <c r="ER47"/>
  <c r="ER50" s="1"/>
  <c r="ES47"/>
  <c r="ES50" s="1"/>
  <c r="ET26"/>
  <c r="ET47"/>
  <c r="ET50"/>
  <c r="EU26"/>
  <c r="EU47"/>
  <c r="EU50" s="1"/>
  <c r="EV26"/>
  <c r="EV47"/>
  <c r="EV50"/>
  <c r="EW26"/>
  <c r="EW47"/>
  <c r="EW50" s="1"/>
  <c r="EX26"/>
  <c r="EX47"/>
  <c r="EX50"/>
  <c r="EZ26"/>
  <c r="EZ47"/>
  <c r="EZ50" s="1"/>
  <c r="FA26"/>
  <c r="FA47"/>
  <c r="FA50"/>
  <c r="FB18"/>
  <c r="FB47"/>
  <c r="FB50" s="1"/>
  <c r="FC18"/>
  <c r="FD47"/>
  <c r="FD50"/>
  <c r="FE26"/>
  <c r="FE47"/>
  <c r="FE50" s="1"/>
  <c r="FF18"/>
  <c r="FF47"/>
  <c r="FF50"/>
  <c r="FG26"/>
  <c r="FG47"/>
  <c r="FG50" s="1"/>
  <c r="FH26"/>
  <c r="FH47"/>
  <c r="FH50"/>
  <c r="FI26"/>
  <c r="FJ26"/>
  <c r="FJ47"/>
  <c r="FJ50"/>
  <c r="FK26"/>
  <c r="FK47"/>
  <c r="FK50" s="1"/>
  <c r="FL19"/>
  <c r="FL26" s="1"/>
  <c r="FM26"/>
  <c r="FM47"/>
  <c r="FM50"/>
  <c r="FN47"/>
  <c r="FN50"/>
  <c r="FO26"/>
  <c r="FO47"/>
  <c r="FO50" s="1"/>
  <c r="FP26"/>
  <c r="FQ26"/>
  <c r="FQ47"/>
  <c r="FQ50" s="1"/>
  <c r="FR26"/>
  <c r="FR47"/>
  <c r="FR50"/>
  <c r="FS26"/>
  <c r="FS47"/>
  <c r="FS50" s="1"/>
  <c r="FT19"/>
  <c r="FT26" s="1"/>
  <c r="FT47"/>
  <c r="FT50" s="1"/>
  <c r="FU26"/>
  <c r="FU47"/>
  <c r="FU50"/>
  <c r="FV26"/>
  <c r="FV47"/>
  <c r="FV50" s="1"/>
  <c r="FW26"/>
  <c r="FW47"/>
  <c r="FW50"/>
  <c r="FX26"/>
  <c r="FX47"/>
  <c r="FX50" s="1"/>
  <c r="FY26"/>
  <c r="FY47"/>
  <c r="FY50"/>
  <c r="FZ19"/>
  <c r="FZ20"/>
  <c r="FZ26" s="1"/>
  <c r="FZ47"/>
  <c r="FZ50" s="1"/>
  <c r="GA18"/>
  <c r="GA47"/>
  <c r="GA50"/>
  <c r="GB18"/>
  <c r="GB47"/>
  <c r="GB50" s="1"/>
  <c r="GC26"/>
  <c r="GC47"/>
  <c r="GC50"/>
  <c r="GD17"/>
  <c r="GD26"/>
  <c r="GD47"/>
  <c r="GD50"/>
  <c r="GE26"/>
  <c r="GE47"/>
  <c r="GE50" s="1"/>
  <c r="GF26"/>
  <c r="GF47"/>
  <c r="GF50"/>
  <c r="GG47"/>
  <c r="GG50"/>
  <c r="GH47"/>
  <c r="GH50"/>
  <c r="GI19"/>
  <c r="GI26"/>
  <c r="GI47"/>
  <c r="GI49"/>
  <c r="GI50" s="1"/>
  <c r="GJ26"/>
  <c r="GJ47"/>
  <c r="GJ50"/>
  <c r="GK26"/>
  <c r="GK47"/>
  <c r="GK50" s="1"/>
  <c r="GL19"/>
  <c r="GL26" s="1"/>
  <c r="GM26"/>
  <c r="GM47"/>
  <c r="GM50"/>
  <c r="GN47"/>
  <c r="GN50"/>
  <c r="GO26"/>
  <c r="GO47"/>
  <c r="GO50" s="1"/>
  <c r="GP26"/>
  <c r="GP47"/>
  <c r="GP50"/>
  <c r="GQ18"/>
  <c r="GQ47"/>
  <c r="GQ50" s="1"/>
  <c r="GR26"/>
  <c r="GR47"/>
  <c r="GR50"/>
  <c r="GS26"/>
  <c r="GS47"/>
  <c r="GS50" s="1"/>
  <c r="GT26"/>
  <c r="GT47"/>
  <c r="GT50"/>
  <c r="GU47"/>
  <c r="GU50"/>
  <c r="GV19"/>
  <c r="GV47"/>
  <c r="GV50" s="1"/>
  <c r="GW26"/>
  <c r="GW47"/>
  <c r="GW50"/>
  <c r="GX26"/>
  <c r="GX47"/>
  <c r="GX50" s="1"/>
  <c r="GY47"/>
  <c r="GY50" s="1"/>
  <c r="GZ26"/>
  <c r="GZ47"/>
  <c r="GZ50"/>
  <c r="HA18"/>
  <c r="HA47"/>
  <c r="HA50" s="1"/>
  <c r="HB26"/>
  <c r="HB47"/>
  <c r="HB50"/>
  <c r="HC26"/>
  <c r="HC47"/>
  <c r="HC50" s="1"/>
  <c r="HD26"/>
  <c r="HE26"/>
  <c r="HE47"/>
  <c r="HE50" s="1"/>
  <c r="HF26"/>
  <c r="HF47"/>
  <c r="HF50"/>
  <c r="HG19"/>
  <c r="HG26"/>
  <c r="HG47"/>
  <c r="HG50"/>
  <c r="HH26"/>
  <c r="HH47"/>
  <c r="HH50" s="1"/>
  <c r="HI26"/>
  <c r="HI47"/>
  <c r="HI50"/>
  <c r="HJ26"/>
  <c r="HJ47"/>
  <c r="HJ50" s="1"/>
  <c r="HK18"/>
  <c r="HK47"/>
  <c r="HK50"/>
  <c r="HL26"/>
  <c r="HL47"/>
  <c r="HL50" s="1"/>
  <c r="HM18"/>
  <c r="HN47"/>
  <c r="HN50"/>
  <c r="HO26"/>
  <c r="HO47"/>
  <c r="HO50" s="1"/>
  <c r="HP26"/>
  <c r="HP47"/>
  <c r="HP50"/>
  <c r="HQ26"/>
  <c r="HQ47"/>
  <c r="HQ50" s="1"/>
  <c r="HR26"/>
  <c r="HR47"/>
  <c r="HR50"/>
  <c r="HS18"/>
  <c r="HS47"/>
  <c r="HS50" s="1"/>
  <c r="HT18"/>
  <c r="HT47"/>
  <c r="HT50"/>
  <c r="HU26"/>
  <c r="HU47"/>
  <c r="HU50" s="1"/>
  <c r="HV26"/>
  <c r="HV47"/>
  <c r="HV50"/>
  <c r="HW26"/>
  <c r="HW47"/>
  <c r="HW50" s="1"/>
  <c r="HX26"/>
  <c r="HX47"/>
  <c r="HX50"/>
  <c r="HY26"/>
  <c r="HY47"/>
  <c r="HY50" s="1"/>
  <c r="HZ26"/>
  <c r="HZ47"/>
  <c r="HZ50"/>
  <c r="IA26"/>
  <c r="IA47"/>
  <c r="IA50" s="1"/>
  <c r="IB26"/>
  <c r="IB47"/>
  <c r="IB50"/>
  <c r="IC26"/>
  <c r="IC47"/>
  <c r="IC50" s="1"/>
  <c r="ID26"/>
  <c r="ID47"/>
  <c r="ID50"/>
  <c r="IE26"/>
  <c r="IE47"/>
  <c r="IE50" s="1"/>
  <c r="IF26"/>
  <c r="IF47"/>
  <c r="IF50"/>
  <c r="IG26"/>
  <c r="IG47"/>
  <c r="IG50" s="1"/>
  <c r="IH26"/>
  <c r="IH47"/>
  <c r="IH50"/>
  <c r="II26"/>
  <c r="II47"/>
  <c r="II50" s="1"/>
  <c r="IJ26"/>
  <c r="IJ47"/>
  <c r="IJ50"/>
  <c r="IK26"/>
  <c r="IK47"/>
  <c r="IK50" s="1"/>
  <c r="IL26"/>
  <c r="IL47"/>
  <c r="IL50"/>
  <c r="IM26"/>
  <c r="IM47"/>
  <c r="IM50" s="1"/>
  <c r="IN26"/>
  <c r="IN47"/>
  <c r="IN50"/>
  <c r="IO26"/>
  <c r="IO47"/>
  <c r="IO50" s="1"/>
  <c r="IP26"/>
  <c r="IP47"/>
  <c r="IP50"/>
  <c r="IQ18"/>
  <c r="IQ47"/>
  <c r="IQ50" s="1"/>
  <c r="IR26"/>
  <c r="IR47"/>
  <c r="IR50"/>
  <c r="IS26"/>
  <c r="IS47"/>
  <c r="IS50" s="1"/>
  <c r="IT26"/>
  <c r="IT47"/>
  <c r="IT50"/>
  <c r="D55"/>
  <c r="E55"/>
  <c r="F55" s="1"/>
  <c r="G55" s="1"/>
  <c r="H55" s="1"/>
  <c r="I55" s="1"/>
  <c r="J55" s="1"/>
  <c r="K55" s="1"/>
  <c r="L55" s="1"/>
  <c r="M55" s="1"/>
  <c r="N55" s="1"/>
  <c r="O55" s="1"/>
  <c r="P55" s="1"/>
  <c r="Q55" s="1"/>
  <c r="R55" s="1"/>
  <c r="S55" s="1"/>
  <c r="T55" s="1"/>
  <c r="H52"/>
  <c r="AT52"/>
  <c r="EC52"/>
  <c r="EH52"/>
  <c r="EI52"/>
  <c r="EJ52"/>
  <c r="EK52"/>
  <c r="EQ52"/>
  <c r="FZ52"/>
  <c r="GI52"/>
  <c r="HI52"/>
  <c r="GV56"/>
  <c r="GW56" s="1"/>
  <c r="GX56" s="1"/>
  <c r="GY56" s="1"/>
  <c r="GZ56" s="1"/>
  <c r="HA56" s="1"/>
  <c r="HB56" s="1"/>
  <c r="HC56" s="1"/>
  <c r="HD56" s="1"/>
  <c r="HE56" s="1"/>
  <c r="HF56" s="1"/>
  <c r="HG56" s="1"/>
  <c r="HH56" s="1"/>
  <c r="HI56" s="1"/>
  <c r="HJ56" s="1"/>
  <c r="HK56" s="1"/>
  <c r="HL56" s="1"/>
  <c r="HM56" s="1"/>
  <c r="HN56" s="1"/>
  <c r="HO56" s="1"/>
  <c r="HP56" s="1"/>
  <c r="HQ56" s="1"/>
  <c r="HR56" s="1"/>
  <c r="HS56" s="1"/>
  <c r="HT56" s="1"/>
  <c r="HU56" s="1"/>
  <c r="HV56" s="1"/>
  <c r="HW56" s="1"/>
  <c r="HX56" s="1"/>
  <c r="HY56" s="1"/>
  <c r="HZ56" s="1"/>
  <c r="IA56" s="1"/>
  <c r="IB56" s="1"/>
  <c r="IC56" s="1"/>
  <c r="ID56" s="1"/>
  <c r="IE56" s="1"/>
  <c r="IF56" s="1"/>
  <c r="IG56" s="1"/>
  <c r="IH56" s="1"/>
  <c r="II56" s="1"/>
  <c r="IJ56" s="1"/>
  <c r="IK56" s="1"/>
  <c r="IL56" s="1"/>
  <c r="IM56" s="1"/>
  <c r="IN56" s="1"/>
  <c r="IO56" s="1"/>
  <c r="IP56" s="1"/>
  <c r="IQ56" s="1"/>
  <c r="IR56" s="1"/>
  <c r="IS56" s="1"/>
  <c r="IT56" s="1"/>
  <c r="D57"/>
  <c r="E57"/>
  <c r="F57" s="1"/>
  <c r="G57" s="1"/>
  <c r="H57" s="1"/>
  <c r="I57" s="1"/>
  <c r="J57" s="1"/>
  <c r="K57" s="1"/>
  <c r="L57" s="1"/>
  <c r="M57" s="1"/>
  <c r="N57" s="1"/>
  <c r="O57" s="1"/>
  <c r="P57" s="1"/>
  <c r="Q57" s="1"/>
  <c r="R57" s="1"/>
  <c r="S57" s="1"/>
  <c r="T57" s="1"/>
  <c r="U57" s="1"/>
  <c r="V57" s="1"/>
  <c r="W57" s="1"/>
  <c r="X57" s="1"/>
  <c r="Y57" s="1"/>
  <c r="Z57" s="1"/>
  <c r="AA57" s="1"/>
  <c r="AB57" s="1"/>
  <c r="AC57" s="1"/>
  <c r="AD57" s="1"/>
  <c r="AE57" s="1"/>
  <c r="AF57" s="1"/>
  <c r="AG57" s="1"/>
  <c r="AH57" s="1"/>
  <c r="AI57" s="1"/>
  <c r="AJ57" s="1"/>
  <c r="AK57" s="1"/>
  <c r="AL57" s="1"/>
  <c r="AM57" s="1"/>
  <c r="AN57" s="1"/>
  <c r="AO57" s="1"/>
  <c r="AP57" s="1"/>
  <c r="AQ57" s="1"/>
  <c r="AR57" s="1"/>
  <c r="AS57" s="1"/>
  <c r="AT57" s="1"/>
  <c r="AU57" s="1"/>
  <c r="AV57" s="1"/>
  <c r="AW57" s="1"/>
  <c r="AX57" s="1"/>
  <c r="AY57" s="1"/>
  <c r="AZ57" s="1"/>
  <c r="BA57" s="1"/>
  <c r="BB57" s="1"/>
  <c r="BC57" s="1"/>
  <c r="BD57" s="1"/>
  <c r="BE57" s="1"/>
  <c r="BF57" s="1"/>
  <c r="BG57" s="1"/>
  <c r="BH57" s="1"/>
  <c r="BI57" s="1"/>
  <c r="BJ57" s="1"/>
  <c r="BK57" s="1"/>
  <c r="BL57" s="1"/>
  <c r="BM57" s="1"/>
  <c r="BN57" s="1"/>
  <c r="BO57" s="1"/>
  <c r="BP57" s="1"/>
  <c r="BQ57" s="1"/>
  <c r="BR57" s="1"/>
  <c r="BS57" s="1"/>
  <c r="BT57" s="1"/>
  <c r="BU57" s="1"/>
  <c r="BV57" s="1"/>
  <c r="BW57" s="1"/>
  <c r="BX57" s="1"/>
  <c r="BY57" s="1"/>
  <c r="BZ57" s="1"/>
  <c r="CA57" s="1"/>
  <c r="CB57" s="1"/>
  <c r="CC57" s="1"/>
  <c r="CD57" s="1"/>
  <c r="CE57" s="1"/>
  <c r="CF57" s="1"/>
  <c r="CG57" s="1"/>
  <c r="CH57" s="1"/>
  <c r="CI57" s="1"/>
  <c r="CJ57" s="1"/>
  <c r="CK57" s="1"/>
  <c r="CL57" s="1"/>
  <c r="CM57" s="1"/>
  <c r="CN57" s="1"/>
  <c r="CO57" s="1"/>
  <c r="CP57" s="1"/>
  <c r="CQ57" s="1"/>
  <c r="CR57" s="1"/>
  <c r="CS57" s="1"/>
  <c r="CT57" s="1"/>
  <c r="CU57" s="1"/>
  <c r="CV57" s="1"/>
  <c r="CW57" s="1"/>
  <c r="CX57" s="1"/>
  <c r="CY57" s="1"/>
  <c r="CZ57" s="1"/>
  <c r="DA57" s="1"/>
  <c r="DB57" s="1"/>
  <c r="DC57" s="1"/>
  <c r="DD57" s="1"/>
  <c r="DE57" s="1"/>
  <c r="DF57" s="1"/>
  <c r="DG57" s="1"/>
  <c r="DH57" s="1"/>
  <c r="DI57" s="1"/>
  <c r="DJ57" s="1"/>
  <c r="DK57" s="1"/>
  <c r="DL57" s="1"/>
  <c r="DM57" s="1"/>
  <c r="DN57" s="1"/>
  <c r="DO57" s="1"/>
  <c r="DP57" s="1"/>
  <c r="DQ57" s="1"/>
  <c r="DR57" s="1"/>
  <c r="DS57" s="1"/>
  <c r="DT57" s="1"/>
  <c r="DU57" s="1"/>
  <c r="DV57" s="1"/>
  <c r="DW57" s="1"/>
  <c r="DX57" s="1"/>
  <c r="DY57" s="1"/>
  <c r="DZ57" s="1"/>
  <c r="EA57" s="1"/>
  <c r="EB57" s="1"/>
  <c r="EC57" s="1"/>
  <c r="ED57" s="1"/>
  <c r="EE57" s="1"/>
  <c r="EF57" s="1"/>
  <c r="EG57" s="1"/>
  <c r="EH57" s="1"/>
  <c r="EI57" s="1"/>
  <c r="EJ57" s="1"/>
  <c r="EK57" s="1"/>
  <c r="EL57" s="1"/>
  <c r="EM57" s="1"/>
  <c r="EN57" s="1"/>
  <c r="EO57" s="1"/>
  <c r="EP57" s="1"/>
  <c r="EQ57" s="1"/>
  <c r="ER57" s="1"/>
  <c r="ES57" s="1"/>
  <c r="ET57" s="1"/>
  <c r="EU57" s="1"/>
  <c r="EV57" s="1"/>
  <c r="EW57" s="1"/>
  <c r="EX57" s="1"/>
  <c r="EY57" s="1"/>
  <c r="EZ57" s="1"/>
  <c r="FA57" s="1"/>
  <c r="FB57" s="1"/>
  <c r="FC57" s="1"/>
  <c r="FD57" s="1"/>
  <c r="FE57" s="1"/>
  <c r="FF57" s="1"/>
  <c r="FG57" s="1"/>
  <c r="FH57" s="1"/>
  <c r="FI57" s="1"/>
  <c r="FJ57" s="1"/>
  <c r="FK57" s="1"/>
  <c r="FL57" s="1"/>
  <c r="FM57" s="1"/>
  <c r="FN57" s="1"/>
  <c r="FO57" s="1"/>
  <c r="FP57" s="1"/>
  <c r="FQ57" s="1"/>
  <c r="FR57" s="1"/>
  <c r="FS57" s="1"/>
  <c r="FT57" s="1"/>
  <c r="FU57" s="1"/>
  <c r="FV57" s="1"/>
  <c r="FW57" s="1"/>
  <c r="FX57" s="1"/>
  <c r="FY57" s="1"/>
  <c r="FZ57" s="1"/>
  <c r="GA57" s="1"/>
  <c r="GB57" s="1"/>
  <c r="GC57" s="1"/>
  <c r="GD57" s="1"/>
  <c r="GE57" s="1"/>
  <c r="GF57" s="1"/>
  <c r="GG57" s="1"/>
  <c r="GH57" s="1"/>
  <c r="GI57" s="1"/>
  <c r="GJ57" s="1"/>
  <c r="GK57" s="1"/>
  <c r="GL57" s="1"/>
  <c r="GM57" s="1"/>
  <c r="GN57" s="1"/>
  <c r="GO57" s="1"/>
  <c r="GP57" s="1"/>
  <c r="GQ57" s="1"/>
  <c r="GR57" s="1"/>
  <c r="GS57" s="1"/>
  <c r="GT57" s="1"/>
  <c r="GU57" s="1"/>
  <c r="GV57" s="1"/>
  <c r="GW57" s="1"/>
  <c r="GX57" s="1"/>
  <c r="GY57" s="1"/>
  <c r="GZ57" s="1"/>
  <c r="HA57" s="1"/>
  <c r="HB57" s="1"/>
  <c r="HC57" s="1"/>
  <c r="HD57" s="1"/>
  <c r="HE57" s="1"/>
  <c r="HF57" s="1"/>
  <c r="HG57" s="1"/>
  <c r="HH57" s="1"/>
  <c r="HI57" s="1"/>
  <c r="HJ57" s="1"/>
  <c r="HK57" s="1"/>
  <c r="HL57" s="1"/>
  <c r="HM57" s="1"/>
  <c r="HN57" s="1"/>
  <c r="HO57" s="1"/>
  <c r="HP57" s="1"/>
  <c r="HQ57" s="1"/>
  <c r="HR57" s="1"/>
  <c r="HS57" s="1"/>
  <c r="HT57" s="1"/>
  <c r="HU57" s="1"/>
  <c r="HV57" s="1"/>
  <c r="HW57" s="1"/>
  <c r="HX57" s="1"/>
  <c r="HY57" s="1"/>
  <c r="HZ57" s="1"/>
  <c r="IA57" s="1"/>
  <c r="IB57" s="1"/>
  <c r="IC57" s="1"/>
  <c r="ID57" s="1"/>
  <c r="IE57" s="1"/>
  <c r="IF57" s="1"/>
  <c r="IG57" s="1"/>
  <c r="IH57" s="1"/>
  <c r="II57" s="1"/>
  <c r="IJ57" s="1"/>
  <c r="IK57" s="1"/>
  <c r="IL57" s="1"/>
  <c r="IM57" s="1"/>
  <c r="IN57" s="1"/>
  <c r="IO57" s="1"/>
  <c r="IP57" s="1"/>
  <c r="IQ57" s="1"/>
  <c r="IR57" s="1"/>
  <c r="IS57" s="1"/>
  <c r="IT57" s="1"/>
  <c r="D58"/>
  <c r="E58" s="1"/>
  <c r="F58" s="1"/>
  <c r="G58" s="1"/>
  <c r="H58" s="1"/>
  <c r="I58" s="1"/>
  <c r="J58" s="1"/>
  <c r="K58" s="1"/>
  <c r="L58" s="1"/>
  <c r="M58" s="1"/>
  <c r="N58" s="1"/>
  <c r="O58" s="1"/>
  <c r="P58" s="1"/>
  <c r="Q58" s="1"/>
  <c r="R58" s="1"/>
  <c r="S58" s="1"/>
  <c r="T58" s="1"/>
  <c r="U58" s="1"/>
  <c r="V58" s="1"/>
  <c r="W58" s="1"/>
  <c r="X58" s="1"/>
  <c r="Y58" s="1"/>
  <c r="Z58" s="1"/>
  <c r="AA58" s="1"/>
  <c r="AB58" s="1"/>
  <c r="AC58" s="1"/>
  <c r="AD58" s="1"/>
  <c r="AE58" s="1"/>
  <c r="AF58" s="1"/>
  <c r="AG58" s="1"/>
  <c r="AH58" s="1"/>
  <c r="AI58" s="1"/>
  <c r="AJ58" s="1"/>
  <c r="AK58" s="1"/>
  <c r="AL58" s="1"/>
  <c r="AM58" s="1"/>
  <c r="AN58" s="1"/>
  <c r="AO58" s="1"/>
  <c r="AP58" s="1"/>
  <c r="AQ58" s="1"/>
  <c r="AR58" s="1"/>
  <c r="AS58" s="1"/>
  <c r="AT58" s="1"/>
  <c r="AU58" s="1"/>
  <c r="AV58" s="1"/>
  <c r="AW58" s="1"/>
  <c r="AX58" s="1"/>
  <c r="AY58" s="1"/>
  <c r="AZ58" s="1"/>
  <c r="BA58" s="1"/>
  <c r="BB58" s="1"/>
  <c r="BC58" s="1"/>
  <c r="BD58" s="1"/>
  <c r="BE58" s="1"/>
  <c r="BF58" s="1"/>
  <c r="BG58" s="1"/>
  <c r="BH58" s="1"/>
  <c r="BI58" s="1"/>
  <c r="BJ58" s="1"/>
  <c r="BK58" s="1"/>
  <c r="BL58" s="1"/>
  <c r="BM58" s="1"/>
  <c r="BN58" s="1"/>
  <c r="BO58" s="1"/>
  <c r="BP58" s="1"/>
  <c r="BQ58" s="1"/>
  <c r="BR58" s="1"/>
  <c r="BS58" s="1"/>
  <c r="BT58" s="1"/>
  <c r="BU58" s="1"/>
  <c r="BV58" s="1"/>
  <c r="BW58" s="1"/>
  <c r="BX58" s="1"/>
  <c r="BY58" s="1"/>
  <c r="BZ58" s="1"/>
  <c r="CA58" s="1"/>
  <c r="CB58" s="1"/>
  <c r="CC58" s="1"/>
  <c r="CD58" s="1"/>
  <c r="CE58" s="1"/>
  <c r="CF58" s="1"/>
  <c r="CG58" s="1"/>
  <c r="CH58" s="1"/>
  <c r="CI58" s="1"/>
  <c r="CJ58" s="1"/>
  <c r="CK58" s="1"/>
  <c r="CL58" s="1"/>
  <c r="CM58" s="1"/>
  <c r="CN58" s="1"/>
  <c r="CO58" s="1"/>
  <c r="CP58" s="1"/>
  <c r="CQ58" s="1"/>
  <c r="CR58" s="1"/>
  <c r="CS58" s="1"/>
  <c r="CT58" s="1"/>
  <c r="CU58" s="1"/>
  <c r="CV58" s="1"/>
  <c r="CW58" s="1"/>
  <c r="CX58" s="1"/>
  <c r="CY58" s="1"/>
  <c r="CZ58" s="1"/>
  <c r="DA58" s="1"/>
  <c r="DB58" s="1"/>
  <c r="DC58" s="1"/>
  <c r="DD58" s="1"/>
  <c r="DE58" s="1"/>
  <c r="DF58" s="1"/>
  <c r="DG58" s="1"/>
  <c r="DH58" s="1"/>
  <c r="DI58" s="1"/>
  <c r="DJ58" s="1"/>
  <c r="DK58" s="1"/>
  <c r="DL58" s="1"/>
  <c r="DM58" s="1"/>
  <c r="DN58" s="1"/>
  <c r="DO58" s="1"/>
  <c r="DP58" s="1"/>
  <c r="DQ58" s="1"/>
  <c r="DR58" s="1"/>
  <c r="DS58" s="1"/>
  <c r="DT58" s="1"/>
  <c r="DU58" s="1"/>
  <c r="DV58" s="1"/>
  <c r="DW58" s="1"/>
  <c r="DX58" s="1"/>
  <c r="DY58" s="1"/>
  <c r="DZ58" s="1"/>
  <c r="EA58" s="1"/>
  <c r="EB58" s="1"/>
  <c r="EC58" s="1"/>
  <c r="ED58" s="1"/>
  <c r="EE58" s="1"/>
  <c r="EF58" s="1"/>
  <c r="EG58" s="1"/>
  <c r="EH58" s="1"/>
  <c r="EI58" s="1"/>
  <c r="EJ58" s="1"/>
  <c r="EK58" s="1"/>
  <c r="EL58" s="1"/>
  <c r="EM58" s="1"/>
  <c r="EN58" s="1"/>
  <c r="EO58" s="1"/>
  <c r="EP58" s="1"/>
  <c r="EQ58" s="1"/>
  <c r="ER58" s="1"/>
  <c r="ES58" s="1"/>
  <c r="ET58" s="1"/>
  <c r="EU58" s="1"/>
  <c r="EV58" s="1"/>
  <c r="EW58" s="1"/>
  <c r="EX58" s="1"/>
  <c r="EY58" s="1"/>
  <c r="EZ58" s="1"/>
  <c r="FA58" s="1"/>
  <c r="FB58" s="1"/>
  <c r="FC58" s="1"/>
  <c r="FD58" s="1"/>
  <c r="FE58" s="1"/>
  <c r="FF58" s="1"/>
  <c r="FG58" s="1"/>
  <c r="FH58" s="1"/>
  <c r="FI58" s="1"/>
  <c r="FJ58" s="1"/>
  <c r="FK58" s="1"/>
  <c r="FL58" s="1"/>
  <c r="FM58" s="1"/>
  <c r="FN58" s="1"/>
  <c r="FO58" s="1"/>
  <c r="FP58" s="1"/>
  <c r="FQ58" s="1"/>
  <c r="FR58" s="1"/>
  <c r="FS58" s="1"/>
  <c r="FT58" s="1"/>
  <c r="FU58" s="1"/>
  <c r="FV58" s="1"/>
  <c r="FW58" s="1"/>
  <c r="FX58" s="1"/>
  <c r="FY58" s="1"/>
  <c r="FZ58" s="1"/>
  <c r="GA58" s="1"/>
  <c r="GB58" s="1"/>
  <c r="GC58" s="1"/>
  <c r="GD58" s="1"/>
  <c r="GE58" s="1"/>
  <c r="GF58" s="1"/>
  <c r="GG58" s="1"/>
  <c r="GH58" s="1"/>
  <c r="GI58" s="1"/>
  <c r="GJ58" s="1"/>
  <c r="GK58" s="1"/>
  <c r="GL58" s="1"/>
  <c r="GM58" s="1"/>
  <c r="GN58" s="1"/>
  <c r="GO58" s="1"/>
  <c r="GP58" s="1"/>
  <c r="GQ58" s="1"/>
  <c r="GR58" s="1"/>
  <c r="GS58" s="1"/>
  <c r="GT58" s="1"/>
  <c r="GU58" s="1"/>
  <c r="GV58" s="1"/>
  <c r="GW58" s="1"/>
  <c r="GX58" s="1"/>
  <c r="GY58" s="1"/>
  <c r="GZ58" s="1"/>
  <c r="HA58" s="1"/>
  <c r="HB58" s="1"/>
  <c r="HC58" s="1"/>
  <c r="HD58" s="1"/>
  <c r="HE58" s="1"/>
  <c r="HF58" s="1"/>
  <c r="HG58" s="1"/>
  <c r="HH58" s="1"/>
  <c r="HI58" s="1"/>
  <c r="HJ58" s="1"/>
  <c r="HK58" s="1"/>
  <c r="HL58" s="1"/>
  <c r="HM58" s="1"/>
  <c r="HN58" s="1"/>
  <c r="HO58" s="1"/>
  <c r="HP58" s="1"/>
  <c r="HQ58" s="1"/>
  <c r="HR58" s="1"/>
  <c r="HS58" s="1"/>
  <c r="HT58" s="1"/>
  <c r="HU58" s="1"/>
  <c r="HV58" s="1"/>
  <c r="HW58" s="1"/>
  <c r="HX58" s="1"/>
  <c r="HY58" s="1"/>
  <c r="HZ58" s="1"/>
  <c r="IA58" s="1"/>
  <c r="IB58" s="1"/>
  <c r="IC58" s="1"/>
  <c r="ID58" s="1"/>
  <c r="IE58" s="1"/>
  <c r="IF58" s="1"/>
  <c r="IG58" s="1"/>
  <c r="IH58" s="1"/>
  <c r="II58" s="1"/>
  <c r="IJ58" s="1"/>
  <c r="IK58" s="1"/>
  <c r="IL58" s="1"/>
  <c r="IM58" s="1"/>
  <c r="IN58" s="1"/>
  <c r="IO58" s="1"/>
  <c r="IP58" s="1"/>
  <c r="IQ58" s="1"/>
  <c r="IR58" s="1"/>
  <c r="IS58" s="1"/>
  <c r="IT58" s="1"/>
  <c r="D59"/>
  <c r="E59"/>
  <c r="F59" s="1"/>
  <c r="G59" s="1"/>
  <c r="H59" s="1"/>
  <c r="I59" s="1"/>
  <c r="J59" s="1"/>
  <c r="K59" s="1"/>
  <c r="L59" s="1"/>
  <c r="M59" s="1"/>
  <c r="N59" s="1"/>
  <c r="O59" s="1"/>
  <c r="P59" s="1"/>
  <c r="Q59" s="1"/>
  <c r="R59" s="1"/>
  <c r="S59" s="1"/>
  <c r="T59" s="1"/>
  <c r="U59" s="1"/>
  <c r="V59" s="1"/>
  <c r="W59" s="1"/>
  <c r="X59" s="1"/>
  <c r="Y59" s="1"/>
  <c r="Z59" s="1"/>
  <c r="AA59" s="1"/>
  <c r="AB59" s="1"/>
  <c r="AC59" s="1"/>
  <c r="AD59" s="1"/>
  <c r="AE59" s="1"/>
  <c r="AF59" s="1"/>
  <c r="AG59" s="1"/>
  <c r="AH59" s="1"/>
  <c r="AI59" s="1"/>
  <c r="AJ59" s="1"/>
  <c r="AK59" s="1"/>
  <c r="AL59" s="1"/>
  <c r="AM59" s="1"/>
  <c r="AN59" s="1"/>
  <c r="AO59" s="1"/>
  <c r="AP59" s="1"/>
  <c r="AQ59" s="1"/>
  <c r="AR59" s="1"/>
  <c r="AS59" s="1"/>
  <c r="AT59" s="1"/>
  <c r="AU59" s="1"/>
  <c r="AV59" s="1"/>
  <c r="AW59" s="1"/>
  <c r="AX59" s="1"/>
  <c r="AY59" s="1"/>
  <c r="AZ59" s="1"/>
  <c r="BA59" s="1"/>
  <c r="BB59" s="1"/>
  <c r="BC59" s="1"/>
  <c r="BD59" s="1"/>
  <c r="BE59" s="1"/>
  <c r="BF59" s="1"/>
  <c r="BG59" s="1"/>
  <c r="BH59" s="1"/>
  <c r="BI59" s="1"/>
  <c r="BJ59" s="1"/>
  <c r="BK59" s="1"/>
  <c r="BL59" s="1"/>
  <c r="BM59" s="1"/>
  <c r="BN59" s="1"/>
  <c r="BO59" s="1"/>
  <c r="BP59" s="1"/>
  <c r="BQ59" s="1"/>
  <c r="BR59" s="1"/>
  <c r="BS59" s="1"/>
  <c r="BT59" s="1"/>
  <c r="BU59" s="1"/>
  <c r="BV59" s="1"/>
  <c r="BW59" s="1"/>
  <c r="BX59" s="1"/>
  <c r="BY59" s="1"/>
  <c r="BZ59" s="1"/>
  <c r="CA59" s="1"/>
  <c r="CB59" s="1"/>
  <c r="CC59" s="1"/>
  <c r="CD59" s="1"/>
  <c r="CE59" s="1"/>
  <c r="CF59" s="1"/>
  <c r="CG59" s="1"/>
  <c r="CH59" s="1"/>
  <c r="CI59" s="1"/>
  <c r="CJ59" s="1"/>
  <c r="CK59" s="1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DA59" s="1"/>
  <c r="DB59" s="1"/>
  <c r="DC59" s="1"/>
  <c r="DD59" s="1"/>
  <c r="DE59" s="1"/>
  <c r="DF59" s="1"/>
  <c r="DG59" s="1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DZ59" s="1"/>
  <c r="EA59" s="1"/>
  <c r="EB59" s="1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HG59" s="1"/>
  <c r="HH59" s="1"/>
  <c r="HI59" s="1"/>
  <c r="HJ59" s="1"/>
  <c r="HK59" s="1"/>
  <c r="HL59" s="1"/>
  <c r="HM59" s="1"/>
  <c r="HN59" s="1"/>
  <c r="HO59" s="1"/>
  <c r="HP59" s="1"/>
  <c r="HQ59" s="1"/>
  <c r="HR59" s="1"/>
  <c r="HS59" s="1"/>
  <c r="HT59" s="1"/>
  <c r="HU59" s="1"/>
  <c r="HV59" s="1"/>
  <c r="HW59" s="1"/>
  <c r="HX59" s="1"/>
  <c r="HY59" s="1"/>
  <c r="HZ59" s="1"/>
  <c r="IA59" s="1"/>
  <c r="IB59" s="1"/>
  <c r="IC59" s="1"/>
  <c r="ID59" s="1"/>
  <c r="IE59" s="1"/>
  <c r="IF59" s="1"/>
  <c r="IG59" s="1"/>
  <c r="IH59" s="1"/>
  <c r="II59" s="1"/>
  <c r="IJ59" s="1"/>
  <c r="IK59" s="1"/>
  <c r="IL59" s="1"/>
  <c r="IM59" s="1"/>
  <c r="IN59" s="1"/>
  <c r="IO59" s="1"/>
  <c r="IP59" s="1"/>
  <c r="IQ59" s="1"/>
  <c r="IR59" s="1"/>
  <c r="IS59" s="1"/>
  <c r="IT59" s="1"/>
  <c r="D60"/>
  <c r="E60" s="1"/>
  <c r="F60" s="1"/>
  <c r="G60" s="1"/>
  <c r="H60" s="1"/>
  <c r="I60" s="1"/>
  <c r="J60" s="1"/>
  <c r="K60" s="1"/>
  <c r="L60" s="1"/>
  <c r="M60" s="1"/>
  <c r="N60" s="1"/>
  <c r="O60" s="1"/>
  <c r="P60" s="1"/>
  <c r="Q60" s="1"/>
  <c r="R60" s="1"/>
  <c r="S60" s="1"/>
  <c r="T60" s="1"/>
  <c r="U60" s="1"/>
  <c r="V60" s="1"/>
  <c r="W60" s="1"/>
  <c r="X60" s="1"/>
  <c r="Y60" s="1"/>
  <c r="Z60" s="1"/>
  <c r="AA60" s="1"/>
  <c r="AB60" s="1"/>
  <c r="AC60" s="1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AT60" s="1"/>
  <c r="AU60" s="1"/>
  <c r="AV60" s="1"/>
  <c r="AW60" s="1"/>
  <c r="AX60" s="1"/>
  <c r="AY60" s="1"/>
  <c r="AZ60" s="1"/>
  <c r="BA60" s="1"/>
  <c r="BB60" s="1"/>
  <c r="BC60" s="1"/>
  <c r="BD60" s="1"/>
  <c r="BE60" s="1"/>
  <c r="BF60" s="1"/>
  <c r="BG60" s="1"/>
  <c r="BH60" s="1"/>
  <c r="BI60" s="1"/>
  <c r="BJ60" s="1"/>
  <c r="BK60" s="1"/>
  <c r="BL60" s="1"/>
  <c r="BM60" s="1"/>
  <c r="BN60" s="1"/>
  <c r="BO60" s="1"/>
  <c r="BP60" s="1"/>
  <c r="BQ60" s="1"/>
  <c r="BR60" s="1"/>
  <c r="BS60" s="1"/>
  <c r="BT60" s="1"/>
  <c r="BU60" s="1"/>
  <c r="BV60" s="1"/>
  <c r="BW60" s="1"/>
  <c r="BX60" s="1"/>
  <c r="BY60" s="1"/>
  <c r="BZ60" s="1"/>
  <c r="CA60" s="1"/>
  <c r="CB60" s="1"/>
  <c r="CC60" s="1"/>
  <c r="CD60" s="1"/>
  <c r="CE60" s="1"/>
  <c r="CF60" s="1"/>
  <c r="CG60" s="1"/>
  <c r="CH60" s="1"/>
  <c r="CI60" s="1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DA60" s="1"/>
  <c r="DB60" s="1"/>
  <c r="DC60" s="1"/>
  <c r="DD60" s="1"/>
  <c r="DE60" s="1"/>
  <c r="DF60" s="1"/>
  <c r="DG60" s="1"/>
  <c r="DH60" s="1"/>
  <c r="DI60" s="1"/>
  <c r="DJ60" s="1"/>
  <c r="DK60" s="1"/>
  <c r="DL60" s="1"/>
  <c r="DM60" s="1"/>
  <c r="DN60" s="1"/>
  <c r="DO60" s="1"/>
  <c r="DP60" s="1"/>
  <c r="DQ60" s="1"/>
  <c r="DR60" s="1"/>
  <c r="DS60" s="1"/>
  <c r="DT60" s="1"/>
  <c r="DU60" s="1"/>
  <c r="DV60" s="1"/>
  <c r="DW60" s="1"/>
  <c r="DX60" s="1"/>
  <c r="DY60" s="1"/>
  <c r="DZ60" s="1"/>
  <c r="EA60" s="1"/>
  <c r="EB60" s="1"/>
  <c r="EC60" s="1"/>
  <c r="ED60" s="1"/>
  <c r="EE60" s="1"/>
  <c r="EF60" s="1"/>
  <c r="EG60" s="1"/>
  <c r="EH60" s="1"/>
  <c r="EI60" s="1"/>
  <c r="EJ60" s="1"/>
  <c r="EK60" s="1"/>
  <c r="EL60" s="1"/>
  <c r="EM60" s="1"/>
  <c r="EN60" s="1"/>
  <c r="EO60" s="1"/>
  <c r="EP60" s="1"/>
  <c r="EQ60" s="1"/>
  <c r="ER60" s="1"/>
  <c r="ES60" s="1"/>
  <c r="ET60" s="1"/>
  <c r="EU60" s="1"/>
  <c r="EV60" s="1"/>
  <c r="EW60" s="1"/>
  <c r="EX60" s="1"/>
  <c r="EY60" s="1"/>
  <c r="EZ60" s="1"/>
  <c r="FA60" s="1"/>
  <c r="FB60" s="1"/>
  <c r="FC60" s="1"/>
  <c r="FD60" s="1"/>
  <c r="FE60" s="1"/>
  <c r="FF60" s="1"/>
  <c r="FG60" s="1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FZ60" s="1"/>
  <c r="GA60" s="1"/>
  <c r="GB60" s="1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IT60" s="1"/>
  <c r="D61"/>
  <c r="E61"/>
  <c r="F61" s="1"/>
  <c r="G61" s="1"/>
  <c r="H61" s="1"/>
  <c r="I61" s="1"/>
  <c r="J61" s="1"/>
  <c r="K61" s="1"/>
  <c r="L61" s="1"/>
  <c r="M61" s="1"/>
  <c r="N61" s="1"/>
  <c r="O61" s="1"/>
  <c r="P61" s="1"/>
  <c r="Q61" s="1"/>
  <c r="R61" s="1"/>
  <c r="S61" s="1"/>
  <c r="T61" s="1"/>
  <c r="U61" s="1"/>
  <c r="V61" s="1"/>
  <c r="W61" s="1"/>
  <c r="X61" s="1"/>
  <c r="Y61" s="1"/>
  <c r="Z61" s="1"/>
  <c r="AA61" s="1"/>
  <c r="AB61" s="1"/>
  <c r="AC61" s="1"/>
  <c r="AD61" s="1"/>
  <c r="AE61" s="1"/>
  <c r="AF61" s="1"/>
  <c r="AG61" s="1"/>
  <c r="AH61" s="1"/>
  <c r="AI61" s="1"/>
  <c r="AJ61" s="1"/>
  <c r="AK61" s="1"/>
  <c r="AL61" s="1"/>
  <c r="AM61" s="1"/>
  <c r="AN61" s="1"/>
  <c r="AO61" s="1"/>
  <c r="AP61" s="1"/>
  <c r="AQ61" s="1"/>
  <c r="AR61" s="1"/>
  <c r="AS61" s="1"/>
  <c r="AT61" s="1"/>
  <c r="AU61" s="1"/>
  <c r="AV61" s="1"/>
  <c r="AW61" s="1"/>
  <c r="AX61" s="1"/>
  <c r="AY61" s="1"/>
  <c r="AZ61" s="1"/>
  <c r="BA61" s="1"/>
  <c r="BB61" s="1"/>
  <c r="BC61" s="1"/>
  <c r="BD61" s="1"/>
  <c r="BE61" s="1"/>
  <c r="BF61" s="1"/>
  <c r="BG61" s="1"/>
  <c r="BH61" s="1"/>
  <c r="BI61" s="1"/>
  <c r="BJ61" s="1"/>
  <c r="BK61" s="1"/>
  <c r="BL61" s="1"/>
  <c r="BM61" s="1"/>
  <c r="BN61" s="1"/>
  <c r="BO61" s="1"/>
  <c r="BP61" s="1"/>
  <c r="BQ61" s="1"/>
  <c r="BR61" s="1"/>
  <c r="BS61" s="1"/>
  <c r="BT61" s="1"/>
  <c r="BU61" s="1"/>
  <c r="BV61" s="1"/>
  <c r="BW61" s="1"/>
  <c r="BX61" s="1"/>
  <c r="BY61" s="1"/>
  <c r="BZ61" s="1"/>
  <c r="CA61" s="1"/>
  <c r="CB61" s="1"/>
  <c r="CC61" s="1"/>
  <c r="CD61" s="1"/>
  <c r="CE61" s="1"/>
  <c r="CF61" s="1"/>
  <c r="CG61" s="1"/>
  <c r="CH61" s="1"/>
  <c r="CI61" s="1"/>
  <c r="CJ61" s="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DA61" s="1"/>
  <c r="DB61" s="1"/>
  <c r="DC61" s="1"/>
  <c r="DD61" s="1"/>
  <c r="DE61" s="1"/>
  <c r="DF61" s="1"/>
  <c r="DG61" s="1"/>
  <c r="DH61" s="1"/>
  <c r="DI61" s="1"/>
  <c r="DJ61" s="1"/>
  <c r="DK61" s="1"/>
  <c r="DL61" s="1"/>
  <c r="DM61" s="1"/>
  <c r="DN61" s="1"/>
  <c r="DO61" s="1"/>
  <c r="DP61" s="1"/>
  <c r="DQ61" s="1"/>
  <c r="DR61" s="1"/>
  <c r="DS61" s="1"/>
  <c r="DT61" s="1"/>
  <c r="DU61" s="1"/>
  <c r="DV61" s="1"/>
  <c r="DW61" s="1"/>
  <c r="DX61" s="1"/>
  <c r="DY61" s="1"/>
  <c r="DZ61" s="1"/>
  <c r="EA61" s="1"/>
  <c r="EB61" s="1"/>
  <c r="EC61" s="1"/>
  <c r="ED61" s="1"/>
  <c r="EE61" s="1"/>
  <c r="EF61" s="1"/>
  <c r="EG61" s="1"/>
  <c r="EH61" s="1"/>
  <c r="EI61" s="1"/>
  <c r="EJ61" s="1"/>
  <c r="EK61" s="1"/>
  <c r="EL61" s="1"/>
  <c r="EM61" s="1"/>
  <c r="EN61" s="1"/>
  <c r="EO61" s="1"/>
  <c r="EP61" s="1"/>
  <c r="EQ61" s="1"/>
  <c r="ER61" s="1"/>
  <c r="ES61" s="1"/>
  <c r="ET61" s="1"/>
  <c r="EU61" s="1"/>
  <c r="EV61" s="1"/>
  <c r="EW61" s="1"/>
  <c r="EX61" s="1"/>
  <c r="EY61" s="1"/>
  <c r="EZ61" s="1"/>
  <c r="FA61" s="1"/>
  <c r="FB61" s="1"/>
  <c r="FC61" s="1"/>
  <c r="FD61" s="1"/>
  <c r="FE61" s="1"/>
  <c r="FF61" s="1"/>
  <c r="FG61" s="1"/>
  <c r="FH61" s="1"/>
  <c r="FI61" s="1"/>
  <c r="FJ61" s="1"/>
  <c r="FK61" s="1"/>
  <c r="FL61" s="1"/>
  <c r="FM61" s="1"/>
  <c r="FN61" s="1"/>
  <c r="FO61" s="1"/>
  <c r="FP61" s="1"/>
  <c r="FQ61" s="1"/>
  <c r="FR61" s="1"/>
  <c r="FS61" s="1"/>
  <c r="FT61" s="1"/>
  <c r="FU61" s="1"/>
  <c r="FV61" s="1"/>
  <c r="FW61" s="1"/>
  <c r="FX61" s="1"/>
  <c r="FY61" s="1"/>
  <c r="FZ61" s="1"/>
  <c r="GA61" s="1"/>
  <c r="GB61" s="1"/>
  <c r="GC61" s="1"/>
  <c r="GD61" s="1"/>
  <c r="GE61" s="1"/>
  <c r="GF61" s="1"/>
  <c r="GG61" s="1"/>
  <c r="GH61" s="1"/>
  <c r="GI61" s="1"/>
  <c r="GJ61" s="1"/>
  <c r="GK61" s="1"/>
  <c r="GL61" s="1"/>
  <c r="GM61" s="1"/>
  <c r="GN61" s="1"/>
  <c r="GO61" s="1"/>
  <c r="GP61" s="1"/>
  <c r="GQ61" s="1"/>
  <c r="GR61" s="1"/>
  <c r="GS61" s="1"/>
  <c r="GT61" s="1"/>
  <c r="GU61" s="1"/>
  <c r="GV61" s="1"/>
  <c r="GW61" s="1"/>
  <c r="GX61" s="1"/>
  <c r="GY61" s="1"/>
  <c r="GZ61" s="1"/>
  <c r="HA61" s="1"/>
  <c r="HB61" s="1"/>
  <c r="HC61" s="1"/>
  <c r="HD61" s="1"/>
  <c r="HE61" s="1"/>
  <c r="HF61" s="1"/>
  <c r="HG61" s="1"/>
  <c r="HH61" s="1"/>
  <c r="HI61" s="1"/>
  <c r="HJ61" s="1"/>
  <c r="HK61" s="1"/>
  <c r="HL61" s="1"/>
  <c r="HM61" s="1"/>
  <c r="HN61" s="1"/>
  <c r="HO61" s="1"/>
  <c r="HP61" s="1"/>
  <c r="HQ61" s="1"/>
  <c r="HR61" s="1"/>
  <c r="HS61" s="1"/>
  <c r="HT61" s="1"/>
  <c r="HU61" s="1"/>
  <c r="HV61" s="1"/>
  <c r="HW61" s="1"/>
  <c r="HX61" s="1"/>
  <c r="HY61" s="1"/>
  <c r="HZ61" s="1"/>
  <c r="IA61" s="1"/>
  <c r="IB61" s="1"/>
  <c r="IC61" s="1"/>
  <c r="ID61" s="1"/>
  <c r="IE61" s="1"/>
  <c r="IF61" s="1"/>
  <c r="IG61" s="1"/>
  <c r="IH61" s="1"/>
  <c r="II61" s="1"/>
  <c r="IJ61" s="1"/>
  <c r="IK61" s="1"/>
  <c r="IL61" s="1"/>
  <c r="IM61" s="1"/>
  <c r="IN61" s="1"/>
  <c r="IO61" s="1"/>
  <c r="IP61" s="1"/>
  <c r="IQ61" s="1"/>
  <c r="IR61" s="1"/>
  <c r="IS61" s="1"/>
  <c r="IT61" s="1"/>
  <c r="GA56"/>
  <c r="GB56" s="1"/>
  <c r="GC56" s="1"/>
  <c r="GD56" s="1"/>
  <c r="GE56" s="1"/>
  <c r="GF56" s="1"/>
  <c r="GG56" s="1"/>
  <c r="GH56" s="1"/>
  <c r="GI56" s="1"/>
  <c r="GJ56" s="1"/>
  <c r="GK56" s="1"/>
  <c r="GL56" s="1"/>
  <c r="GM56" s="1"/>
  <c r="GN56" s="1"/>
  <c r="GO56" s="1"/>
  <c r="GP56" s="1"/>
  <c r="GQ56" s="1"/>
  <c r="GR56" s="1"/>
  <c r="GS56" s="1"/>
  <c r="GT56" s="1"/>
  <c r="D56"/>
  <c r="E56" s="1"/>
  <c r="DP26"/>
  <c r="DP47"/>
  <c r="DP50"/>
  <c r="DO26"/>
  <c r="DO47"/>
  <c r="DO50" s="1"/>
  <c r="DN26"/>
  <c r="DN47"/>
  <c r="DN50"/>
  <c r="DM26"/>
  <c r="DM47"/>
  <c r="DM50" s="1"/>
  <c r="DL26"/>
  <c r="DL47"/>
  <c r="DL50"/>
  <c r="DK26"/>
  <c r="DK47"/>
  <c r="DK50" s="1"/>
  <c r="DJ26"/>
  <c r="DJ47"/>
  <c r="DJ50"/>
  <c r="DI26"/>
  <c r="DI47"/>
  <c r="DI50" s="1"/>
  <c r="DH26"/>
  <c r="DH47"/>
  <c r="DH50"/>
  <c r="DG26"/>
  <c r="DG47"/>
  <c r="DG50" s="1"/>
  <c r="DF26"/>
  <c r="DF47"/>
  <c r="DF50"/>
  <c r="DE26"/>
  <c r="DE47"/>
  <c r="DE50" s="1"/>
  <c r="DD26"/>
  <c r="DD47"/>
  <c r="DD50"/>
  <c r="DC26"/>
  <c r="DC47"/>
  <c r="DC50" s="1"/>
  <c r="DB26"/>
  <c r="DB47"/>
  <c r="DB50"/>
  <c r="DA26"/>
  <c r="DA47"/>
  <c r="DA50" s="1"/>
  <c r="CZ26"/>
  <c r="CZ47"/>
  <c r="CZ50"/>
  <c r="CY26"/>
  <c r="CY47"/>
  <c r="CY50" s="1"/>
  <c r="CX26"/>
  <c r="CX47"/>
  <c r="CX50"/>
  <c r="CW26"/>
  <c r="CW47"/>
  <c r="CW50" s="1"/>
  <c r="CV26"/>
  <c r="CV47"/>
  <c r="CV50"/>
  <c r="CU26"/>
  <c r="CU47"/>
  <c r="CU50" s="1"/>
  <c r="CT26"/>
  <c r="CT47"/>
  <c r="CT50"/>
  <c r="CS26"/>
  <c r="CS47"/>
  <c r="CS50" s="1"/>
  <c r="CR26"/>
  <c r="CR47"/>
  <c r="CR50"/>
  <c r="CQ26"/>
  <c r="CQ47"/>
  <c r="CQ50" s="1"/>
  <c r="CP26"/>
  <c r="CP47"/>
  <c r="CP50"/>
  <c r="CO26"/>
  <c r="CO47"/>
  <c r="CO50" s="1"/>
  <c r="CN26"/>
  <c r="CN47"/>
  <c r="CN50"/>
  <c r="CM26"/>
  <c r="CM47"/>
  <c r="CM50" s="1"/>
  <c r="CL26"/>
  <c r="CL47"/>
  <c r="CL50"/>
  <c r="CK26"/>
  <c r="CK47"/>
  <c r="CK50" s="1"/>
  <c r="CJ26"/>
  <c r="CJ47"/>
  <c r="CJ50"/>
  <c r="CI18"/>
  <c r="CI26"/>
  <c r="CI47"/>
  <c r="CI50"/>
  <c r="CH18"/>
  <c r="CH26"/>
  <c r="CH47"/>
  <c r="CH50"/>
  <c r="CG18"/>
  <c r="CG26"/>
  <c r="CG47"/>
  <c r="CG50" s="1"/>
  <c r="CF18"/>
  <c r="CF26" s="1"/>
  <c r="CF47"/>
  <c r="CF50" s="1"/>
  <c r="CE26"/>
  <c r="CE51" s="1"/>
  <c r="CE47"/>
  <c r="CE50"/>
  <c r="CD26"/>
  <c r="CD51" s="1"/>
  <c r="CD47"/>
  <c r="CD50"/>
  <c r="CC26"/>
  <c r="CC51" s="1"/>
  <c r="CC47"/>
  <c r="CC50"/>
  <c r="CB18"/>
  <c r="CB26" s="1"/>
  <c r="CB51" s="1"/>
  <c r="CB47"/>
  <c r="CB50" s="1"/>
  <c r="CA26"/>
  <c r="CA51" s="1"/>
  <c r="CA47"/>
  <c r="CA50"/>
  <c r="BZ26"/>
  <c r="BZ51" s="1"/>
  <c r="BZ47"/>
  <c r="BZ50"/>
  <c r="BY26"/>
  <c r="BY51" s="1"/>
  <c r="BY47"/>
  <c r="BY50"/>
  <c r="BX18"/>
  <c r="BX26" s="1"/>
  <c r="BX47"/>
  <c r="BX50" s="1"/>
  <c r="BW26"/>
  <c r="BW47"/>
  <c r="BW50"/>
  <c r="BV19"/>
  <c r="BV26"/>
  <c r="BV47"/>
  <c r="BV50"/>
  <c r="BU26"/>
  <c r="BU47"/>
  <c r="BU50" s="1"/>
  <c r="BT26"/>
  <c r="BT47"/>
  <c r="BT50"/>
  <c r="BS26"/>
  <c r="BS47"/>
  <c r="BS50" s="1"/>
  <c r="BR26"/>
  <c r="BR47"/>
  <c r="BR50"/>
  <c r="BQ18"/>
  <c r="BQ19"/>
  <c r="BQ26" s="1"/>
  <c r="BQ47"/>
  <c r="BQ50" s="1"/>
  <c r="BP26"/>
  <c r="BP51" s="1"/>
  <c r="BP47"/>
  <c r="BP50"/>
  <c r="BO26"/>
  <c r="BO51" s="1"/>
  <c r="BO47"/>
  <c r="BO50"/>
  <c r="BN26"/>
  <c r="BN51" s="1"/>
  <c r="BN47"/>
  <c r="BN50"/>
  <c r="BM26"/>
  <c r="BM51" s="1"/>
  <c r="BM47"/>
  <c r="BM50"/>
  <c r="BL26"/>
  <c r="BL51" s="1"/>
  <c r="BL47"/>
  <c r="BL50"/>
  <c r="BK26"/>
  <c r="BK51" s="1"/>
  <c r="BK47"/>
  <c r="BK50"/>
  <c r="BJ26"/>
  <c r="BJ51" s="1"/>
  <c r="BJ47"/>
  <c r="BJ50"/>
  <c r="BI18"/>
  <c r="BI26" s="1"/>
  <c r="BI47"/>
  <c r="BI50" s="1"/>
  <c r="BH18"/>
  <c r="BH26" s="1"/>
  <c r="BH51" s="1"/>
  <c r="BH47"/>
  <c r="BH50"/>
  <c r="BG26"/>
  <c r="BG47"/>
  <c r="BG50" s="1"/>
  <c r="BG51" s="1"/>
  <c r="BF26"/>
  <c r="BF47"/>
  <c r="BF50" s="1"/>
  <c r="BF51" s="1"/>
  <c r="BE26"/>
  <c r="BE47"/>
  <c r="BE50" s="1"/>
  <c r="BE51" s="1"/>
  <c r="BD26"/>
  <c r="BD47"/>
  <c r="BD50" s="1"/>
  <c r="BC26"/>
  <c r="BC47"/>
  <c r="BC50"/>
  <c r="BB26"/>
  <c r="BB47"/>
  <c r="BB50" s="1"/>
  <c r="BB51" s="1"/>
  <c r="BA26"/>
  <c r="BA47"/>
  <c r="BA50" s="1"/>
  <c r="BA51" s="1"/>
  <c r="AZ26"/>
  <c r="AZ47"/>
  <c r="AZ50" s="1"/>
  <c r="AZ51" s="1"/>
  <c r="AY26"/>
  <c r="AY47"/>
  <c r="AY50" s="1"/>
  <c r="AY51" s="1"/>
  <c r="AX26"/>
  <c r="AX47"/>
  <c r="AX50" s="1"/>
  <c r="AX51" s="1"/>
  <c r="AW26"/>
  <c r="AW47"/>
  <c r="AW50" s="1"/>
  <c r="AW51" s="1"/>
  <c r="AV26"/>
  <c r="AV47"/>
  <c r="AV50" s="1"/>
  <c r="AU26"/>
  <c r="AU47"/>
  <c r="AU50"/>
  <c r="AT26"/>
  <c r="AT47"/>
  <c r="AT49"/>
  <c r="AT50"/>
  <c r="AT51" s="1"/>
  <c r="AS26"/>
  <c r="AS47"/>
  <c r="AS50"/>
  <c r="AR26"/>
  <c r="AR47"/>
  <c r="AR50" s="1"/>
  <c r="AR51" s="1"/>
  <c r="AQ26"/>
  <c r="AQ47"/>
  <c r="AQ50" s="1"/>
  <c r="AQ51" s="1"/>
  <c r="AP18"/>
  <c r="AP26" s="1"/>
  <c r="AP47"/>
  <c r="AP50" s="1"/>
  <c r="AO18"/>
  <c r="AO26" s="1"/>
  <c r="AO51" s="1"/>
  <c r="AO47"/>
  <c r="AO50" s="1"/>
  <c r="AN26"/>
  <c r="AN47"/>
  <c r="AN50"/>
  <c r="AM26"/>
  <c r="AM47"/>
  <c r="AM50" s="1"/>
  <c r="AL26"/>
  <c r="AL47"/>
  <c r="AL50"/>
  <c r="AK26"/>
  <c r="AK47"/>
  <c r="AK50" s="1"/>
  <c r="AJ26"/>
  <c r="AJ47"/>
  <c r="AJ50"/>
  <c r="AI17"/>
  <c r="AI26"/>
  <c r="AI51" s="1"/>
  <c r="AI47"/>
  <c r="AI50" s="1"/>
  <c r="AH26"/>
  <c r="AH51" s="1"/>
  <c r="AH47"/>
  <c r="AH50"/>
  <c r="AG26"/>
  <c r="AG51" s="1"/>
  <c r="AG47"/>
  <c r="AG50"/>
  <c r="AF26"/>
  <c r="AF51" s="1"/>
  <c r="AF47"/>
  <c r="AF50"/>
  <c r="AE26"/>
  <c r="AE51" s="1"/>
  <c r="AE47"/>
  <c r="AE50"/>
  <c r="AD26"/>
  <c r="AD47"/>
  <c r="AD50"/>
  <c r="AC26"/>
  <c r="AC47"/>
  <c r="AC50" s="1"/>
  <c r="AC51" s="1"/>
  <c r="AB26"/>
  <c r="AB51" s="1"/>
  <c r="AB47"/>
  <c r="AB50"/>
  <c r="AA26"/>
  <c r="AA51" s="1"/>
  <c r="AA47"/>
  <c r="AA50"/>
  <c r="Z18"/>
  <c r="Z26" s="1"/>
  <c r="Z47"/>
  <c r="Z50" s="1"/>
  <c r="Y26"/>
  <c r="Y51" s="1"/>
  <c r="Y47"/>
  <c r="Y50"/>
  <c r="X26"/>
  <c r="X51" s="1"/>
  <c r="X47"/>
  <c r="X50" s="1"/>
  <c r="W18"/>
  <c r="W26" s="1"/>
  <c r="W51" s="1"/>
  <c r="W47"/>
  <c r="W50"/>
  <c r="V26"/>
  <c r="V47"/>
  <c r="V50"/>
  <c r="V51" s="1"/>
  <c r="U26"/>
  <c r="U47"/>
  <c r="U50"/>
  <c r="U51" s="1"/>
  <c r="T26"/>
  <c r="T47"/>
  <c r="T50"/>
  <c r="T51" s="1"/>
  <c r="S26"/>
  <c r="S47"/>
  <c r="S50"/>
  <c r="S51" s="1"/>
  <c r="R26"/>
  <c r="R47"/>
  <c r="R50"/>
  <c r="R51" s="1"/>
  <c r="Q18"/>
  <c r="Q26"/>
  <c r="Q47"/>
  <c r="Q50" s="1"/>
  <c r="P26"/>
  <c r="P51" s="1"/>
  <c r="P47"/>
  <c r="P50"/>
  <c r="O26"/>
  <c r="O51" s="1"/>
  <c r="O47"/>
  <c r="O50" s="1"/>
  <c r="N26"/>
  <c r="N51" s="1"/>
  <c r="N47"/>
  <c r="N50" s="1"/>
  <c r="M26"/>
  <c r="M51" s="1"/>
  <c r="M47"/>
  <c r="M50" s="1"/>
  <c r="L26"/>
  <c r="L51" s="1"/>
  <c r="L47"/>
  <c r="L50" s="1"/>
  <c r="K26"/>
  <c r="K51" s="1"/>
  <c r="K47"/>
  <c r="K50" s="1"/>
  <c r="J18"/>
  <c r="J26" s="1"/>
  <c r="J51" s="1"/>
  <c r="J47"/>
  <c r="J50"/>
  <c r="I26"/>
  <c r="I47"/>
  <c r="I50" s="1"/>
  <c r="I51" s="1"/>
  <c r="H26"/>
  <c r="H47"/>
  <c r="H50" s="1"/>
  <c r="H51" s="1"/>
  <c r="G26"/>
  <c r="G47"/>
  <c r="G50"/>
  <c r="G51" s="1"/>
  <c r="F26"/>
  <c r="F47"/>
  <c r="F50"/>
  <c r="F51" s="1"/>
  <c r="E19"/>
  <c r="E26"/>
  <c r="E51" s="1"/>
  <c r="E47"/>
  <c r="E50" s="1"/>
  <c r="D18"/>
  <c r="D26" s="1"/>
  <c r="D51" s="1"/>
  <c r="D64" s="1"/>
  <c r="D47"/>
  <c r="D50" s="1"/>
  <c r="C26"/>
  <c r="C51" s="1"/>
  <c r="C64" s="1"/>
  <c r="C47"/>
  <c r="C50"/>
  <c r="C62"/>
  <c r="HP4"/>
  <c r="HQ4" s="1"/>
  <c r="HR4" s="1"/>
  <c r="HS4" s="1"/>
  <c r="HU4"/>
  <c r="HV4" s="1"/>
  <c r="HY4"/>
  <c r="HZ4" s="1"/>
  <c r="IC4"/>
  <c r="ID4" s="1"/>
  <c r="IE4" s="1"/>
  <c r="IF4" s="1"/>
  <c r="IH4"/>
  <c r="II4" s="1"/>
  <c r="IJ4" s="1"/>
  <c r="IK4" s="1"/>
  <c r="IM4"/>
  <c r="IN4" s="1"/>
  <c r="IO4" s="1"/>
  <c r="IQ4"/>
  <c r="IR4"/>
  <c r="IS4" s="1"/>
  <c r="IT4" s="1"/>
  <c r="HK4"/>
  <c r="HL4"/>
  <c r="HM4" s="1"/>
  <c r="HN4" s="1"/>
  <c r="HH4"/>
  <c r="HI4"/>
  <c r="HF4"/>
  <c r="IU12" i="84"/>
  <c r="IM27"/>
  <c r="IL49"/>
  <c r="IL53" s="1"/>
  <c r="IA27"/>
  <c r="HZ49"/>
  <c r="HZ53"/>
  <c r="HY27"/>
  <c r="HX49"/>
  <c r="HX53" s="1"/>
  <c r="HW27"/>
  <c r="HV49"/>
  <c r="HV53"/>
  <c r="HU27"/>
  <c r="HT49"/>
  <c r="HT53" s="1"/>
  <c r="GY49"/>
  <c r="GY53" s="1"/>
  <c r="GV27"/>
  <c r="GQ53"/>
  <c r="GO27"/>
  <c r="GN49"/>
  <c r="GN53"/>
  <c r="GM49"/>
  <c r="GM53"/>
  <c r="GL27"/>
  <c r="GK49"/>
  <c r="GK53" s="1"/>
  <c r="GI53"/>
  <c r="GH27"/>
  <c r="GF27"/>
  <c r="GE49"/>
  <c r="GE53"/>
  <c r="GC27"/>
  <c r="GB49"/>
  <c r="GB53" s="1"/>
  <c r="FX27"/>
  <c r="FW49"/>
  <c r="FW53"/>
  <c r="FV27"/>
  <c r="FU49"/>
  <c r="FU53" s="1"/>
  <c r="FM49"/>
  <c r="FM53" s="1"/>
  <c r="FI27"/>
  <c r="EZ49"/>
  <c r="EZ53"/>
  <c r="EP27"/>
  <c r="EO49"/>
  <c r="EO53" s="1"/>
  <c r="EM27"/>
  <c r="EL49"/>
  <c r="EL53"/>
  <c r="EK27"/>
  <c r="EJ27"/>
  <c r="EI49"/>
  <c r="EI53"/>
  <c r="EH27"/>
  <c r="EG49"/>
  <c r="EG53" s="1"/>
  <c r="EF27"/>
  <c r="EE49"/>
  <c r="EE53"/>
  <c r="ED27"/>
  <c r="EC49"/>
  <c r="EC53" s="1"/>
  <c r="EB27"/>
  <c r="EA49"/>
  <c r="EA53"/>
  <c r="DY27"/>
  <c r="DX49"/>
  <c r="DX53" s="1"/>
  <c r="DU49"/>
  <c r="DU53" s="1"/>
  <c r="DT27"/>
  <c r="DS49"/>
  <c r="DS53"/>
  <c r="DR27"/>
  <c r="DQ49"/>
  <c r="DQ53" s="1"/>
  <c r="DD27"/>
  <c r="DC49"/>
  <c r="DC53"/>
  <c r="IU16"/>
  <c r="IL27"/>
  <c r="IK49"/>
  <c r="IK53"/>
  <c r="ID49"/>
  <c r="ID53"/>
  <c r="HZ27"/>
  <c r="HY49"/>
  <c r="HY53" s="1"/>
  <c r="HX27"/>
  <c r="HW49"/>
  <c r="HW53"/>
  <c r="HV27"/>
  <c r="HU49"/>
  <c r="HU53" s="1"/>
  <c r="HT27"/>
  <c r="HS49"/>
  <c r="HS53"/>
  <c r="GY27"/>
  <c r="GX49"/>
  <c r="GX53" s="1"/>
  <c r="GW49"/>
  <c r="GW53" s="1"/>
  <c r="GV49"/>
  <c r="GV53" s="1"/>
  <c r="GR53"/>
  <c r="GP27"/>
  <c r="GO49"/>
  <c r="GO53" s="1"/>
  <c r="GM27"/>
  <c r="GL49"/>
  <c r="GL53"/>
  <c r="GK27"/>
  <c r="GJ49"/>
  <c r="GJ53" s="1"/>
  <c r="GI27"/>
  <c r="GH53"/>
  <c r="GF49"/>
  <c r="GF53" s="1"/>
  <c r="GE27"/>
  <c r="GD49"/>
  <c r="GD53"/>
  <c r="GC49"/>
  <c r="GC53"/>
  <c r="FY27"/>
  <c r="FX49"/>
  <c r="FX53" s="1"/>
  <c r="FW27"/>
  <c r="FV49"/>
  <c r="FV53"/>
  <c r="FU27"/>
  <c r="FM27"/>
  <c r="FI49"/>
  <c r="FI53"/>
  <c r="EP49"/>
  <c r="EP53"/>
  <c r="EO27"/>
  <c r="EN49"/>
  <c r="EN53" s="1"/>
  <c r="EM49"/>
  <c r="EM53" s="1"/>
  <c r="EL27"/>
  <c r="EK49"/>
  <c r="EK53" s="1"/>
  <c r="EI27"/>
  <c r="EH49"/>
  <c r="EH53" s="1"/>
  <c r="EC27"/>
  <c r="EB49"/>
  <c r="EB53"/>
  <c r="EA27"/>
  <c r="DZ49"/>
  <c r="DZ53" s="1"/>
  <c r="DY49"/>
  <c r="DY53" s="1"/>
  <c r="DX27"/>
  <c r="DW49"/>
  <c r="DW53"/>
  <c r="DU27"/>
  <c r="DT49"/>
  <c r="DT53" s="1"/>
  <c r="DS27"/>
  <c r="DR49"/>
  <c r="DR53"/>
  <c r="DN27"/>
  <c r="DM27"/>
  <c r="DL49"/>
  <c r="DL53"/>
  <c r="DD49"/>
  <c r="DD53"/>
  <c r="IU18" i="68"/>
  <c r="F56" i="70"/>
  <c r="E62"/>
  <c r="IO27" i="84"/>
  <c r="HR27"/>
  <c r="HQ27"/>
  <c r="GZ27"/>
  <c r="GB27"/>
  <c r="GA27"/>
  <c r="HG27"/>
  <c r="IB27"/>
  <c r="DP27"/>
  <c r="ER27"/>
  <c r="EY27"/>
  <c r="GX27"/>
  <c r="HL27"/>
  <c r="ID27"/>
  <c r="IH27"/>
  <c r="FH49"/>
  <c r="FH53" s="1"/>
  <c r="DP49"/>
  <c r="DP53" s="1"/>
  <c r="IN49"/>
  <c r="IN53" s="1"/>
  <c r="GA49"/>
  <c r="GA53" s="1"/>
  <c r="G55" i="72"/>
  <c r="DR6"/>
  <c r="DR51"/>
  <c r="DS6" s="1"/>
  <c r="DS51" s="1"/>
  <c r="DT6" s="1"/>
  <c r="DT51" s="1"/>
  <c r="DU6" s="1"/>
  <c r="DU51" s="1"/>
  <c r="DV6" s="1"/>
  <c r="DV51" s="1"/>
  <c r="DW6" s="1"/>
  <c r="DW51" s="1"/>
  <c r="DX6" s="1"/>
  <c r="DX51" s="1"/>
  <c r="DY6" s="1"/>
  <c r="DY51" s="1"/>
  <c r="DZ6" s="1"/>
  <c r="DZ51" s="1"/>
  <c r="EA6" s="1"/>
  <c r="EA51" s="1"/>
  <c r="EB6" s="1"/>
  <c r="EB51" s="1"/>
  <c r="EC6" s="1"/>
  <c r="EC51" s="1"/>
  <c r="ED6" s="1"/>
  <c r="ED51" s="1"/>
  <c r="EE6" s="1"/>
  <c r="EE51" s="1"/>
  <c r="EF6" s="1"/>
  <c r="EF51" s="1"/>
  <c r="EG6" s="1"/>
  <c r="EG51" s="1"/>
  <c r="EH6" s="1"/>
  <c r="EH51" s="1"/>
  <c r="EI6" s="1"/>
  <c r="EI51" s="1"/>
  <c r="EJ6" s="1"/>
  <c r="EJ51" s="1"/>
  <c r="EK6" s="1"/>
  <c r="EK51" s="1"/>
  <c r="EL6" s="1"/>
  <c r="EL51" s="1"/>
  <c r="EM6" s="1"/>
  <c r="EM51" s="1"/>
  <c r="EN6" s="1"/>
  <c r="EN51" s="1"/>
  <c r="EO6" s="1"/>
  <c r="EO51" s="1"/>
  <c r="EP6" s="1"/>
  <c r="EP51" s="1"/>
  <c r="EQ6" s="1"/>
  <c r="EQ51" s="1"/>
  <c r="ER6" s="1"/>
  <c r="ER51" s="1"/>
  <c r="ES6" s="1"/>
  <c r="ES51" s="1"/>
  <c r="ET6" s="1"/>
  <c r="ET51" s="1"/>
  <c r="EU6" s="1"/>
  <c r="EU51" s="1"/>
  <c r="EV6" s="1"/>
  <c r="EV51" s="1"/>
  <c r="EW6" s="1"/>
  <c r="EW51" s="1"/>
  <c r="EX6" s="1"/>
  <c r="EX51" s="1"/>
  <c r="EY6" s="1"/>
  <c r="EY51" s="1"/>
  <c r="EZ6" s="1"/>
  <c r="EZ51" s="1"/>
  <c r="FA6" s="1"/>
  <c r="FA51" s="1"/>
  <c r="FB6" s="1"/>
  <c r="FB51" s="1"/>
  <c r="FC6" s="1"/>
  <c r="FC51" s="1"/>
  <c r="FD6" s="1"/>
  <c r="FD51" s="1"/>
  <c r="FE6" s="1"/>
  <c r="FE51" s="1"/>
  <c r="FF6" s="1"/>
  <c r="FF51" s="1"/>
  <c r="FG6" s="1"/>
  <c r="FG51" s="1"/>
  <c r="FH6" s="1"/>
  <c r="FH51" s="1"/>
  <c r="FI6" s="1"/>
  <c r="FI51" s="1"/>
  <c r="FJ6" s="1"/>
  <c r="FJ51" s="1"/>
  <c r="FK6" s="1"/>
  <c r="FK51" s="1"/>
  <c r="FL6" s="1"/>
  <c r="FL51" s="1"/>
  <c r="FM6" s="1"/>
  <c r="FM51" s="1"/>
  <c r="FN6" s="1"/>
  <c r="FN51" s="1"/>
  <c r="FO6" s="1"/>
  <c r="FO51" s="1"/>
  <c r="FP6" s="1"/>
  <c r="FP51" s="1"/>
  <c r="FQ6" s="1"/>
  <c r="FQ51" s="1"/>
  <c r="FR6" s="1"/>
  <c r="FR51" s="1"/>
  <c r="FS6" s="1"/>
  <c r="FS51" s="1"/>
  <c r="FT6" s="1"/>
  <c r="FT51" s="1"/>
  <c r="FU6" s="1"/>
  <c r="FU51" s="1"/>
  <c r="FV6" s="1"/>
  <c r="FV51" s="1"/>
  <c r="FW6" s="1"/>
  <c r="FW51" s="1"/>
  <c r="FX6" s="1"/>
  <c r="FX51" s="1"/>
  <c r="FY6" s="1"/>
  <c r="FY51" s="1"/>
  <c r="FZ6" s="1"/>
  <c r="FZ51" s="1"/>
  <c r="GA6" s="1"/>
  <c r="GA51" s="1"/>
  <c r="GB6" s="1"/>
  <c r="GB51" s="1"/>
  <c r="GC6" s="1"/>
  <c r="GC51" s="1"/>
  <c r="GD6" s="1"/>
  <c r="GD51" s="1"/>
  <c r="GE6" s="1"/>
  <c r="GE51" s="1"/>
  <c r="GF6" s="1"/>
  <c r="GF51" s="1"/>
  <c r="GG6" s="1"/>
  <c r="GG51" s="1"/>
  <c r="GH6" s="1"/>
  <c r="GH51" s="1"/>
  <c r="GI6" s="1"/>
  <c r="GI51" s="1"/>
  <c r="GJ6" s="1"/>
  <c r="GJ51" s="1"/>
  <c r="GK6" s="1"/>
  <c r="GK51" s="1"/>
  <c r="GL6" s="1"/>
  <c r="GL51" s="1"/>
  <c r="GM6" s="1"/>
  <c r="GM51" s="1"/>
  <c r="GN6" s="1"/>
  <c r="GN51" s="1"/>
  <c r="GO6" s="1"/>
  <c r="GO51" s="1"/>
  <c r="GP6" s="1"/>
  <c r="GP51" s="1"/>
  <c r="GQ6" s="1"/>
  <c r="GQ51" s="1"/>
  <c r="GR6" s="1"/>
  <c r="GR51" s="1"/>
  <c r="GS6" s="1"/>
  <c r="GS51" s="1"/>
  <c r="GT6" s="1"/>
  <c r="GT51" s="1"/>
  <c r="GU6" s="1"/>
  <c r="GU51" s="1"/>
  <c r="GV6" s="1"/>
  <c r="GV51" s="1"/>
  <c r="GW6" s="1"/>
  <c r="GW51" s="1"/>
  <c r="GX6" s="1"/>
  <c r="GX51" s="1"/>
  <c r="GY6" s="1"/>
  <c r="GY51" s="1"/>
  <c r="GZ6" s="1"/>
  <c r="GZ51" s="1"/>
  <c r="HA6" s="1"/>
  <c r="HA51" s="1"/>
  <c r="HB6" s="1"/>
  <c r="HB51" s="1"/>
  <c r="HC6" s="1"/>
  <c r="HC51" s="1"/>
  <c r="HD6" s="1"/>
  <c r="HD51" s="1"/>
  <c r="HE6" s="1"/>
  <c r="HE51" s="1"/>
  <c r="HF6" s="1"/>
  <c r="HF51" s="1"/>
  <c r="HG6" s="1"/>
  <c r="HG51" s="1"/>
  <c r="HH6" s="1"/>
  <c r="HH51" s="1"/>
  <c r="HI6" s="1"/>
  <c r="HI51" s="1"/>
  <c r="HJ6" s="1"/>
  <c r="HJ51" s="1"/>
  <c r="HK6" s="1"/>
  <c r="HK51" s="1"/>
  <c r="HL6" s="1"/>
  <c r="HL51" s="1"/>
  <c r="HM6" s="1"/>
  <c r="HM51" s="1"/>
  <c r="HN6" s="1"/>
  <c r="HN51" s="1"/>
  <c r="HO6" s="1"/>
  <c r="HO51" s="1"/>
  <c r="HP6" s="1"/>
  <c r="HP51" s="1"/>
  <c r="HQ6" s="1"/>
  <c r="HQ51" s="1"/>
  <c r="HR6" s="1"/>
  <c r="HR51" s="1"/>
  <c r="HS6" s="1"/>
  <c r="HS51" s="1"/>
  <c r="HT6" s="1"/>
  <c r="HT51" s="1"/>
  <c r="HU6" s="1"/>
  <c r="HU51" s="1"/>
  <c r="HV6" s="1"/>
  <c r="HV51" s="1"/>
  <c r="HW6" s="1"/>
  <c r="HW51" s="1"/>
  <c r="HX6" s="1"/>
  <c r="HX51" s="1"/>
  <c r="HY6" s="1"/>
  <c r="HY51" s="1"/>
  <c r="HZ6" s="1"/>
  <c r="HZ51" s="1"/>
  <c r="IA6" s="1"/>
  <c r="IA51" s="1"/>
  <c r="IB6" s="1"/>
  <c r="IB51" s="1"/>
  <c r="IC6" s="1"/>
  <c r="IC51" s="1"/>
  <c r="ID6" s="1"/>
  <c r="ID51" s="1"/>
  <c r="IE6" s="1"/>
  <c r="IE51" s="1"/>
  <c r="IF6" s="1"/>
  <c r="IF51" s="1"/>
  <c r="IG6" s="1"/>
  <c r="IG51" s="1"/>
  <c r="IH6" s="1"/>
  <c r="IH51" s="1"/>
  <c r="II6" s="1"/>
  <c r="II51" s="1"/>
  <c r="IJ6" s="1"/>
  <c r="IJ51" s="1"/>
  <c r="IK6" s="1"/>
  <c r="IK51" s="1"/>
  <c r="IL6" s="1"/>
  <c r="IL51" s="1"/>
  <c r="IM6" s="1"/>
  <c r="IM51" s="1"/>
  <c r="IN6" s="1"/>
  <c r="IN51" s="1"/>
  <c r="IO6" s="1"/>
  <c r="IO51" s="1"/>
  <c r="IP6" s="1"/>
  <c r="IP51" s="1"/>
  <c r="IQ6" s="1"/>
  <c r="IQ51" s="1"/>
  <c r="IR6" s="1"/>
  <c r="IR51" s="1"/>
  <c r="IS6" s="1"/>
  <c r="IS51" s="1"/>
  <c r="IT6" s="1"/>
  <c r="IT51" s="1"/>
  <c r="CP51" i="70"/>
  <c r="BV51"/>
  <c r="BL51"/>
  <c r="BH51" i="72"/>
  <c r="DQ27" i="84"/>
  <c r="FN27"/>
  <c r="HH27"/>
  <c r="IE27"/>
  <c r="DZ27"/>
  <c r="EN27"/>
  <c r="ES27"/>
  <c r="FB27"/>
  <c r="FD27"/>
  <c r="FQ27"/>
  <c r="GD27"/>
  <c r="GW27"/>
  <c r="HP27"/>
  <c r="IG27"/>
  <c r="IK27"/>
  <c r="IU15"/>
  <c r="HR49"/>
  <c r="HR53" s="1"/>
  <c r="IF49"/>
  <c r="IF53" s="1"/>
  <c r="FK49"/>
  <c r="FK53" s="1"/>
  <c r="DO49"/>
  <c r="DO53" s="1"/>
  <c r="IH49"/>
  <c r="IH53" s="1"/>
  <c r="FZ56" i="72"/>
  <c r="GA56" s="1"/>
  <c r="GB56" s="1"/>
  <c r="GC56" s="1"/>
  <c r="GD56" s="1"/>
  <c r="GE56" s="1"/>
  <c r="GF56" s="1"/>
  <c r="GG56" s="1"/>
  <c r="GH56" s="1"/>
  <c r="GI56" s="1"/>
  <c r="GJ56" s="1"/>
  <c r="GK56" s="1"/>
  <c r="GL56" s="1"/>
  <c r="GM56" s="1"/>
  <c r="GN56" s="1"/>
  <c r="GO56" s="1"/>
  <c r="GP56" s="1"/>
  <c r="GQ56" s="1"/>
  <c r="GR56" s="1"/>
  <c r="GS56" s="1"/>
  <c r="FY56"/>
  <c r="F56"/>
  <c r="E62"/>
  <c r="AT50" i="70"/>
  <c r="AT51"/>
  <c r="AP51"/>
  <c r="Z51"/>
  <c r="IU26"/>
  <c r="CN51" i="72"/>
  <c r="FM26"/>
  <c r="W47" i="70"/>
  <c r="W50" s="1"/>
  <c r="W51" s="1"/>
  <c r="Q47"/>
  <c r="Q50"/>
  <c r="DF26"/>
  <c r="DF51"/>
  <c r="P26"/>
  <c r="D26"/>
  <c r="D51" s="1"/>
  <c r="D64" s="1"/>
  <c r="D62" i="72"/>
  <c r="D64"/>
  <c r="BR26"/>
  <c r="BR51"/>
  <c r="K60" i="84"/>
  <c r="L60"/>
  <c r="CV59"/>
  <c r="AB60"/>
  <c r="DG49"/>
  <c r="DG53"/>
  <c r="H85"/>
  <c r="H83"/>
  <c r="H82"/>
  <c r="HB27"/>
  <c r="HA49"/>
  <c r="HA53"/>
  <c r="CO49"/>
  <c r="CO53"/>
  <c r="AA49"/>
  <c r="AA53"/>
  <c r="M49"/>
  <c r="M53"/>
  <c r="L27"/>
  <c r="HC27"/>
  <c r="HB49"/>
  <c r="HB53"/>
  <c r="HA27"/>
  <c r="GZ49"/>
  <c r="GZ53" s="1"/>
  <c r="FG27"/>
  <c r="FF49"/>
  <c r="FF53"/>
  <c r="FH27"/>
  <c r="FG49"/>
  <c r="FG53" s="1"/>
  <c r="EE27"/>
  <c r="H81"/>
  <c r="FL49"/>
  <c r="FL53" s="1"/>
  <c r="DF27"/>
  <c r="IU9"/>
  <c r="DE27"/>
  <c r="F62" i="70"/>
  <c r="F64"/>
  <c r="G56"/>
  <c r="J55"/>
  <c r="K55" s="1"/>
  <c r="FF27" i="84"/>
  <c r="DO27"/>
  <c r="AC60"/>
  <c r="AD60" s="1"/>
  <c r="AE60" s="1"/>
  <c r="AF60" s="1"/>
  <c r="AG60" s="1"/>
  <c r="AH60" s="1"/>
  <c r="AI60" s="1"/>
  <c r="AJ60" s="1"/>
  <c r="AK60" s="1"/>
  <c r="AL60" s="1"/>
  <c r="AM60" s="1"/>
  <c r="AN60" s="1"/>
  <c r="AO60" s="1"/>
  <c r="AP60" s="1"/>
  <c r="AQ60" s="1"/>
  <c r="AR60" s="1"/>
  <c r="AS60" s="1"/>
  <c r="CW59"/>
  <c r="CX59"/>
  <c r="CY59" s="1"/>
  <c r="CZ59" s="1"/>
  <c r="DA59" s="1"/>
  <c r="DB59" s="1"/>
  <c r="DC59" s="1"/>
  <c r="DD59" s="1"/>
  <c r="DE59" s="1"/>
  <c r="DF59" s="1"/>
  <c r="DG59" s="1"/>
  <c r="DH59" s="1"/>
  <c r="DI59" s="1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H56" i="70"/>
  <c r="I56" s="1"/>
  <c r="DG27" i="84"/>
  <c r="HK27"/>
  <c r="DV27"/>
  <c r="ED49"/>
  <c r="ED53"/>
  <c r="DN49"/>
  <c r="DN53"/>
  <c r="DG58"/>
  <c r="DH58"/>
  <c r="DI58" s="1"/>
  <c r="DJ58" s="1"/>
  <c r="DK58" s="1"/>
  <c r="DL58" s="1"/>
  <c r="DM58" s="1"/>
  <c r="DN58" s="1"/>
  <c r="H55" i="72"/>
  <c r="AU51" i="68"/>
  <c r="BC51"/>
  <c r="CG51" i="70"/>
  <c r="CB51"/>
  <c r="DP51"/>
  <c r="BA51"/>
  <c r="FZ56"/>
  <c r="GA56"/>
  <c r="GB56" s="1"/>
  <c r="GC56" s="1"/>
  <c r="GD56" s="1"/>
  <c r="GE56" s="1"/>
  <c r="GF56" s="1"/>
  <c r="GG56" s="1"/>
  <c r="GH56" s="1"/>
  <c r="GI56" s="1"/>
  <c r="GJ56" s="1"/>
  <c r="GK56" s="1"/>
  <c r="GL56" s="1"/>
  <c r="GM56" s="1"/>
  <c r="GN56" s="1"/>
  <c r="GO56" s="1"/>
  <c r="GP56" s="1"/>
  <c r="GQ56" s="1"/>
  <c r="GR56" s="1"/>
  <c r="GS56" s="1"/>
  <c r="GU56" s="1"/>
  <c r="GV56" s="1"/>
  <c r="GW56" s="1"/>
  <c r="GX56" s="1"/>
  <c r="GY56" s="1"/>
  <c r="GZ56" s="1"/>
  <c r="HA56" s="1"/>
  <c r="HB56" s="1"/>
  <c r="HC56" s="1"/>
  <c r="HD56" s="1"/>
  <c r="HE56" s="1"/>
  <c r="HF56" s="1"/>
  <c r="HG56" s="1"/>
  <c r="HH56" s="1"/>
  <c r="HI56" s="1"/>
  <c r="HJ56" s="1"/>
  <c r="HK56" s="1"/>
  <c r="HL56" s="1"/>
  <c r="HM56" s="1"/>
  <c r="HN56" s="1"/>
  <c r="HO56" s="1"/>
  <c r="HP56" s="1"/>
  <c r="HQ56" s="1"/>
  <c r="HR56" s="1"/>
  <c r="HS56" s="1"/>
  <c r="HT56" s="1"/>
  <c r="HU56" s="1"/>
  <c r="HV56" s="1"/>
  <c r="HW56" s="1"/>
  <c r="HX56" s="1"/>
  <c r="HY56" s="1"/>
  <c r="HZ56" s="1"/>
  <c r="IA56" s="1"/>
  <c r="IB56" s="1"/>
  <c r="IC56" s="1"/>
  <c r="ID56" s="1"/>
  <c r="IE56" s="1"/>
  <c r="IF56" s="1"/>
  <c r="IG56" s="1"/>
  <c r="IH56" s="1"/>
  <c r="II56" s="1"/>
  <c r="IJ56" s="1"/>
  <c r="IK56" s="1"/>
  <c r="IL56" s="1"/>
  <c r="IM56" s="1"/>
  <c r="IN56" s="1"/>
  <c r="IO56" s="1"/>
  <c r="IP56" s="1"/>
  <c r="IQ56" s="1"/>
  <c r="IR56" s="1"/>
  <c r="IS56" s="1"/>
  <c r="IT56" s="1"/>
  <c r="FY56"/>
  <c r="BX51"/>
  <c r="IQ26" i="68"/>
  <c r="HT26"/>
  <c r="HS26"/>
  <c r="HN26"/>
  <c r="HK26"/>
  <c r="HA26"/>
  <c r="GV26"/>
  <c r="GU26"/>
  <c r="GQ26"/>
  <c r="GN26"/>
  <c r="GG26"/>
  <c r="GB26"/>
  <c r="GA26"/>
  <c r="FL47"/>
  <c r="FL50" s="1"/>
  <c r="FI47"/>
  <c r="FI50" s="1"/>
  <c r="FF26"/>
  <c r="FC26"/>
  <c r="FB26"/>
  <c r="EY26"/>
  <c r="EG26"/>
  <c r="DQ26"/>
  <c r="DQ51"/>
  <c r="DR6" s="1"/>
  <c r="DR51" s="1"/>
  <c r="DS6" s="1"/>
  <c r="DS51" s="1"/>
  <c r="DT6" s="1"/>
  <c r="DT51" s="1"/>
  <c r="DU6" s="1"/>
  <c r="DU51" s="1"/>
  <c r="DV6" s="1"/>
  <c r="DV51" s="1"/>
  <c r="DW6" s="1"/>
  <c r="DW51" s="1"/>
  <c r="DX6" s="1"/>
  <c r="DX51" s="1"/>
  <c r="DY6" s="1"/>
  <c r="DY51" s="1"/>
  <c r="DZ6" s="1"/>
  <c r="DZ51" s="1"/>
  <c r="EA6" s="1"/>
  <c r="EA51" s="1"/>
  <c r="EB6" s="1"/>
  <c r="EB51" s="1"/>
  <c r="EC6" s="1"/>
  <c r="EC51" s="1"/>
  <c r="ED6" s="1"/>
  <c r="ED51" s="1"/>
  <c r="EE6" s="1"/>
  <c r="EE51" s="1"/>
  <c r="EF6" s="1"/>
  <c r="EF51" s="1"/>
  <c r="EG6" s="1"/>
  <c r="EG51" s="1"/>
  <c r="EH6" s="1"/>
  <c r="EH51" s="1"/>
  <c r="EI6" s="1"/>
  <c r="EI51" s="1"/>
  <c r="EJ6" s="1"/>
  <c r="EJ51" s="1"/>
  <c r="EK6" s="1"/>
  <c r="EK51" s="1"/>
  <c r="EL6" s="1"/>
  <c r="EL51" s="1"/>
  <c r="EM6" s="1"/>
  <c r="EM51" s="1"/>
  <c r="EN6" s="1"/>
  <c r="EN51" s="1"/>
  <c r="EO6" s="1"/>
  <c r="EO51" s="1"/>
  <c r="EP6" s="1"/>
  <c r="EP51" s="1"/>
  <c r="EQ6" s="1"/>
  <c r="EQ51" s="1"/>
  <c r="ER6" s="1"/>
  <c r="ER51" s="1"/>
  <c r="ES6" s="1"/>
  <c r="ES51" s="1"/>
  <c r="D62" i="70"/>
  <c r="FL47"/>
  <c r="FL50"/>
  <c r="AL47"/>
  <c r="AL50"/>
  <c r="AL51" s="1"/>
  <c r="DO47"/>
  <c r="DO50" s="1"/>
  <c r="DO51" s="1"/>
  <c r="DV26"/>
  <c r="V26"/>
  <c r="V51" s="1"/>
  <c r="E47" i="72"/>
  <c r="E50" s="1"/>
  <c r="E51" s="1"/>
  <c r="E64" s="1"/>
  <c r="IU32"/>
  <c r="IU29"/>
  <c r="P26"/>
  <c r="P51" s="1"/>
  <c r="C66" i="84"/>
  <c r="T49"/>
  <c r="T53"/>
  <c r="I49"/>
  <c r="I53"/>
  <c r="I55" i="72"/>
  <c r="J55"/>
  <c r="G56"/>
  <c r="F62"/>
  <c r="F64" s="1"/>
  <c r="FZ27" i="84"/>
  <c r="EG27"/>
  <c r="EY49"/>
  <c r="EY53"/>
  <c r="EJ49"/>
  <c r="EJ53"/>
  <c r="D62" i="68"/>
  <c r="CH51" i="70"/>
  <c r="BW51"/>
  <c r="BS51"/>
  <c r="HM26" i="68"/>
  <c r="GY26"/>
  <c r="GH26"/>
  <c r="EY47"/>
  <c r="EY50" s="1"/>
  <c r="EE26"/>
  <c r="IU43" i="70"/>
  <c r="CZ26"/>
  <c r="CZ51" s="1"/>
  <c r="Q26"/>
  <c r="Q51" s="1"/>
  <c r="AB26"/>
  <c r="AB51" s="1"/>
  <c r="DN51" i="72"/>
  <c r="CH51"/>
  <c r="G26"/>
  <c r="G51" s="1"/>
  <c r="G64" s="1"/>
  <c r="IU16"/>
  <c r="IU10" i="84"/>
  <c r="GG27"/>
  <c r="CQ55"/>
  <c r="CQ58"/>
  <c r="CR58" s="1"/>
  <c r="CS58" s="1"/>
  <c r="CT58" s="1"/>
  <c r="CU58" s="1"/>
  <c r="CV58" s="1"/>
  <c r="CW58" s="1"/>
  <c r="CX58" s="1"/>
  <c r="CY58" s="1"/>
  <c r="CZ58" s="1"/>
  <c r="DA58" s="1"/>
  <c r="DB58" s="1"/>
  <c r="DC58" s="1"/>
  <c r="DD58" s="1"/>
  <c r="H84"/>
  <c r="H56" i="72"/>
  <c r="H62"/>
  <c r="H64" s="1"/>
  <c r="G62"/>
  <c r="I56"/>
  <c r="I62"/>
  <c r="I64" s="1"/>
  <c r="EA59" i="84"/>
  <c r="EB59" s="1"/>
  <c r="EC59" s="1"/>
  <c r="ED59" s="1"/>
  <c r="EE59" s="1"/>
  <c r="EF59" s="1"/>
  <c r="EG59" s="1"/>
  <c r="EH59" s="1"/>
  <c r="EI59" s="1"/>
  <c r="EJ59" s="1"/>
  <c r="EK59" s="1"/>
  <c r="EL59" s="1"/>
  <c r="EM59" s="1"/>
  <c r="EN59" s="1"/>
  <c r="EO59" s="1"/>
  <c r="EP59" s="1"/>
  <c r="EQ59" s="1"/>
  <c r="ER59" s="1"/>
  <c r="ES59" s="1"/>
  <c r="ET59" s="1"/>
  <c r="EU59" s="1"/>
  <c r="EV59" s="1"/>
  <c r="EW59" s="1"/>
  <c r="EX59" s="1"/>
  <c r="EY59" s="1"/>
  <c r="EZ59" s="1"/>
  <c r="FA59" s="1"/>
  <c r="FB59" s="1"/>
  <c r="FC59" s="1"/>
  <c r="FD59" s="1"/>
  <c r="FE59" s="1"/>
  <c r="FF59" s="1"/>
  <c r="FG59" s="1"/>
  <c r="FH59" s="1"/>
  <c r="FI59" s="1"/>
  <c r="FJ59" s="1"/>
  <c r="FK59" s="1"/>
  <c r="FL59" s="1"/>
  <c r="FM59" s="1"/>
  <c r="FN59" s="1"/>
  <c r="FO59" s="1"/>
  <c r="FP59" s="1"/>
  <c r="FQ59" s="1"/>
  <c r="FR59" s="1"/>
  <c r="FS59" s="1"/>
  <c r="FT59" s="1"/>
  <c r="FU59" s="1"/>
  <c r="FV59" s="1"/>
  <c r="FW59" s="1"/>
  <c r="FX59" s="1"/>
  <c r="FY59" s="1"/>
  <c r="FZ59" s="1"/>
  <c r="GA59" s="1"/>
  <c r="GB59" s="1"/>
  <c r="GC59" s="1"/>
  <c r="GD59" s="1"/>
  <c r="GE59" s="1"/>
  <c r="GF59" s="1"/>
  <c r="GG59" s="1"/>
  <c r="GH59" s="1"/>
  <c r="GI59" s="1"/>
  <c r="GJ59" s="1"/>
  <c r="GK59" s="1"/>
  <c r="GL59" s="1"/>
  <c r="GM59" s="1"/>
  <c r="GN59" s="1"/>
  <c r="GO59" s="1"/>
  <c r="GP59" s="1"/>
  <c r="GQ59" s="1"/>
  <c r="GR59" s="1"/>
  <c r="GS59" s="1"/>
  <c r="GT59" s="1"/>
  <c r="GU59" s="1"/>
  <c r="GV59" s="1"/>
  <c r="GW59" s="1"/>
  <c r="GX59" s="1"/>
  <c r="GY59" s="1"/>
  <c r="GZ59" s="1"/>
  <c r="HA59" s="1"/>
  <c r="HB59" s="1"/>
  <c r="HC59" s="1"/>
  <c r="HD59" s="1"/>
  <c r="HE59" s="1"/>
  <c r="HF59" s="1"/>
  <c r="AS51" i="68"/>
  <c r="K55" i="72"/>
  <c r="BT51" i="70"/>
  <c r="BB51"/>
  <c r="AW51"/>
  <c r="BQ51"/>
  <c r="DE51"/>
  <c r="CT51"/>
  <c r="CC51"/>
  <c r="BJ51"/>
  <c r="G51"/>
  <c r="DQ51"/>
  <c r="AP51" i="72"/>
  <c r="CK51" i="70"/>
  <c r="AZ51"/>
  <c r="AV51"/>
  <c r="BH51"/>
  <c r="CV51"/>
  <c r="AC51"/>
  <c r="S47" i="72"/>
  <c r="S50"/>
  <c r="S51" s="1"/>
  <c r="IU35"/>
  <c r="IU10"/>
  <c r="CW26"/>
  <c r="CW51" s="1"/>
  <c r="AF26" i="70"/>
  <c r="AF51" s="1"/>
  <c r="BD47" i="72"/>
  <c r="BD50" s="1"/>
  <c r="BD51" s="1"/>
  <c r="CU51"/>
  <c r="CQ51"/>
  <c r="CO51"/>
  <c r="CE51"/>
  <c r="IU18"/>
  <c r="CG51"/>
  <c r="BQ26"/>
  <c r="BQ51"/>
  <c r="W51"/>
  <c r="BT51"/>
  <c r="X51"/>
  <c r="T51"/>
  <c r="CV26"/>
  <c r="CV51"/>
  <c r="AD47"/>
  <c r="AD50"/>
  <c r="AD51" s="1"/>
  <c r="IU30"/>
  <c r="IU43"/>
  <c r="BX51"/>
  <c r="BF51"/>
  <c r="CF51"/>
  <c r="BI51"/>
  <c r="J51"/>
  <c r="CJ51"/>
  <c r="BJ51"/>
  <c r="IU11"/>
  <c r="IU8"/>
  <c r="DR6" i="70"/>
  <c r="DR51"/>
  <c r="DS6" s="1"/>
  <c r="DS51" s="1"/>
  <c r="L55" i="72"/>
  <c r="M55" s="1"/>
  <c r="N55" s="1"/>
  <c r="O55" s="1"/>
  <c r="IU26"/>
  <c r="U55" i="68"/>
  <c r="V55"/>
  <c r="E62"/>
  <c r="E64" s="1"/>
  <c r="F56"/>
  <c r="Z51"/>
  <c r="AD51"/>
  <c r="AJ51"/>
  <c r="AK51"/>
  <c r="AL51"/>
  <c r="AM51"/>
  <c r="AN51"/>
  <c r="AP51"/>
  <c r="AV51"/>
  <c r="BD51"/>
  <c r="BR51"/>
  <c r="BS51"/>
  <c r="BT51"/>
  <c r="BU51"/>
  <c r="BV51"/>
  <c r="CH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J51" i="70"/>
  <c r="CF51"/>
  <c r="C64"/>
  <c r="E51"/>
  <c r="E64" s="1"/>
  <c r="IU35"/>
  <c r="IU41" i="72"/>
  <c r="IU47" s="1"/>
  <c r="T26" i="70"/>
  <c r="T51" s="1"/>
  <c r="DE26" i="72"/>
  <c r="DE51" s="1"/>
  <c r="BU49" i="84"/>
  <c r="BU53" s="1"/>
  <c r="F62" i="68"/>
  <c r="F64" s="1"/>
  <c r="G56"/>
  <c r="G62" s="1"/>
  <c r="G64" s="1"/>
  <c r="DT6" i="70"/>
  <c r="DT51"/>
  <c r="DU6" s="1"/>
  <c r="DU51" s="1"/>
  <c r="W55" i="68"/>
  <c r="H56"/>
  <c r="H62" s="1"/>
  <c r="H64" s="1"/>
  <c r="BI51"/>
  <c r="BW51"/>
  <c r="BX51"/>
  <c r="CI51"/>
  <c r="GU56" i="72"/>
  <c r="GV56" s="1"/>
  <c r="GW56" s="1"/>
  <c r="GX56" s="1"/>
  <c r="GY56" s="1"/>
  <c r="GZ56" s="1"/>
  <c r="HA56" s="1"/>
  <c r="HB56" s="1"/>
  <c r="HC56" s="1"/>
  <c r="HD56" s="1"/>
  <c r="HE56" s="1"/>
  <c r="HF56" s="1"/>
  <c r="HG56" s="1"/>
  <c r="HH56" s="1"/>
  <c r="HI56" s="1"/>
  <c r="HJ56" s="1"/>
  <c r="HK56" s="1"/>
  <c r="HL56" s="1"/>
  <c r="HM56" s="1"/>
  <c r="HN56" s="1"/>
  <c r="HO56" s="1"/>
  <c r="HP56" s="1"/>
  <c r="HQ56" s="1"/>
  <c r="HR56" s="1"/>
  <c r="HS56" s="1"/>
  <c r="HT56" s="1"/>
  <c r="HU56" s="1"/>
  <c r="HV56" s="1"/>
  <c r="HW56" s="1"/>
  <c r="HX56" s="1"/>
  <c r="HY56" s="1"/>
  <c r="HZ56" s="1"/>
  <c r="IA56" s="1"/>
  <c r="IB56" s="1"/>
  <c r="IC56" s="1"/>
  <c r="ID56" s="1"/>
  <c r="IE56" s="1"/>
  <c r="IF56" s="1"/>
  <c r="IG56" s="1"/>
  <c r="IH56" s="1"/>
  <c r="II56" s="1"/>
  <c r="IJ56" s="1"/>
  <c r="IK56" s="1"/>
  <c r="IL56" s="1"/>
  <c r="IM56" s="1"/>
  <c r="IN56" s="1"/>
  <c r="IO56" s="1"/>
  <c r="IP56" s="1"/>
  <c r="IQ56" s="1"/>
  <c r="IR56" s="1"/>
  <c r="IS56" s="1"/>
  <c r="IT56" s="1"/>
  <c r="GT56"/>
  <c r="X51" i="70"/>
  <c r="J56" i="72"/>
  <c r="K56" s="1"/>
  <c r="BC51" i="70"/>
  <c r="CW51"/>
  <c r="C64" i="72"/>
  <c r="FN26" i="68"/>
  <c r="FD26"/>
  <c r="ES26"/>
  <c r="P47" i="70"/>
  <c r="P50" s="1"/>
  <c r="P51" s="1"/>
  <c r="N47"/>
  <c r="N50"/>
  <c r="N51" s="1"/>
  <c r="CK51" i="72"/>
  <c r="IU45" i="84"/>
  <c r="IU35"/>
  <c r="F49"/>
  <c r="F53"/>
  <c r="AX27"/>
  <c r="BU27"/>
  <c r="J62" i="72"/>
  <c r="J64" s="1"/>
  <c r="X55" i="68"/>
  <c r="Y55" s="1"/>
  <c r="IP49" i="84"/>
  <c r="IP53" s="1"/>
  <c r="IM49"/>
  <c r="IM53" s="1"/>
  <c r="IG49"/>
  <c r="IG53" s="1"/>
  <c r="IB49"/>
  <c r="IB53" s="1"/>
  <c r="IA49"/>
  <c r="IA53" s="1"/>
  <c r="IU34"/>
  <c r="HS27"/>
  <c r="IU44"/>
  <c r="HQ49"/>
  <c r="HQ53"/>
  <c r="HP49"/>
  <c r="HP53"/>
  <c r="HO27"/>
  <c r="HN27"/>
  <c r="HM49"/>
  <c r="HM53"/>
  <c r="HM27"/>
  <c r="HJ27"/>
  <c r="HI49"/>
  <c r="HI53"/>
  <c r="HH49"/>
  <c r="HH53"/>
  <c r="HG49"/>
  <c r="HG53"/>
  <c r="HF49"/>
  <c r="HF53"/>
  <c r="HF27"/>
  <c r="HE49"/>
  <c r="HE53" s="1"/>
  <c r="HE27"/>
  <c r="HD49"/>
  <c r="HD53"/>
  <c r="FS49"/>
  <c r="FS53"/>
  <c r="FS27"/>
  <c r="FQ49"/>
  <c r="FQ53" s="1"/>
  <c r="FP49"/>
  <c r="FP53" s="1"/>
  <c r="FP27"/>
  <c r="FN49"/>
  <c r="FN53"/>
  <c r="FL27"/>
  <c r="FK27"/>
  <c r="FJ49"/>
  <c r="FJ53"/>
  <c r="FE27"/>
  <c r="FD49"/>
  <c r="FD53" s="1"/>
  <c r="FC49"/>
  <c r="FC53" s="1"/>
  <c r="FB49"/>
  <c r="FB53" s="1"/>
  <c r="FA49"/>
  <c r="FA53" s="1"/>
  <c r="EZ27"/>
  <c r="EX49"/>
  <c r="EX53"/>
  <c r="EX27"/>
  <c r="EV49"/>
  <c r="EV53" s="1"/>
  <c r="EV27"/>
  <c r="ET49"/>
  <c r="ET53"/>
  <c r="ET27"/>
  <c r="AC49"/>
  <c r="AC53" s="1"/>
  <c r="FC27"/>
  <c r="IQ49"/>
  <c r="IQ53" s="1"/>
  <c r="IQ27"/>
  <c r="IP27"/>
  <c r="IO49"/>
  <c r="IO53" s="1"/>
  <c r="IN27"/>
  <c r="IJ27"/>
  <c r="II49"/>
  <c r="II53" s="1"/>
  <c r="II27"/>
  <c r="IF27"/>
  <c r="IE49"/>
  <c r="IE53" s="1"/>
  <c r="IC27"/>
  <c r="HN49"/>
  <c r="HN53" s="1"/>
  <c r="HL49"/>
  <c r="HL53" s="1"/>
  <c r="HK49"/>
  <c r="HK53" s="1"/>
  <c r="HJ49"/>
  <c r="HJ53" s="1"/>
  <c r="IU39"/>
  <c r="HC49"/>
  <c r="HC53"/>
  <c r="IU13"/>
  <c r="IU40"/>
  <c r="IU48"/>
  <c r="IU38"/>
  <c r="GG49"/>
  <c r="GG53" s="1"/>
  <c r="FY49"/>
  <c r="FY53" s="1"/>
  <c r="FT27"/>
  <c r="FR49"/>
  <c r="FR53"/>
  <c r="FR27"/>
  <c r="FO49"/>
  <c r="FO53" s="1"/>
  <c r="FO27"/>
  <c r="FJ27"/>
  <c r="FA27"/>
  <c r="EW49"/>
  <c r="EW53"/>
  <c r="EW27"/>
  <c r="EU49"/>
  <c r="EU53" s="1"/>
  <c r="EU27"/>
  <c r="ES49"/>
  <c r="ES53"/>
  <c r="ER49"/>
  <c r="ER53"/>
  <c r="EQ49"/>
  <c r="EQ53"/>
  <c r="EQ27"/>
  <c r="IU11"/>
  <c r="K61"/>
  <c r="L61" s="1"/>
  <c r="M61" s="1"/>
  <c r="N61" s="1"/>
  <c r="O61" s="1"/>
  <c r="P61" s="1"/>
  <c r="Q61" s="1"/>
  <c r="R61" s="1"/>
  <c r="S61" s="1"/>
  <c r="T61" s="1"/>
  <c r="U61" s="1"/>
  <c r="V61" s="1"/>
  <c r="EL60"/>
  <c r="EM60" s="1"/>
  <c r="EN60" s="1"/>
  <c r="EO60" s="1"/>
  <c r="EP60" s="1"/>
  <c r="EQ60" s="1"/>
  <c r="ER60" s="1"/>
  <c r="ES60" s="1"/>
  <c r="ET60" s="1"/>
  <c r="EU60" s="1"/>
  <c r="EV60" s="1"/>
  <c r="EW60" s="1"/>
  <c r="EX60" s="1"/>
  <c r="EY60" s="1"/>
  <c r="EZ60" s="1"/>
  <c r="FA60" s="1"/>
  <c r="FB60" s="1"/>
  <c r="FC60" s="1"/>
  <c r="FD60" s="1"/>
  <c r="FF60"/>
  <c r="FG60"/>
  <c r="FH60" s="1"/>
  <c r="FI60" s="1"/>
  <c r="FJ60" s="1"/>
  <c r="FK60" s="1"/>
  <c r="FL60" s="1"/>
  <c r="FM60" s="1"/>
  <c r="FN60" s="1"/>
  <c r="FO60" s="1"/>
  <c r="FP60" s="1"/>
  <c r="FQ60" s="1"/>
  <c r="FR60" s="1"/>
  <c r="FS60" s="1"/>
  <c r="FT60" s="1"/>
  <c r="FU60" s="1"/>
  <c r="FV60" s="1"/>
  <c r="FW60" s="1"/>
  <c r="FX60" s="1"/>
  <c r="FY60" s="1"/>
  <c r="GA60"/>
  <c r="GB60"/>
  <c r="GC60" s="1"/>
  <c r="GD60" s="1"/>
  <c r="GE60" s="1"/>
  <c r="GF60" s="1"/>
  <c r="GG60" s="1"/>
  <c r="GH60" s="1"/>
  <c r="GI60" s="1"/>
  <c r="GJ60" s="1"/>
  <c r="GK60" s="1"/>
  <c r="GL60" s="1"/>
  <c r="GM60" s="1"/>
  <c r="GN60" s="1"/>
  <c r="GO60" s="1"/>
  <c r="GP60" s="1"/>
  <c r="GQ60" s="1"/>
  <c r="GR60" s="1"/>
  <c r="GS60" s="1"/>
  <c r="GT60" s="1"/>
  <c r="GU60" s="1"/>
  <c r="GV60" s="1"/>
  <c r="GW60" s="1"/>
  <c r="GX60" s="1"/>
  <c r="GY60" s="1"/>
  <c r="GZ60" s="1"/>
  <c r="HA60" s="1"/>
  <c r="HB60" s="1"/>
  <c r="HC60" s="1"/>
  <c r="HD60" s="1"/>
  <c r="HE60" s="1"/>
  <c r="HF60" s="1"/>
  <c r="HG60" s="1"/>
  <c r="HH60" s="1"/>
  <c r="HI60" s="1"/>
  <c r="HJ60" s="1"/>
  <c r="HK60" s="1"/>
  <c r="HL60" s="1"/>
  <c r="HM60" s="1"/>
  <c r="HN60" s="1"/>
  <c r="HO60" s="1"/>
  <c r="HP60" s="1"/>
  <c r="HQ60" s="1"/>
  <c r="HR60" s="1"/>
  <c r="HS60" s="1"/>
  <c r="HT60" s="1"/>
  <c r="HU60" s="1"/>
  <c r="HV60" s="1"/>
  <c r="HW60" s="1"/>
  <c r="HX60" s="1"/>
  <c r="HY60" s="1"/>
  <c r="HZ60" s="1"/>
  <c r="IA60" s="1"/>
  <c r="IB60" s="1"/>
  <c r="IC60" s="1"/>
  <c r="ID60" s="1"/>
  <c r="IE60" s="1"/>
  <c r="IF60" s="1"/>
  <c r="IG60" s="1"/>
  <c r="IH60" s="1"/>
  <c r="II60" s="1"/>
  <c r="IJ60" s="1"/>
  <c r="IK60" s="1"/>
  <c r="IL60" s="1"/>
  <c r="IM60" s="1"/>
  <c r="IN60" s="1"/>
  <c r="IO60" s="1"/>
  <c r="IP60" s="1"/>
  <c r="IQ60" s="1"/>
  <c r="IR60" s="1"/>
  <c r="IS60" s="1"/>
  <c r="FE49"/>
  <c r="FE53"/>
  <c r="FT49"/>
  <c r="FT53"/>
  <c r="FZ49"/>
  <c r="FZ53"/>
  <c r="GT65"/>
  <c r="GU65"/>
  <c r="GV65" s="1"/>
  <c r="GW65" s="1"/>
  <c r="GX65" s="1"/>
  <c r="GY65" s="1"/>
  <c r="GZ65" s="1"/>
  <c r="HA65" s="1"/>
  <c r="HB65" s="1"/>
  <c r="HC65" s="1"/>
  <c r="HD65" s="1"/>
  <c r="HF65"/>
  <c r="HG65" s="1"/>
  <c r="HH65" s="1"/>
  <c r="HI65" s="1"/>
  <c r="HJ65" s="1"/>
  <c r="HK65" s="1"/>
  <c r="HL65" s="1"/>
  <c r="HM65" s="1"/>
  <c r="HN65" s="1"/>
  <c r="HO65" s="1"/>
  <c r="HP65" s="1"/>
  <c r="HQ65" s="1"/>
  <c r="HR65" s="1"/>
  <c r="HS65" s="1"/>
  <c r="HT65" s="1"/>
  <c r="HU65" s="1"/>
  <c r="HV65" s="1"/>
  <c r="HW65" s="1"/>
  <c r="HX65" s="1"/>
  <c r="HY65" s="1"/>
  <c r="HZ65" s="1"/>
  <c r="IA65" s="1"/>
  <c r="IB65" s="1"/>
  <c r="IC65" s="1"/>
  <c r="ID65" s="1"/>
  <c r="IE65" s="1"/>
  <c r="IF65" s="1"/>
  <c r="IG65" s="1"/>
  <c r="IH65" s="1"/>
  <c r="II65" s="1"/>
  <c r="IJ65" s="1"/>
  <c r="IK65" s="1"/>
  <c r="IL65" s="1"/>
  <c r="IM65" s="1"/>
  <c r="IN65" s="1"/>
  <c r="IO65" s="1"/>
  <c r="IP65" s="1"/>
  <c r="IQ65" s="1"/>
  <c r="IR65" s="1"/>
  <c r="IS65" s="1"/>
  <c r="GP49"/>
  <c r="GP53"/>
  <c r="HH59"/>
  <c r="HI59"/>
  <c r="HJ59" s="1"/>
  <c r="GJ27"/>
  <c r="GN27"/>
  <c r="GT53"/>
  <c r="IU14"/>
  <c r="JK14" i="90" s="1"/>
  <c r="IU8" i="84"/>
  <c r="H80"/>
  <c r="IU46"/>
  <c r="BC49"/>
  <c r="BC53" s="1"/>
  <c r="E63"/>
  <c r="D6"/>
  <c r="D54"/>
  <c r="C68"/>
  <c r="HI27"/>
  <c r="X49"/>
  <c r="X53"/>
  <c r="S27"/>
  <c r="BS27"/>
  <c r="BG27"/>
  <c r="G27"/>
  <c r="H76"/>
  <c r="H78"/>
  <c r="H77"/>
  <c r="F63"/>
  <c r="G63" s="1"/>
  <c r="H87"/>
  <c r="IU36"/>
  <c r="IU47"/>
  <c r="IC49"/>
  <c r="IC53"/>
  <c r="HO49"/>
  <c r="HO53" s="1"/>
  <c r="HH63"/>
  <c r="HL58"/>
  <c r="HM58" s="1"/>
  <c r="HN58" s="1"/>
  <c r="HI63"/>
  <c r="HJ63"/>
  <c r="HK63" s="1"/>
  <c r="IJ49"/>
  <c r="IJ53"/>
  <c r="G88"/>
  <c r="I88"/>
  <c r="IE62"/>
  <c r="IF62"/>
  <c r="IG62" s="1"/>
  <c r="IH62" s="1"/>
  <c r="II62" s="1"/>
  <c r="IJ62" s="1"/>
  <c r="IK62" s="1"/>
  <c r="IL62" s="1"/>
  <c r="IM62" s="1"/>
  <c r="IN62" s="1"/>
  <c r="IO62" s="1"/>
  <c r="IP62" s="1"/>
  <c r="IQ62" s="1"/>
  <c r="IR62" s="1"/>
  <c r="IS62" s="1"/>
  <c r="IU18"/>
  <c r="JK18" i="90" s="1"/>
  <c r="IT4" i="84"/>
  <c r="M60"/>
  <c r="N60" s="1"/>
  <c r="H86"/>
  <c r="AT60"/>
  <c r="AU60"/>
  <c r="AV60"/>
  <c r="AW60" s="1"/>
  <c r="E6"/>
  <c r="E54" s="1"/>
  <c r="IT64"/>
  <c r="IU64" s="1"/>
  <c r="IT61"/>
  <c r="AB49" i="86"/>
  <c r="AB53" s="1"/>
  <c r="BC49"/>
  <c r="BC53" s="1"/>
  <c r="IU33"/>
  <c r="IU34"/>
  <c r="IU35"/>
  <c r="IU38"/>
  <c r="EH49"/>
  <c r="EH53" s="1"/>
  <c r="IU40"/>
  <c r="IU41"/>
  <c r="IU44"/>
  <c r="IS74"/>
  <c r="D58"/>
  <c r="D66"/>
  <c r="H78"/>
  <c r="H80"/>
  <c r="H82"/>
  <c r="H84"/>
  <c r="H86"/>
  <c r="CK58"/>
  <c r="HL58"/>
  <c r="HJ66"/>
  <c r="HK59"/>
  <c r="HL59" s="1"/>
  <c r="IU9"/>
  <c r="IU10"/>
  <c r="IU11"/>
  <c r="IU18"/>
  <c r="IU30"/>
  <c r="IU45"/>
  <c r="IU46"/>
  <c r="I49"/>
  <c r="I53" s="1"/>
  <c r="AA49"/>
  <c r="AA53" s="1"/>
  <c r="DG58"/>
  <c r="DF59"/>
  <c r="DG59"/>
  <c r="DH59" s="1"/>
  <c r="CI66"/>
  <c r="CJ60"/>
  <c r="CK60" s="1"/>
  <c r="IU8"/>
  <c r="IU13"/>
  <c r="IU14"/>
  <c r="C54"/>
  <c r="IU36"/>
  <c r="IU42"/>
  <c r="E58"/>
  <c r="F58" s="1"/>
  <c r="AC62"/>
  <c r="AD62"/>
  <c r="AE62" s="1"/>
  <c r="AF62" s="1"/>
  <c r="AG62" s="1"/>
  <c r="AH62" s="1"/>
  <c r="AI62" s="1"/>
  <c r="AJ62" s="1"/>
  <c r="AK62" s="1"/>
  <c r="AL62" s="1"/>
  <c r="AM62" s="1"/>
  <c r="AN62" s="1"/>
  <c r="AO62" s="1"/>
  <c r="AP62" s="1"/>
  <c r="AQ62" s="1"/>
  <c r="AR62" s="1"/>
  <c r="H77"/>
  <c r="H79"/>
  <c r="H81"/>
  <c r="H83"/>
  <c r="H85"/>
  <c r="H87"/>
  <c r="G88"/>
  <c r="I88"/>
  <c r="H63" i="84"/>
  <c r="HK59"/>
  <c r="HL59" s="1"/>
  <c r="HJ66"/>
  <c r="IT60"/>
  <c r="DO58"/>
  <c r="DO66" s="1"/>
  <c r="DN66"/>
  <c r="G64"/>
  <c r="H64" s="1"/>
  <c r="IT65"/>
  <c r="W61"/>
  <c r="E65"/>
  <c r="F65" s="1"/>
  <c r="D66"/>
  <c r="D68" s="1"/>
  <c r="H79"/>
  <c r="AL49"/>
  <c r="AL53"/>
  <c r="BP49"/>
  <c r="BP53"/>
  <c r="AU49"/>
  <c r="AU53"/>
  <c r="O49"/>
  <c r="O53"/>
  <c r="CF49"/>
  <c r="CF53"/>
  <c r="AW49"/>
  <c r="AW53"/>
  <c r="CN49"/>
  <c r="CN53"/>
  <c r="CT27"/>
  <c r="CP27"/>
  <c r="CJ27"/>
  <c r="BV27"/>
  <c r="BQ27"/>
  <c r="BB27"/>
  <c r="CG27"/>
  <c r="CD27"/>
  <c r="BF27"/>
  <c r="AW27"/>
  <c r="AU27"/>
  <c r="AO27"/>
  <c r="Y27"/>
  <c r="K27"/>
  <c r="CQ27"/>
  <c r="BH27"/>
  <c r="W27"/>
  <c r="CV27"/>
  <c r="CH27"/>
  <c r="CO27"/>
  <c r="CR27"/>
  <c r="CK27"/>
  <c r="DW27"/>
  <c r="GS49"/>
  <c r="GS53" s="1"/>
  <c r="E66" i="86"/>
  <c r="C68"/>
  <c r="D6"/>
  <c r="D54"/>
  <c r="E6" s="1"/>
  <c r="E54" s="1"/>
  <c r="DH58"/>
  <c r="DI58" s="1"/>
  <c r="HK66"/>
  <c r="CJ66"/>
  <c r="HM58"/>
  <c r="CL58"/>
  <c r="DP58" i="84"/>
  <c r="DQ58" s="1"/>
  <c r="I63"/>
  <c r="J63" s="1"/>
  <c r="X61"/>
  <c r="E66"/>
  <c r="D68" i="86"/>
  <c r="CM58"/>
  <c r="CN58" s="1"/>
  <c r="HN58"/>
  <c r="HO58" s="1"/>
  <c r="Y61" i="84"/>
  <c r="DP66"/>
  <c r="Z61"/>
  <c r="AA61" s="1"/>
  <c r="EH27" i="86"/>
  <c r="EF58" i="90" l="1"/>
  <c r="EE66"/>
  <c r="JH15" i="87"/>
  <c r="JH27" s="1"/>
  <c r="JJ15" i="90"/>
  <c r="JJ27" s="1"/>
  <c r="JJ54" s="1"/>
  <c r="JI16" i="87"/>
  <c r="JK16" i="90"/>
  <c r="JI12" i="87"/>
  <c r="JK12" i="90"/>
  <c r="JK27" s="1"/>
  <c r="ED68"/>
  <c r="ED69" s="1"/>
  <c r="EE6"/>
  <c r="EE54" s="1"/>
  <c r="IU42" i="84"/>
  <c r="JI18" i="87"/>
  <c r="JI14"/>
  <c r="FU27" i="86"/>
  <c r="EW2" i="84"/>
  <c r="AC49" i="86"/>
  <c r="AC53" s="1"/>
  <c r="IU37"/>
  <c r="IU31" i="84"/>
  <c r="IU41"/>
  <c r="IU32"/>
  <c r="AB49"/>
  <c r="AB53" s="1"/>
  <c r="IU27"/>
  <c r="IU30"/>
  <c r="IU32" i="86"/>
  <c r="IU31"/>
  <c r="IU12"/>
  <c r="IU27" s="1"/>
  <c r="CO58"/>
  <c r="K63" i="84"/>
  <c r="DJ58" i="86"/>
  <c r="CL60"/>
  <c r="CM60" s="1"/>
  <c r="CK66"/>
  <c r="DI59"/>
  <c r="DJ59" s="1"/>
  <c r="DK59" s="1"/>
  <c r="DL59" s="1"/>
  <c r="DM59" s="1"/>
  <c r="DN59" s="1"/>
  <c r="DO59" s="1"/>
  <c r="DP59" s="1"/>
  <c r="DQ59" s="1"/>
  <c r="DR59" s="1"/>
  <c r="DS59" s="1"/>
  <c r="DT59" s="1"/>
  <c r="DU59" s="1"/>
  <c r="DV59" s="1"/>
  <c r="DW59" s="1"/>
  <c r="DX59" s="1"/>
  <c r="DY59" s="1"/>
  <c r="HM59"/>
  <c r="HN59" s="1"/>
  <c r="HL66"/>
  <c r="F6" i="84"/>
  <c r="F54" s="1"/>
  <c r="E68"/>
  <c r="CL66" i="86"/>
  <c r="AB61" i="84"/>
  <c r="HP58" i="86"/>
  <c r="DR58" i="84"/>
  <c r="DQ66"/>
  <c r="E68" i="86"/>
  <c r="F6"/>
  <c r="G65" i="84"/>
  <c r="F66"/>
  <c r="I64"/>
  <c r="HM59"/>
  <c r="G58" i="86"/>
  <c r="F66"/>
  <c r="AX60" i="84"/>
  <c r="O60"/>
  <c r="IT62"/>
  <c r="HL63"/>
  <c r="HM63" s="1"/>
  <c r="HN63" s="1"/>
  <c r="HO63" s="1"/>
  <c r="HP63" s="1"/>
  <c r="HQ63" s="1"/>
  <c r="HR63" s="1"/>
  <c r="HS63" s="1"/>
  <c r="HT63" s="1"/>
  <c r="HU63" s="1"/>
  <c r="HV63" s="1"/>
  <c r="HW63" s="1"/>
  <c r="HX63" s="1"/>
  <c r="HY63" s="1"/>
  <c r="HZ63" s="1"/>
  <c r="IA63" s="1"/>
  <c r="IB63" s="1"/>
  <c r="IC63" s="1"/>
  <c r="ID63" s="1"/>
  <c r="IE63" s="1"/>
  <c r="IF63" s="1"/>
  <c r="IG63" s="1"/>
  <c r="IH63" s="1"/>
  <c r="II63" s="1"/>
  <c r="IJ63" s="1"/>
  <c r="IK63" s="1"/>
  <c r="IL63" s="1"/>
  <c r="IM63" s="1"/>
  <c r="IN63" s="1"/>
  <c r="IO63" s="1"/>
  <c r="IP63" s="1"/>
  <c r="IQ63" s="1"/>
  <c r="IR63" s="1"/>
  <c r="IS63" s="1"/>
  <c r="HK66"/>
  <c r="HO58"/>
  <c r="HM66" i="86"/>
  <c r="L56" i="72"/>
  <c r="K62"/>
  <c r="K64" s="1"/>
  <c r="DV6" i="70"/>
  <c r="DV51" s="1"/>
  <c r="Z55" i="68"/>
  <c r="P55" i="72"/>
  <c r="ET6" i="68"/>
  <c r="ET51" s="1"/>
  <c r="I56"/>
  <c r="L55" i="70"/>
  <c r="GT56"/>
  <c r="Q51" i="68"/>
  <c r="BQ51"/>
  <c r="CF51"/>
  <c r="CG51"/>
  <c r="J56" i="70"/>
  <c r="H61"/>
  <c r="G62"/>
  <c r="G64" s="1"/>
  <c r="IU47" i="68"/>
  <c r="CR51" i="70"/>
  <c r="CS51"/>
  <c r="CN51"/>
  <c r="CJ51"/>
  <c r="CM51"/>
  <c r="S51"/>
  <c r="IU32"/>
  <c r="IU47" s="1"/>
  <c r="GS27" i="84"/>
  <c r="CC49"/>
  <c r="CC53" s="1"/>
  <c r="BL27"/>
  <c r="BJ27"/>
  <c r="CY27"/>
  <c r="GR27"/>
  <c r="F49" i="86"/>
  <c r="F53" s="1"/>
  <c r="IU39"/>
  <c r="EG58" i="90" l="1"/>
  <c r="EF66"/>
  <c r="EE68"/>
  <c r="EE69" s="1"/>
  <c r="EF6"/>
  <c r="EF54" s="1"/>
  <c r="IU49" i="86"/>
  <c r="IU53" s="1"/>
  <c r="IU49" i="84"/>
  <c r="IU53" s="1"/>
  <c r="JI27" i="87"/>
  <c r="K56" i="70"/>
  <c r="I62" i="68"/>
  <c r="I64" s="1"/>
  <c r="J56"/>
  <c r="Q55" i="72"/>
  <c r="AA55" i="68"/>
  <c r="DW6" i="70"/>
  <c r="DW51" s="1"/>
  <c r="L62" i="72"/>
  <c r="L64" s="1"/>
  <c r="M56"/>
  <c r="HN59" i="84"/>
  <c r="HM66"/>
  <c r="HQ58" i="86"/>
  <c r="G6" i="84"/>
  <c r="G54" s="1"/>
  <c r="F68"/>
  <c r="HO59" i="86"/>
  <c r="HN66"/>
  <c r="CN60"/>
  <c r="CM66"/>
  <c r="DK58"/>
  <c r="F54"/>
  <c r="I61" i="70"/>
  <c r="H62"/>
  <c r="H64" s="1"/>
  <c r="M55"/>
  <c r="EU6" i="68"/>
  <c r="EU51" s="1"/>
  <c r="HP58" i="84"/>
  <c r="IT63"/>
  <c r="P60"/>
  <c r="AY60"/>
  <c r="G66" i="86"/>
  <c r="H58"/>
  <c r="J64" i="84"/>
  <c r="G66"/>
  <c r="H65"/>
  <c r="DR66"/>
  <c r="DS58"/>
  <c r="AC61"/>
  <c r="L63"/>
  <c r="CP58" i="86"/>
  <c r="HL66" i="84"/>
  <c r="EH58" i="90" l="1"/>
  <c r="EG66"/>
  <c r="EF68"/>
  <c r="EF69" s="1"/>
  <c r="EG6"/>
  <c r="EG54" s="1"/>
  <c r="CQ58" i="86"/>
  <c r="AD61" i="84"/>
  <c r="AZ60"/>
  <c r="HQ58"/>
  <c r="EV6" i="68"/>
  <c r="EV51" s="1"/>
  <c r="J61" i="70"/>
  <c r="I62"/>
  <c r="I64" s="1"/>
  <c r="DL58" i="86"/>
  <c r="CO60"/>
  <c r="CN66"/>
  <c r="HP59"/>
  <c r="HO66"/>
  <c r="H6" i="84"/>
  <c r="H54" s="1"/>
  <c r="G68"/>
  <c r="HR58" i="86"/>
  <c r="HO59" i="84"/>
  <c r="HN66"/>
  <c r="DX6" i="70"/>
  <c r="DX51" s="1"/>
  <c r="M63" i="84"/>
  <c r="DT58"/>
  <c r="DS66"/>
  <c r="I65"/>
  <c r="H66"/>
  <c r="K64"/>
  <c r="H66" i="86"/>
  <c r="I58"/>
  <c r="Q60" i="84"/>
  <c r="N55" i="70"/>
  <c r="G6" i="86"/>
  <c r="G54" s="1"/>
  <c r="F68"/>
  <c r="M62" i="72"/>
  <c r="M64" s="1"/>
  <c r="N56"/>
  <c r="AB55" i="68"/>
  <c r="R55" i="72"/>
  <c r="K56" i="68"/>
  <c r="J62"/>
  <c r="J64" s="1"/>
  <c r="L56" i="70"/>
  <c r="EI58" i="90" l="1"/>
  <c r="EH66"/>
  <c r="EG68"/>
  <c r="EG69" s="1"/>
  <c r="EH6"/>
  <c r="EH54" s="1"/>
  <c r="M56" i="70"/>
  <c r="K62" i="68"/>
  <c r="K64" s="1"/>
  <c r="L56"/>
  <c r="S55" i="72"/>
  <c r="AC55" i="68"/>
  <c r="H6" i="86"/>
  <c r="H54" s="1"/>
  <c r="G68"/>
  <c r="O55" i="70"/>
  <c r="R60" i="84"/>
  <c r="L64"/>
  <c r="J65"/>
  <c r="I66"/>
  <c r="DT66"/>
  <c r="DU58"/>
  <c r="DY6" i="70"/>
  <c r="DY51" s="1"/>
  <c r="HP59" i="84"/>
  <c r="HO66"/>
  <c r="HS58" i="86"/>
  <c r="I6" i="84"/>
  <c r="I54" s="1"/>
  <c r="H68"/>
  <c r="HQ59" i="86"/>
  <c r="HP66"/>
  <c r="CP60"/>
  <c r="CO66"/>
  <c r="K61" i="70"/>
  <c r="J62"/>
  <c r="J64" s="1"/>
  <c r="EW6" i="68"/>
  <c r="EW51" s="1"/>
  <c r="HR58" i="84"/>
  <c r="BA60"/>
  <c r="AE61"/>
  <c r="CR58" i="86"/>
  <c r="O56" i="72"/>
  <c r="N62"/>
  <c r="N64" s="1"/>
  <c r="J58" i="86"/>
  <c r="I66"/>
  <c r="N63" i="84"/>
  <c r="DM58" i="86"/>
  <c r="EJ58" i="90" l="1"/>
  <c r="EI66"/>
  <c r="EH68"/>
  <c r="EH69" s="1"/>
  <c r="EI6"/>
  <c r="EI54" s="1"/>
  <c r="O63" i="84"/>
  <c r="K58" i="86"/>
  <c r="J66"/>
  <c r="P56" i="72"/>
  <c r="O62"/>
  <c r="O64" s="1"/>
  <c r="CS58" i="86"/>
  <c r="AF61" i="84"/>
  <c r="BB60"/>
  <c r="HS58"/>
  <c r="EX6" i="68"/>
  <c r="EX51" s="1"/>
  <c r="L61" i="70"/>
  <c r="K62"/>
  <c r="K64" s="1"/>
  <c r="CQ60" i="86"/>
  <c r="CP66"/>
  <c r="HR59"/>
  <c r="HQ66"/>
  <c r="J6" i="84"/>
  <c r="J54" s="1"/>
  <c r="I68"/>
  <c r="HT58" i="86"/>
  <c r="HQ59" i="84"/>
  <c r="HP66"/>
  <c r="DZ6" i="70"/>
  <c r="DZ51" s="1"/>
  <c r="K65" i="84"/>
  <c r="J66"/>
  <c r="M64"/>
  <c r="S60"/>
  <c r="H68" i="86"/>
  <c r="I6"/>
  <c r="I54" s="1"/>
  <c r="N56" i="70"/>
  <c r="DN58" i="86"/>
  <c r="DU66" i="84"/>
  <c r="DV58"/>
  <c r="P55" i="70"/>
  <c r="AD55" i="68"/>
  <c r="T55" i="72"/>
  <c r="L62" i="68"/>
  <c r="L64" s="1"/>
  <c r="M56"/>
  <c r="EK58" i="90" l="1"/>
  <c r="EJ66"/>
  <c r="EI68"/>
  <c r="EI69" s="1"/>
  <c r="EJ6"/>
  <c r="EJ54" s="1"/>
  <c r="U55" i="72"/>
  <c r="AE55" i="68"/>
  <c r="O56" i="70"/>
  <c r="N64" i="84"/>
  <c r="L65"/>
  <c r="K66"/>
  <c r="HR59"/>
  <c r="HQ66"/>
  <c r="HU58" i="86"/>
  <c r="K6" i="84"/>
  <c r="K54" s="1"/>
  <c r="J68"/>
  <c r="HS59" i="86"/>
  <c r="HR66"/>
  <c r="CR60"/>
  <c r="CQ66"/>
  <c r="M61" i="70"/>
  <c r="L62"/>
  <c r="L64" s="1"/>
  <c r="HT58" i="84"/>
  <c r="BC60"/>
  <c r="AG61"/>
  <c r="CT58" i="86"/>
  <c r="Q56" i="72"/>
  <c r="P62"/>
  <c r="P64" s="1"/>
  <c r="L58" i="86"/>
  <c r="K66"/>
  <c r="P63" i="84"/>
  <c r="M62" i="68"/>
  <c r="M64" s="1"/>
  <c r="N56"/>
  <c r="Q55" i="70"/>
  <c r="DV66" i="84"/>
  <c r="DW58"/>
  <c r="DN66" i="86"/>
  <c r="DO58"/>
  <c r="J6"/>
  <c r="J54" s="1"/>
  <c r="I68"/>
  <c r="T60" i="84"/>
  <c r="EA6" i="70"/>
  <c r="EA51" s="1"/>
  <c r="EY6" i="68"/>
  <c r="EY51" s="1"/>
  <c r="EL58" i="90" l="1"/>
  <c r="EK66"/>
  <c r="EJ68"/>
  <c r="EJ69" s="1"/>
  <c r="EK6"/>
  <c r="EK54" s="1"/>
  <c r="EZ6" i="68"/>
  <c r="EZ51" s="1"/>
  <c r="EB6" i="70"/>
  <c r="EB51" s="1"/>
  <c r="U60" i="84"/>
  <c r="J68" i="86"/>
  <c r="K6"/>
  <c r="K54" s="1"/>
  <c r="Q63" i="84"/>
  <c r="M58" i="86"/>
  <c r="L66"/>
  <c r="R56" i="72"/>
  <c r="Q62"/>
  <c r="Q64" s="1"/>
  <c r="CU58" i="86"/>
  <c r="AH61" i="84"/>
  <c r="BD60"/>
  <c r="HU58"/>
  <c r="N61" i="70"/>
  <c r="M62"/>
  <c r="M64" s="1"/>
  <c r="CS60" i="86"/>
  <c r="CR66"/>
  <c r="HT59"/>
  <c r="HS66"/>
  <c r="L6" i="84"/>
  <c r="L54" s="1"/>
  <c r="K68"/>
  <c r="HV58" i="86"/>
  <c r="HS59" i="84"/>
  <c r="HR66"/>
  <c r="M65"/>
  <c r="L66"/>
  <c r="O64"/>
  <c r="P56" i="70"/>
  <c r="V55" i="72"/>
  <c r="DO66" i="86"/>
  <c r="DP58"/>
  <c r="DX58" i="84"/>
  <c r="DW66"/>
  <c r="R55" i="70"/>
  <c r="N62" i="68"/>
  <c r="N64" s="1"/>
  <c r="O56"/>
  <c r="AF55"/>
  <c r="EM58" i="90" l="1"/>
  <c r="EL66"/>
  <c r="EK68"/>
  <c r="EK69" s="1"/>
  <c r="EL6"/>
  <c r="EL54" s="1"/>
  <c r="AG55" i="68"/>
  <c r="DX66" i="84"/>
  <c r="DY58"/>
  <c r="Q56" i="70"/>
  <c r="P64" i="84"/>
  <c r="N65"/>
  <c r="M66"/>
  <c r="HT59"/>
  <c r="HS66"/>
  <c r="HW58" i="86"/>
  <c r="M6" i="84"/>
  <c r="M54" s="1"/>
  <c r="L68"/>
  <c r="HU59" i="86"/>
  <c r="HT66"/>
  <c r="CT60"/>
  <c r="CS66"/>
  <c r="O61" i="70"/>
  <c r="N62"/>
  <c r="N64" s="1"/>
  <c r="HV58" i="84"/>
  <c r="BE60"/>
  <c r="AI61"/>
  <c r="CV58" i="86"/>
  <c r="S56" i="72"/>
  <c r="R62"/>
  <c r="R64" s="1"/>
  <c r="N58" i="86"/>
  <c r="M66"/>
  <c r="R63" i="84"/>
  <c r="EC6" i="70"/>
  <c r="EC51" s="1"/>
  <c r="FA6" i="68"/>
  <c r="FA51" s="1"/>
  <c r="O62"/>
  <c r="O64" s="1"/>
  <c r="P56"/>
  <c r="S55" i="70"/>
  <c r="DP66" i="86"/>
  <c r="DQ58"/>
  <c r="W55" i="72"/>
  <c r="L6" i="86"/>
  <c r="L54" s="1"/>
  <c r="K68"/>
  <c r="EN58" i="90" l="1"/>
  <c r="EM66"/>
  <c r="EL68"/>
  <c r="EL69" s="1"/>
  <c r="EM6"/>
  <c r="EM54" s="1"/>
  <c r="L68" i="86"/>
  <c r="M6"/>
  <c r="M54" s="1"/>
  <c r="X55" i="72"/>
  <c r="FB6" i="68"/>
  <c r="FB51" s="1"/>
  <c r="ED6" i="70"/>
  <c r="ED51" s="1"/>
  <c r="S63" i="84"/>
  <c r="O58" i="86"/>
  <c r="N66"/>
  <c r="T56" i="72"/>
  <c r="S62"/>
  <c r="S64" s="1"/>
  <c r="CW58" i="86"/>
  <c r="AJ61" i="84"/>
  <c r="BF60"/>
  <c r="HW58"/>
  <c r="P61" i="70"/>
  <c r="O62"/>
  <c r="O64" s="1"/>
  <c r="CU60" i="86"/>
  <c r="CT66"/>
  <c r="HV59"/>
  <c r="HU66"/>
  <c r="N6" i="84"/>
  <c r="N54" s="1"/>
  <c r="M68"/>
  <c r="HX58" i="86"/>
  <c r="HU59" i="84"/>
  <c r="HT66"/>
  <c r="O65"/>
  <c r="N66"/>
  <c r="Q64"/>
  <c r="R56" i="70"/>
  <c r="AH55" i="68"/>
  <c r="DQ66" i="86"/>
  <c r="DR58"/>
  <c r="T55" i="70"/>
  <c r="P62" i="68"/>
  <c r="P64" s="1"/>
  <c r="Q56"/>
  <c r="DZ58" i="84"/>
  <c r="DY66"/>
  <c r="EO58" i="90" l="1"/>
  <c r="EN66"/>
  <c r="EM68"/>
  <c r="EM69" s="1"/>
  <c r="EN6"/>
  <c r="EN54" s="1"/>
  <c r="U55" i="70"/>
  <c r="DZ66" i="84"/>
  <c r="EA58"/>
  <c r="AI55" i="68"/>
  <c r="S56" i="70"/>
  <c r="R64" i="84"/>
  <c r="P65"/>
  <c r="O66"/>
  <c r="HV59"/>
  <c r="HU66"/>
  <c r="HY58" i="86"/>
  <c r="O6" i="84"/>
  <c r="O54" s="1"/>
  <c r="N68"/>
  <c r="HW59" i="86"/>
  <c r="HV66"/>
  <c r="CV60"/>
  <c r="CU66"/>
  <c r="Q61" i="70"/>
  <c r="P62"/>
  <c r="P64" s="1"/>
  <c r="HX58" i="84"/>
  <c r="BG60"/>
  <c r="AK61"/>
  <c r="CX58" i="86"/>
  <c r="U56" i="72"/>
  <c r="T62"/>
  <c r="T64" s="1"/>
  <c r="P58" i="86"/>
  <c r="O66"/>
  <c r="T63" i="84"/>
  <c r="EE6" i="70"/>
  <c r="EE51" s="1"/>
  <c r="FC6" i="68"/>
  <c r="FC51" s="1"/>
  <c r="Y55" i="72"/>
  <c r="Q62" i="68"/>
  <c r="Q64" s="1"/>
  <c r="R56"/>
  <c r="DR66" i="86"/>
  <c r="DS58"/>
  <c r="N6"/>
  <c r="N54" s="1"/>
  <c r="M68"/>
  <c r="EP58" i="90" l="1"/>
  <c r="EO66"/>
  <c r="EN68"/>
  <c r="EN69" s="1"/>
  <c r="EO6"/>
  <c r="EO54" s="1"/>
  <c r="DS66" i="86"/>
  <c r="DT58"/>
  <c r="N68"/>
  <c r="O6"/>
  <c r="O54" s="1"/>
  <c r="Z55" i="72"/>
  <c r="FD6" i="68"/>
  <c r="FD51" s="1"/>
  <c r="EF6" i="70"/>
  <c r="EF51" s="1"/>
  <c r="U63" i="84"/>
  <c r="Q58" i="86"/>
  <c r="P66"/>
  <c r="V56" i="72"/>
  <c r="U62"/>
  <c r="U64" s="1"/>
  <c r="CY58" i="86"/>
  <c r="AL61" i="84"/>
  <c r="BH60"/>
  <c r="HY58"/>
  <c r="R61" i="70"/>
  <c r="Q62"/>
  <c r="Q64" s="1"/>
  <c r="CW60" i="86"/>
  <c r="CV66"/>
  <c r="HX59"/>
  <c r="HW66"/>
  <c r="P6" i="84"/>
  <c r="P54" s="1"/>
  <c r="O68"/>
  <c r="HZ58" i="86"/>
  <c r="HW59" i="84"/>
  <c r="HV66"/>
  <c r="Q65"/>
  <c r="P66"/>
  <c r="S64"/>
  <c r="T56" i="70"/>
  <c r="AJ55" i="68"/>
  <c r="S56"/>
  <c r="R62"/>
  <c r="R64" s="1"/>
  <c r="EA66" i="84"/>
  <c r="EB58"/>
  <c r="V55" i="70"/>
  <c r="EQ58" i="90" l="1"/>
  <c r="EP66"/>
  <c r="EO68"/>
  <c r="EO69" s="1"/>
  <c r="EP6"/>
  <c r="EP54" s="1"/>
  <c r="W55" i="70"/>
  <c r="EB66" i="84"/>
  <c r="EC58"/>
  <c r="S62" i="68"/>
  <c r="S64" s="1"/>
  <c r="T56"/>
  <c r="AK55"/>
  <c r="U56" i="70"/>
  <c r="T64" i="84"/>
  <c r="R65"/>
  <c r="Q66"/>
  <c r="HX59"/>
  <c r="HW66"/>
  <c r="IA58" i="86"/>
  <c r="Q6" i="84"/>
  <c r="Q54" s="1"/>
  <c r="P68"/>
  <c r="HY59" i="86"/>
  <c r="HX66"/>
  <c r="CX60"/>
  <c r="CW66"/>
  <c r="S61" i="70"/>
  <c r="R62"/>
  <c r="R64" s="1"/>
  <c r="HZ58" i="84"/>
  <c r="BI60"/>
  <c r="CZ58" i="86"/>
  <c r="W56" i="72"/>
  <c r="V62"/>
  <c r="V64" s="1"/>
  <c r="R58" i="86"/>
  <c r="Q66"/>
  <c r="V63" i="84"/>
  <c r="EG6" i="70"/>
  <c r="EG51" s="1"/>
  <c r="FE6" i="68"/>
  <c r="FE51" s="1"/>
  <c r="AM61" i="84"/>
  <c r="AA55" i="72"/>
  <c r="P6" i="86"/>
  <c r="P54" s="1"/>
  <c r="O68"/>
  <c r="DT66"/>
  <c r="DU58"/>
  <c r="ER58" i="90" l="1"/>
  <c r="EQ66"/>
  <c r="EP68"/>
  <c r="EP69" s="1"/>
  <c r="EQ6"/>
  <c r="EQ54" s="1"/>
  <c r="DV58" i="86"/>
  <c r="DU66"/>
  <c r="AN61" i="84"/>
  <c r="DA58" i="86"/>
  <c r="IB58"/>
  <c r="P68"/>
  <c r="Q6"/>
  <c r="Q54" s="1"/>
  <c r="AB55" i="72"/>
  <c r="EH6" i="70"/>
  <c r="EH51" s="1"/>
  <c r="W63" i="84"/>
  <c r="S58" i="86"/>
  <c r="R66"/>
  <c r="X56" i="72"/>
  <c r="W62"/>
  <c r="W64" s="1"/>
  <c r="BJ60" i="84"/>
  <c r="IA58"/>
  <c r="T61" i="70"/>
  <c r="S62"/>
  <c r="S64" s="1"/>
  <c r="CY60" i="86"/>
  <c r="CX66"/>
  <c r="HZ59"/>
  <c r="HY66"/>
  <c r="R6" i="84"/>
  <c r="R54" s="1"/>
  <c r="Q68"/>
  <c r="HY59"/>
  <c r="HX66"/>
  <c r="S65"/>
  <c r="R66"/>
  <c r="U64"/>
  <c r="V56" i="70"/>
  <c r="AL55" i="68"/>
  <c r="FF6"/>
  <c r="FF51" s="1"/>
  <c r="U56"/>
  <c r="T62"/>
  <c r="T64" s="1"/>
  <c r="EC66" i="84"/>
  <c r="ED58"/>
  <c r="X55" i="70"/>
  <c r="ES58" i="90" l="1"/>
  <c r="ER66"/>
  <c r="EQ68"/>
  <c r="ER6"/>
  <c r="ER54" s="1"/>
  <c r="U62" i="68"/>
  <c r="U64" s="1"/>
  <c r="V56"/>
  <c r="FG6"/>
  <c r="FG51" s="1"/>
  <c r="AM55"/>
  <c r="W56" i="70"/>
  <c r="V64" i="84"/>
  <c r="T65"/>
  <c r="S66"/>
  <c r="HZ59"/>
  <c r="HY66"/>
  <c r="S6"/>
  <c r="S54" s="1"/>
  <c r="R68"/>
  <c r="IA59" i="86"/>
  <c r="HZ66"/>
  <c r="CZ60"/>
  <c r="CY66"/>
  <c r="U61" i="70"/>
  <c r="T62"/>
  <c r="T64" s="1"/>
  <c r="IB58" i="84"/>
  <c r="BK60"/>
  <c r="Y56" i="72"/>
  <c r="X62"/>
  <c r="X64" s="1"/>
  <c r="S66" i="86"/>
  <c r="T58"/>
  <c r="X63" i="84"/>
  <c r="EI6" i="70"/>
  <c r="EI51" s="1"/>
  <c r="AO61" i="84"/>
  <c r="DW58" i="86"/>
  <c r="DV66"/>
  <c r="Y55" i="70"/>
  <c r="ED66" i="84"/>
  <c r="EE58"/>
  <c r="AC55" i="72"/>
  <c r="Q68" i="86"/>
  <c r="R6"/>
  <c r="R54" s="1"/>
  <c r="IC58"/>
  <c r="DB58"/>
  <c r="EQ69" i="90" l="1"/>
  <c r="S13" i="91" s="1"/>
  <c r="W13"/>
  <c r="ET58" i="90"/>
  <c r="ES66"/>
  <c r="ER68"/>
  <c r="ER69" s="1"/>
  <c r="ES6"/>
  <c r="ES54" s="1"/>
  <c r="AD55" i="72"/>
  <c r="DX58" i="86"/>
  <c r="DW66"/>
  <c r="AP61" i="84"/>
  <c r="EJ6" i="70"/>
  <c r="EJ51" s="1"/>
  <c r="Y63" i="84"/>
  <c r="Z56" i="72"/>
  <c r="Y62"/>
  <c r="Y64" s="1"/>
  <c r="BL60" i="84"/>
  <c r="IC58"/>
  <c r="V61" i="70"/>
  <c r="U62"/>
  <c r="U64" s="1"/>
  <c r="DA60" i="86"/>
  <c r="CZ66"/>
  <c r="IB59"/>
  <c r="IA66"/>
  <c r="T6" i="84"/>
  <c r="T54" s="1"/>
  <c r="S68"/>
  <c r="IA59"/>
  <c r="HZ66"/>
  <c r="U65"/>
  <c r="T66"/>
  <c r="W64"/>
  <c r="X56" i="70"/>
  <c r="AN55" i="68"/>
  <c r="FH6"/>
  <c r="FH51" s="1"/>
  <c r="DC58" i="86"/>
  <c r="ID58"/>
  <c r="S6"/>
  <c r="S54" s="1"/>
  <c r="R68"/>
  <c r="EE66" i="84"/>
  <c r="EF58"/>
  <c r="Z55" i="70"/>
  <c r="T66" i="86"/>
  <c r="U58"/>
  <c r="V62" i="68"/>
  <c r="V64" s="1"/>
  <c r="W56"/>
  <c r="EU58" i="90" l="1"/>
  <c r="ET66"/>
  <c r="ES68"/>
  <c r="ES69" s="1"/>
  <c r="ET6"/>
  <c r="ET54" s="1"/>
  <c r="S68" i="86"/>
  <c r="T6"/>
  <c r="T54" s="1"/>
  <c r="FI6" i="68"/>
  <c r="FI51" s="1"/>
  <c r="Y56" i="70"/>
  <c r="X64" i="84"/>
  <c r="V65"/>
  <c r="U66"/>
  <c r="IB59"/>
  <c r="IA66"/>
  <c r="U6"/>
  <c r="U54" s="1"/>
  <c r="T68"/>
  <c r="IC59" i="86"/>
  <c r="IB66"/>
  <c r="DB60"/>
  <c r="DA66"/>
  <c r="W61" i="70"/>
  <c r="V62"/>
  <c r="V64" s="1"/>
  <c r="ID58" i="84"/>
  <c r="BM60"/>
  <c r="AA56" i="72"/>
  <c r="Z62"/>
  <c r="Z64" s="1"/>
  <c r="Z63" i="84"/>
  <c r="EK6" i="70"/>
  <c r="EK51" s="1"/>
  <c r="AQ61" i="84"/>
  <c r="DY58" i="86"/>
  <c r="DX66"/>
  <c r="X56" i="68"/>
  <c r="W62"/>
  <c r="W64" s="1"/>
  <c r="U66" i="86"/>
  <c r="V58"/>
  <c r="AA55" i="70"/>
  <c r="EG58" i="84"/>
  <c r="EF66"/>
  <c r="IE58" i="86"/>
  <c r="DD58"/>
  <c r="AO55" i="68"/>
  <c r="AE55" i="72"/>
  <c r="EV58" i="90" l="1"/>
  <c r="EU66"/>
  <c r="ET68"/>
  <c r="ET69" s="1"/>
  <c r="EU6"/>
  <c r="EU54" s="1"/>
  <c r="AF55" i="72"/>
  <c r="AP55" i="68"/>
  <c r="EG66" i="84"/>
  <c r="EH58"/>
  <c r="X62" i="68"/>
  <c r="X64" s="1"/>
  <c r="Y56"/>
  <c r="DY66" i="86"/>
  <c r="DZ58"/>
  <c r="AR61" i="84"/>
  <c r="EL6" i="70"/>
  <c r="EL51" s="1"/>
  <c r="AA63" i="84"/>
  <c r="AB56" i="72"/>
  <c r="AA62"/>
  <c r="AA64" s="1"/>
  <c r="BN60" i="84"/>
  <c r="X61" i="70"/>
  <c r="W62"/>
  <c r="W64" s="1"/>
  <c r="DC60" i="86"/>
  <c r="DB66"/>
  <c r="ID59"/>
  <c r="IC66"/>
  <c r="V6" i="84"/>
  <c r="V54" s="1"/>
  <c r="U68"/>
  <c r="IC59"/>
  <c r="IB66"/>
  <c r="W65"/>
  <c r="V66"/>
  <c r="Y64"/>
  <c r="Z56" i="70"/>
  <c r="IF58" i="86"/>
  <c r="AB55" i="70"/>
  <c r="V66" i="86"/>
  <c r="W58"/>
  <c r="IE58" i="84"/>
  <c r="FJ6" i="68"/>
  <c r="FJ51" s="1"/>
  <c r="U6" i="86"/>
  <c r="U54" s="1"/>
  <c r="T68"/>
  <c r="EW58" i="90" l="1"/>
  <c r="EV66"/>
  <c r="EU68"/>
  <c r="EU69" s="1"/>
  <c r="EV6"/>
  <c r="EV54" s="1"/>
  <c r="V6" i="86"/>
  <c r="V54" s="1"/>
  <c r="U68"/>
  <c r="IF58" i="84"/>
  <c r="IG58" i="86"/>
  <c r="AA56" i="70"/>
  <c r="Z64" i="84"/>
  <c r="X65"/>
  <c r="W66"/>
  <c r="ID59"/>
  <c r="IC66"/>
  <c r="W6"/>
  <c r="W54" s="1"/>
  <c r="V68"/>
  <c r="IE59" i="86"/>
  <c r="ID66"/>
  <c r="DD60"/>
  <c r="DC66"/>
  <c r="Y61" i="70"/>
  <c r="X62"/>
  <c r="X64" s="1"/>
  <c r="BO60" i="84"/>
  <c r="AC56" i="72"/>
  <c r="AB62"/>
  <c r="AB64" s="1"/>
  <c r="EM6" i="70"/>
  <c r="EM51" s="1"/>
  <c r="AG55" i="72"/>
  <c r="FK6" i="68"/>
  <c r="FK51" s="1"/>
  <c r="X58" i="86"/>
  <c r="W66"/>
  <c r="AC55" i="70"/>
  <c r="AB63" i="84"/>
  <c r="DZ66" i="86"/>
  <c r="EA58"/>
  <c r="Z56" i="68"/>
  <c r="Y62"/>
  <c r="Y64" s="1"/>
  <c r="EI58" i="84"/>
  <c r="EH66"/>
  <c r="AQ55" i="68"/>
  <c r="EX58" i="90" l="1"/>
  <c r="EW66"/>
  <c r="EV68"/>
  <c r="EV69" s="1"/>
  <c r="EW6"/>
  <c r="EW54" s="1"/>
  <c r="AR55" i="68"/>
  <c r="EJ58" i="84"/>
  <c r="EI66"/>
  <c r="AA56" i="68"/>
  <c r="Z62"/>
  <c r="Z64" s="1"/>
  <c r="AC63" i="84"/>
  <c r="Y58" i="86"/>
  <c r="X66"/>
  <c r="AH55" i="72"/>
  <c r="EN6" i="70"/>
  <c r="EN51" s="1"/>
  <c r="AD56" i="72"/>
  <c r="AC62"/>
  <c r="AC64" s="1"/>
  <c r="BP60" i="84"/>
  <c r="Z61" i="70"/>
  <c r="Y62"/>
  <c r="Y64" s="1"/>
  <c r="DE60" i="86"/>
  <c r="DD66"/>
  <c r="IF59"/>
  <c r="IE66"/>
  <c r="X6" i="84"/>
  <c r="X54" s="1"/>
  <c r="W68"/>
  <c r="IE59"/>
  <c r="ID66"/>
  <c r="Y65"/>
  <c r="X66"/>
  <c r="AA64"/>
  <c r="AB56" i="70"/>
  <c r="IG58" i="84"/>
  <c r="V68" i="86"/>
  <c r="W6"/>
  <c r="W54" s="1"/>
  <c r="EB58"/>
  <c r="EA66"/>
  <c r="AD55" i="70"/>
  <c r="FL6" i="68"/>
  <c r="FL51" s="1"/>
  <c r="IH58" i="86"/>
  <c r="EY58" i="90" l="1"/>
  <c r="EX66"/>
  <c r="EW68"/>
  <c r="EW69" s="1"/>
  <c r="EX6"/>
  <c r="EX54" s="1"/>
  <c r="FM6" i="68"/>
  <c r="FM51" s="1"/>
  <c r="W68" i="86"/>
  <c r="X6"/>
  <c r="X54" s="1"/>
  <c r="II58"/>
  <c r="EB66"/>
  <c r="EC58"/>
  <c r="IH58" i="84"/>
  <c r="AC56" i="70"/>
  <c r="AB64" i="84"/>
  <c r="Z65"/>
  <c r="Y66"/>
  <c r="IF59"/>
  <c r="IE66"/>
  <c r="Y6"/>
  <c r="Y54" s="1"/>
  <c r="X68"/>
  <c r="IG59" i="86"/>
  <c r="IF66"/>
  <c r="DE66"/>
  <c r="DF60"/>
  <c r="AA61" i="70"/>
  <c r="Z62"/>
  <c r="Z64" s="1"/>
  <c r="BQ60" i="84"/>
  <c r="AE56" i="72"/>
  <c r="AD62"/>
  <c r="AD64" s="1"/>
  <c r="EO6" i="70"/>
  <c r="EO51" s="1"/>
  <c r="Y66" i="86"/>
  <c r="Z58"/>
  <c r="AD63" i="84"/>
  <c r="AB56" i="68"/>
  <c r="AA62"/>
  <c r="AA64" s="1"/>
  <c r="EK58" i="84"/>
  <c r="EJ66"/>
  <c r="AS55" i="68"/>
  <c r="AE55" i="70"/>
  <c r="AI55" i="72"/>
  <c r="EZ58" i="90" l="1"/>
  <c r="EY66"/>
  <c r="EX68"/>
  <c r="EX69" s="1"/>
  <c r="EY6"/>
  <c r="EY54" s="1"/>
  <c r="AF55" i="70"/>
  <c r="AT55" i="68"/>
  <c r="EK66" i="84"/>
  <c r="EL58"/>
  <c r="AC56" i="68"/>
  <c r="AB62"/>
  <c r="AB64" s="1"/>
  <c r="AE63" i="84"/>
  <c r="AF56" i="72"/>
  <c r="AE62"/>
  <c r="AE64" s="1"/>
  <c r="BR60" i="84"/>
  <c r="AB61" i="70"/>
  <c r="AA62"/>
  <c r="AA64" s="1"/>
  <c r="IH59" i="86"/>
  <c r="IG66"/>
  <c r="Y68" i="84"/>
  <c r="Z6"/>
  <c r="Z54" s="1"/>
  <c r="IG59"/>
  <c r="IF66"/>
  <c r="AA65"/>
  <c r="Z66"/>
  <c r="AC64"/>
  <c r="AD56" i="70"/>
  <c r="II58" i="84"/>
  <c r="IJ58" i="86"/>
  <c r="FN6" i="68"/>
  <c r="FN51" s="1"/>
  <c r="AJ55" i="72"/>
  <c r="AA58" i="86"/>
  <c r="Z66"/>
  <c r="EP6" i="70"/>
  <c r="EP51" s="1"/>
  <c r="DF66" i="86"/>
  <c r="DG60"/>
  <c r="EC66"/>
  <c r="ED58"/>
  <c r="X68"/>
  <c r="Y6"/>
  <c r="Y54" s="1"/>
  <c r="FA58" i="90" l="1"/>
  <c r="EZ66"/>
  <c r="EY68"/>
  <c r="EY69" s="1"/>
  <c r="EZ6"/>
  <c r="EZ54" s="1"/>
  <c r="ED66" i="86"/>
  <c r="EE58"/>
  <c r="DH60"/>
  <c r="DG66"/>
  <c r="FO6" i="68"/>
  <c r="FO51" s="1"/>
  <c r="EQ6" i="70"/>
  <c r="EQ51" s="1"/>
  <c r="AB58" i="86"/>
  <c r="AA66"/>
  <c r="AK55" i="72"/>
  <c r="IK58" i="86"/>
  <c r="IJ58" i="84"/>
  <c r="AE56" i="70"/>
  <c r="AD64" i="84"/>
  <c r="AB65"/>
  <c r="AA66"/>
  <c r="IH59"/>
  <c r="IG66"/>
  <c r="II59" i="86"/>
  <c r="IH66"/>
  <c r="AC61" i="70"/>
  <c r="AB62"/>
  <c r="AB64" s="1"/>
  <c r="BS60" i="84"/>
  <c r="AG56" i="72"/>
  <c r="AF62"/>
  <c r="AF64" s="1"/>
  <c r="AF63" i="84"/>
  <c r="AD56" i="68"/>
  <c r="AC62"/>
  <c r="AC64" s="1"/>
  <c r="AU55"/>
  <c r="Z6" i="86"/>
  <c r="Z54" s="1"/>
  <c r="Y68"/>
  <c r="AA6" i="84"/>
  <c r="AA54" s="1"/>
  <c r="Z68"/>
  <c r="EM58"/>
  <c r="EL66"/>
  <c r="AG55" i="70"/>
  <c r="FB58" i="90" l="1"/>
  <c r="FA66"/>
  <c r="EZ68"/>
  <c r="EZ69" s="1"/>
  <c r="FA6"/>
  <c r="FA54" s="1"/>
  <c r="EM66" i="84"/>
  <c r="EN58"/>
  <c r="AB6"/>
  <c r="AB54" s="1"/>
  <c r="AA68"/>
  <c r="Z68" i="86"/>
  <c r="AA6"/>
  <c r="AA54" s="1"/>
  <c r="AV55" i="68"/>
  <c r="AE56"/>
  <c r="AD62"/>
  <c r="AD64" s="1"/>
  <c r="AG63" i="84"/>
  <c r="AH56" i="72"/>
  <c r="AG62"/>
  <c r="AG64" s="1"/>
  <c r="BT60" i="84"/>
  <c r="AD61" i="70"/>
  <c r="AC62"/>
  <c r="AC64" s="1"/>
  <c r="IJ59" i="86"/>
  <c r="II66"/>
  <c r="II59" i="84"/>
  <c r="IH66"/>
  <c r="AC65"/>
  <c r="AB66"/>
  <c r="AE64"/>
  <c r="AF56" i="70"/>
  <c r="IK58" i="84"/>
  <c r="IL58" i="86"/>
  <c r="AL55" i="72"/>
  <c r="AC58" i="86"/>
  <c r="AB66"/>
  <c r="FP6" i="68"/>
  <c r="FP51" s="1"/>
  <c r="DI60" i="86"/>
  <c r="DH66"/>
  <c r="AH55" i="70"/>
  <c r="ER6"/>
  <c r="ER51" s="1"/>
  <c r="EF58" i="86"/>
  <c r="EE66"/>
  <c r="FC58" i="90" l="1"/>
  <c r="FB66"/>
  <c r="FA68"/>
  <c r="FA69" s="1"/>
  <c r="FB6"/>
  <c r="FB54" s="1"/>
  <c r="AI55" i="70"/>
  <c r="FQ6" i="68"/>
  <c r="FQ51" s="1"/>
  <c r="AM55" i="72"/>
  <c r="EG58" i="86"/>
  <c r="EF66"/>
  <c r="ES6" i="70"/>
  <c r="ES51" s="1"/>
  <c r="DJ60" i="86"/>
  <c r="DI66"/>
  <c r="AD58"/>
  <c r="AC66"/>
  <c r="IM58"/>
  <c r="IL58" i="84"/>
  <c r="AG56" i="70"/>
  <c r="AF64" i="84"/>
  <c r="AD65"/>
  <c r="AC66"/>
  <c r="IJ59"/>
  <c r="II66"/>
  <c r="IK59" i="86"/>
  <c r="IJ66"/>
  <c r="AE61" i="70"/>
  <c r="AD62"/>
  <c r="AD64" s="1"/>
  <c r="BU60" i="84"/>
  <c r="AI56" i="72"/>
  <c r="AH62"/>
  <c r="AH64" s="1"/>
  <c r="AH63" i="84"/>
  <c r="AF56" i="68"/>
  <c r="AE62"/>
  <c r="AE64" s="1"/>
  <c r="AW55"/>
  <c r="AC6" i="84"/>
  <c r="AC54" s="1"/>
  <c r="AB68"/>
  <c r="AB6" i="86"/>
  <c r="AB54" s="1"/>
  <c r="AA68"/>
  <c r="EO58" i="84"/>
  <c r="EN66"/>
  <c r="FD58" i="90" l="1"/>
  <c r="FC66"/>
  <c r="FB68"/>
  <c r="FB69" s="1"/>
  <c r="FC6"/>
  <c r="FC54" s="1"/>
  <c r="EO66" i="84"/>
  <c r="EP58"/>
  <c r="AC6" i="86"/>
  <c r="AC54" s="1"/>
  <c r="AB68"/>
  <c r="AD6" i="84"/>
  <c r="AD54" s="1"/>
  <c r="AC68"/>
  <c r="AG56" i="68"/>
  <c r="AF62"/>
  <c r="AF64" s="1"/>
  <c r="AI63" i="84"/>
  <c r="AJ56" i="72"/>
  <c r="AI62"/>
  <c r="AI64" s="1"/>
  <c r="BV60" i="84"/>
  <c r="AF61" i="70"/>
  <c r="AE62"/>
  <c r="AE64" s="1"/>
  <c r="IL59" i="86"/>
  <c r="IK66"/>
  <c r="IK59" i="84"/>
  <c r="IJ66"/>
  <c r="AE65"/>
  <c r="AD66"/>
  <c r="AG64"/>
  <c r="AH56" i="70"/>
  <c r="IM58" i="84"/>
  <c r="IN58" i="86"/>
  <c r="AE58"/>
  <c r="AD66"/>
  <c r="DK60"/>
  <c r="DJ66"/>
  <c r="EH58"/>
  <c r="EG66"/>
  <c r="FR6" i="68"/>
  <c r="FR51" s="1"/>
  <c r="AJ55" i="70"/>
  <c r="AX55" i="68"/>
  <c r="ET6" i="70"/>
  <c r="ET51" s="1"/>
  <c r="AN55" i="72"/>
  <c r="FE58" i="90" l="1"/>
  <c r="FD66"/>
  <c r="FC68"/>
  <c r="FC69" s="1"/>
  <c r="FD6"/>
  <c r="FD54" s="1"/>
  <c r="AO55" i="72"/>
  <c r="EU6" i="70"/>
  <c r="EU51" s="1"/>
  <c r="AY55" i="68"/>
  <c r="FS6"/>
  <c r="FS51" s="1"/>
  <c r="EI58" i="86"/>
  <c r="EH66"/>
  <c r="DL60"/>
  <c r="DK66"/>
  <c r="AF58"/>
  <c r="AE66"/>
  <c r="IO58"/>
  <c r="IN58" i="84"/>
  <c r="AI56" i="70"/>
  <c r="AH64" i="84"/>
  <c r="AF65"/>
  <c r="AE66"/>
  <c r="IL59"/>
  <c r="IK66"/>
  <c r="IM59" i="86"/>
  <c r="IL66"/>
  <c r="AG61" i="70"/>
  <c r="AF62"/>
  <c r="AF64" s="1"/>
  <c r="AK56" i="72"/>
  <c r="AJ62"/>
  <c r="AJ64" s="1"/>
  <c r="AJ63" i="84"/>
  <c r="AH56" i="68"/>
  <c r="AG62"/>
  <c r="AG64" s="1"/>
  <c r="AE6" i="84"/>
  <c r="AE54" s="1"/>
  <c r="AD68"/>
  <c r="AD6" i="86"/>
  <c r="AD54" s="1"/>
  <c r="AC68"/>
  <c r="AK55" i="70"/>
  <c r="BW60" i="84"/>
  <c r="EQ58"/>
  <c r="EP66"/>
  <c r="FF58" i="90" l="1"/>
  <c r="FE66"/>
  <c r="FD68"/>
  <c r="FD69" s="1"/>
  <c r="FE6"/>
  <c r="FE54" s="1"/>
  <c r="EQ66" i="84"/>
  <c r="ER58"/>
  <c r="BX60"/>
  <c r="AL55" i="70"/>
  <c r="AE6" i="86"/>
  <c r="AE54" s="1"/>
  <c r="AD68"/>
  <c r="AE68" i="84"/>
  <c r="AF6"/>
  <c r="AF54" s="1"/>
  <c r="AI56" i="68"/>
  <c r="AH62"/>
  <c r="AH64" s="1"/>
  <c r="AK63" i="84"/>
  <c r="AL56" i="72"/>
  <c r="AK62"/>
  <c r="AK64" s="1"/>
  <c r="AH61" i="70"/>
  <c r="AG62"/>
  <c r="AG64" s="1"/>
  <c r="IN59" i="86"/>
  <c r="IM66"/>
  <c r="IM59" i="84"/>
  <c r="IL66"/>
  <c r="AG65"/>
  <c r="AF66"/>
  <c r="AI64"/>
  <c r="AJ56" i="70"/>
  <c r="IO58" i="84"/>
  <c r="IP58" i="86"/>
  <c r="AG58"/>
  <c r="AF66"/>
  <c r="DM60"/>
  <c r="DM66" s="1"/>
  <c r="DL66"/>
  <c r="EJ58"/>
  <c r="EI66"/>
  <c r="FT6" i="68"/>
  <c r="FT51" s="1"/>
  <c r="AZ55"/>
  <c r="EV6" i="70"/>
  <c r="EV51" s="1"/>
  <c r="AP55" i="72"/>
  <c r="FG58" i="90" l="1"/>
  <c r="FF66"/>
  <c r="FE68"/>
  <c r="FE69" s="1"/>
  <c r="FF6"/>
  <c r="FF54" s="1"/>
  <c r="AQ55" i="72"/>
  <c r="EW6" i="70"/>
  <c r="EW51" s="1"/>
  <c r="BA55" i="68"/>
  <c r="FU6"/>
  <c r="FU51" s="1"/>
  <c r="EK58" i="86"/>
  <c r="EJ66"/>
  <c r="AH58"/>
  <c r="AG66"/>
  <c r="IQ58"/>
  <c r="IP58" i="84"/>
  <c r="AK56" i="70"/>
  <c r="AJ64" i="84"/>
  <c r="AH65"/>
  <c r="AG66"/>
  <c r="IN59"/>
  <c r="IM66"/>
  <c r="IO59" i="86"/>
  <c r="IN66"/>
  <c r="AI61" i="70"/>
  <c r="AH62"/>
  <c r="AH64" s="1"/>
  <c r="AM56" i="72"/>
  <c r="AL62"/>
  <c r="AL64" s="1"/>
  <c r="AL63" i="84"/>
  <c r="AJ56" i="68"/>
  <c r="AI62"/>
  <c r="AI64" s="1"/>
  <c r="AE68" i="86"/>
  <c r="AF6"/>
  <c r="AF54" s="1"/>
  <c r="AM55" i="70"/>
  <c r="AF68" i="84"/>
  <c r="AG6"/>
  <c r="AG54" s="1"/>
  <c r="BY60"/>
  <c r="ER66"/>
  <c r="ES58"/>
  <c r="FH58" i="90" l="1"/>
  <c r="FG66"/>
  <c r="FF68"/>
  <c r="FF69" s="1"/>
  <c r="FG6"/>
  <c r="FG54" s="1"/>
  <c r="ET58" i="84"/>
  <c r="ES66"/>
  <c r="AG68"/>
  <c r="AH6"/>
  <c r="AH54" s="1"/>
  <c r="AN55" i="70"/>
  <c r="BZ60" i="84"/>
  <c r="AK56" i="68"/>
  <c r="AJ62"/>
  <c r="AJ64" s="1"/>
  <c r="AM63" i="84"/>
  <c r="AN56" i="72"/>
  <c r="AM62"/>
  <c r="AM64" s="1"/>
  <c r="AJ61" i="70"/>
  <c r="AI62"/>
  <c r="AI64" s="1"/>
  <c r="IP59" i="86"/>
  <c r="IO66"/>
  <c r="IO59" i="84"/>
  <c r="IN66"/>
  <c r="AI65"/>
  <c r="AH66"/>
  <c r="AK64"/>
  <c r="AL56" i="70"/>
  <c r="AI58" i="86"/>
  <c r="AH66"/>
  <c r="EK66"/>
  <c r="EL58"/>
  <c r="FV6" i="68"/>
  <c r="FV51" s="1"/>
  <c r="BB55"/>
  <c r="AF68" i="86"/>
  <c r="AG6"/>
  <c r="AG54" s="1"/>
  <c r="IQ58" i="84"/>
  <c r="IR58" i="86"/>
  <c r="EX6" i="70"/>
  <c r="EX51" s="1"/>
  <c r="AR55" i="72"/>
  <c r="FI58" i="90" l="1"/>
  <c r="FH66"/>
  <c r="FG68"/>
  <c r="FG69" s="1"/>
  <c r="FH6"/>
  <c r="FH54" s="1"/>
  <c r="IS58" i="86"/>
  <c r="AG68"/>
  <c r="AH6"/>
  <c r="AH54" s="1"/>
  <c r="BC55" i="68"/>
  <c r="EL66" i="86"/>
  <c r="EM58"/>
  <c r="AS55" i="72"/>
  <c r="EY6" i="70"/>
  <c r="EY51" s="1"/>
  <c r="IR58" i="84"/>
  <c r="FW6" i="68"/>
  <c r="FW51" s="1"/>
  <c r="AI66" i="86"/>
  <c r="AJ58"/>
  <c r="AM56" i="70"/>
  <c r="AL64" i="84"/>
  <c r="AJ65"/>
  <c r="AI66"/>
  <c r="IP59"/>
  <c r="IO66"/>
  <c r="IQ59" i="86"/>
  <c r="IP66"/>
  <c r="AK61" i="70"/>
  <c r="AJ62"/>
  <c r="AJ64" s="1"/>
  <c r="AO56" i="72"/>
  <c r="AN62"/>
  <c r="AN64" s="1"/>
  <c r="AN63" i="84"/>
  <c r="AL56" i="68"/>
  <c r="AK62"/>
  <c r="AK64" s="1"/>
  <c r="EU58" i="84"/>
  <c r="ET66"/>
  <c r="CA60"/>
  <c r="AO55" i="70"/>
  <c r="AH68" i="84"/>
  <c r="AI6"/>
  <c r="AI54" s="1"/>
  <c r="FJ58" i="90" l="1"/>
  <c r="FI66"/>
  <c r="FH68"/>
  <c r="FH69" s="1"/>
  <c r="FI6"/>
  <c r="FI54" s="1"/>
  <c r="AP55" i="70"/>
  <c r="CB60" i="84"/>
  <c r="EU66"/>
  <c r="EV58"/>
  <c r="AM56" i="68"/>
  <c r="AL62"/>
  <c r="AL64" s="1"/>
  <c r="AO63" i="84"/>
  <c r="AP56" i="72"/>
  <c r="AO62"/>
  <c r="AO64" s="1"/>
  <c r="AL61" i="70"/>
  <c r="AK62"/>
  <c r="AK64" s="1"/>
  <c r="IR59" i="86"/>
  <c r="IQ66"/>
  <c r="IQ59" i="84"/>
  <c r="IP66"/>
  <c r="AK65"/>
  <c r="AJ66"/>
  <c r="AM64"/>
  <c r="AN56" i="70"/>
  <c r="FX6" i="68"/>
  <c r="FX51" s="1"/>
  <c r="IS58" i="84"/>
  <c r="EZ6" i="70"/>
  <c r="EZ51" s="1"/>
  <c r="AT55" i="72"/>
  <c r="BD55" i="68"/>
  <c r="IT58" i="86"/>
  <c r="AJ6" i="84"/>
  <c r="AJ54" s="1"/>
  <c r="AI68"/>
  <c r="AJ66" i="86"/>
  <c r="AK58"/>
  <c r="EN58"/>
  <c r="EM66"/>
  <c r="AI6"/>
  <c r="AI54" s="1"/>
  <c r="AH68"/>
  <c r="FK58" i="90" l="1"/>
  <c r="FJ66"/>
  <c r="FI68"/>
  <c r="FI69" s="1"/>
  <c r="FJ6"/>
  <c r="FJ54" s="1"/>
  <c r="AJ6" i="86"/>
  <c r="AJ54" s="1"/>
  <c r="AI68"/>
  <c r="EN66"/>
  <c r="EO58"/>
  <c r="AK6" i="84"/>
  <c r="AK54" s="1"/>
  <c r="AJ68"/>
  <c r="FA6" i="70"/>
  <c r="FA51" s="1"/>
  <c r="IT58" i="84"/>
  <c r="FY6" i="68"/>
  <c r="FY51" s="1"/>
  <c r="AO56" i="70"/>
  <c r="AN64" i="84"/>
  <c r="AL65"/>
  <c r="AK66"/>
  <c r="IR59"/>
  <c r="IQ66"/>
  <c r="IS59" i="86"/>
  <c r="IR66"/>
  <c r="AM61" i="70"/>
  <c r="AL62"/>
  <c r="AL64" s="1"/>
  <c r="AQ56" i="72"/>
  <c r="AP62"/>
  <c r="AP64" s="1"/>
  <c r="AP63" i="84"/>
  <c r="AN56" i="68"/>
  <c r="AM62"/>
  <c r="AM64" s="1"/>
  <c r="AL58" i="86"/>
  <c r="AK66"/>
  <c r="BE55" i="68"/>
  <c r="AU55" i="72"/>
  <c r="EV66" i="84"/>
  <c r="EW58"/>
  <c r="CC60"/>
  <c r="AQ55" i="70"/>
  <c r="FL58" i="90" l="1"/>
  <c r="FK66"/>
  <c r="FJ68"/>
  <c r="FJ69" s="1"/>
  <c r="FK6"/>
  <c r="FK54" s="1"/>
  <c r="CD60" i="84"/>
  <c r="EX58"/>
  <c r="EW66"/>
  <c r="AV55" i="72"/>
  <c r="FB6" i="70"/>
  <c r="FB51" s="1"/>
  <c r="AK68" i="84"/>
  <c r="AL6"/>
  <c r="AL54" s="1"/>
  <c r="AJ68" i="86"/>
  <c r="AK6"/>
  <c r="AK54" s="1"/>
  <c r="AR55" i="70"/>
  <c r="BF55" i="68"/>
  <c r="AL66" i="86"/>
  <c r="AM58"/>
  <c r="AO56" i="68"/>
  <c r="AN62"/>
  <c r="AN64" s="1"/>
  <c r="AQ63" i="84"/>
  <c r="AR56" i="72"/>
  <c r="AQ62"/>
  <c r="AQ64" s="1"/>
  <c r="AN61" i="70"/>
  <c r="AM62"/>
  <c r="AM64" s="1"/>
  <c r="IT59" i="86"/>
  <c r="IS66"/>
  <c r="IS59" i="84"/>
  <c r="IR66"/>
  <c r="AM65"/>
  <c r="AL66"/>
  <c r="AO64"/>
  <c r="AP56" i="70"/>
  <c r="FZ6" i="68"/>
  <c r="FZ51" s="1"/>
  <c r="EO66" i="86"/>
  <c r="EP58"/>
  <c r="FM58" i="90" l="1"/>
  <c r="FL66"/>
  <c r="FK68"/>
  <c r="FK69" s="1"/>
  <c r="FL6"/>
  <c r="FL54" s="1"/>
  <c r="EP66" i="86"/>
  <c r="EQ58"/>
  <c r="AM66"/>
  <c r="AN58"/>
  <c r="BG55" i="68"/>
  <c r="AS55" i="70"/>
  <c r="FC6"/>
  <c r="FC51" s="1"/>
  <c r="AW55" i="72"/>
  <c r="EX66" i="84"/>
  <c r="EY58"/>
  <c r="CE60"/>
  <c r="GA6" i="68"/>
  <c r="GA51" s="1"/>
  <c r="AQ56" i="70"/>
  <c r="AP64" i="84"/>
  <c r="AN65"/>
  <c r="AM66"/>
  <c r="IT59"/>
  <c r="IS66"/>
  <c r="IU59" i="86"/>
  <c r="IT66"/>
  <c r="AO61" i="70"/>
  <c r="AN62"/>
  <c r="AN64" s="1"/>
  <c r="AS56" i="72"/>
  <c r="AR62"/>
  <c r="AR64" s="1"/>
  <c r="AR63" i="84"/>
  <c r="AP56" i="68"/>
  <c r="AO62"/>
  <c r="AO64" s="1"/>
  <c r="AK68" i="86"/>
  <c r="AL6"/>
  <c r="AL54" s="1"/>
  <c r="AM6" i="84"/>
  <c r="AM54" s="1"/>
  <c r="AL68"/>
  <c r="FN58" i="90" l="1"/>
  <c r="FM66"/>
  <c r="FL68"/>
  <c r="FM6"/>
  <c r="FM54" s="1"/>
  <c r="AM6" i="86"/>
  <c r="AM54" s="1"/>
  <c r="AL68"/>
  <c r="AO65" i="84"/>
  <c r="AN66"/>
  <c r="AQ64"/>
  <c r="AR56" i="70"/>
  <c r="GB6" i="68"/>
  <c r="GB51" s="1"/>
  <c r="CF60" i="84"/>
  <c r="AX55" i="72"/>
  <c r="FD6" i="70"/>
  <c r="FD51" s="1"/>
  <c r="AT55"/>
  <c r="BH55" i="68"/>
  <c r="AN6" i="84"/>
  <c r="AN54" s="1"/>
  <c r="AM68"/>
  <c r="AQ56" i="68"/>
  <c r="AP62"/>
  <c r="AP64" s="1"/>
  <c r="AS63" i="84"/>
  <c r="AT56" i="72"/>
  <c r="AS62"/>
  <c r="AS64" s="1"/>
  <c r="AP61" i="70"/>
  <c r="AO62"/>
  <c r="AO64" s="1"/>
  <c r="IU59" i="84"/>
  <c r="IT66"/>
  <c r="EZ58"/>
  <c r="EY66"/>
  <c r="AN66" i="86"/>
  <c r="AO58"/>
  <c r="EQ66"/>
  <c r="ER58"/>
  <c r="FL69" i="90" l="1"/>
  <c r="S14" i="91" s="1"/>
  <c r="W14"/>
  <c r="FO58" i="90"/>
  <c r="FN66"/>
  <c r="FM68"/>
  <c r="FM69" s="1"/>
  <c r="FN6"/>
  <c r="FN54" s="1"/>
  <c r="ER66" i="86"/>
  <c r="ES58"/>
  <c r="EZ66" i="84"/>
  <c r="FA58"/>
  <c r="AQ61" i="70"/>
  <c r="AP62"/>
  <c r="AP64" s="1"/>
  <c r="AU56" i="72"/>
  <c r="AT62"/>
  <c r="AT64" s="1"/>
  <c r="AT63" i="84"/>
  <c r="AS66"/>
  <c r="AR56" i="68"/>
  <c r="AQ62"/>
  <c r="AQ64" s="1"/>
  <c r="AO6" i="84"/>
  <c r="AO54" s="1"/>
  <c r="AN68"/>
  <c r="BI55" i="68"/>
  <c r="FE6" i="70"/>
  <c r="FE51" s="1"/>
  <c r="AY55" i="72"/>
  <c r="GC6" i="68"/>
  <c r="GC51" s="1"/>
  <c r="AS56" i="70"/>
  <c r="AR64" i="84"/>
  <c r="AP65"/>
  <c r="AO66"/>
  <c r="AN6" i="86"/>
  <c r="AN54" s="1"/>
  <c r="AM68"/>
  <c r="AO66"/>
  <c r="AP58"/>
  <c r="AU55" i="70"/>
  <c r="CG60" i="84"/>
  <c r="FP58" i="90" l="1"/>
  <c r="FO66"/>
  <c r="FN68"/>
  <c r="FN69" s="1"/>
  <c r="FO6"/>
  <c r="FO54" s="1"/>
  <c r="CH60" i="84"/>
  <c r="AN68" i="86"/>
  <c r="AO6"/>
  <c r="AO54" s="1"/>
  <c r="AQ65" i="84"/>
  <c r="AP66"/>
  <c r="AT56" i="70"/>
  <c r="AZ55" i="72"/>
  <c r="FF6" i="70"/>
  <c r="FF51" s="1"/>
  <c r="BJ55" i="68"/>
  <c r="AP6" i="84"/>
  <c r="AP54" s="1"/>
  <c r="AO68"/>
  <c r="AS56" i="68"/>
  <c r="AR62"/>
  <c r="AR64" s="1"/>
  <c r="AU63" i="84"/>
  <c r="AT66"/>
  <c r="AV56" i="72"/>
  <c r="AU62"/>
  <c r="AU64" s="1"/>
  <c r="AR61" i="70"/>
  <c r="AQ62"/>
  <c r="AQ64" s="1"/>
  <c r="AV55"/>
  <c r="AP66" i="86"/>
  <c r="AQ58"/>
  <c r="GD6" i="68"/>
  <c r="GD51" s="1"/>
  <c r="FB58" i="84"/>
  <c r="FA66"/>
  <c r="ES66" i="86"/>
  <c r="ET58"/>
  <c r="FQ58" i="90" l="1"/>
  <c r="FP66"/>
  <c r="FO68"/>
  <c r="FO69" s="1"/>
  <c r="FP6"/>
  <c r="FP54" s="1"/>
  <c r="ET66" i="86"/>
  <c r="EU58"/>
  <c r="AQ66"/>
  <c r="AR58"/>
  <c r="AS61" i="70"/>
  <c r="AR62"/>
  <c r="AR64" s="1"/>
  <c r="AW56" i="72"/>
  <c r="AV62"/>
  <c r="AV64" s="1"/>
  <c r="AV63" i="84"/>
  <c r="AU66"/>
  <c r="AT56" i="68"/>
  <c r="AS62"/>
  <c r="AS64" s="1"/>
  <c r="AP68" i="84"/>
  <c r="AQ6"/>
  <c r="AQ54" s="1"/>
  <c r="BK55" i="68"/>
  <c r="FG6" i="70"/>
  <c r="FG51" s="1"/>
  <c r="BA55" i="72"/>
  <c r="AU56" i="70"/>
  <c r="AR65" i="84"/>
  <c r="AR66" s="1"/>
  <c r="AQ66"/>
  <c r="CI60"/>
  <c r="FC58"/>
  <c r="FB66"/>
  <c r="GE6" i="68"/>
  <c r="GE51" s="1"/>
  <c r="AW55" i="70"/>
  <c r="AO68" i="86"/>
  <c r="AP6"/>
  <c r="AP54" s="1"/>
  <c r="FR58" i="90" l="1"/>
  <c r="FQ66"/>
  <c r="FP68"/>
  <c r="FP69" s="1"/>
  <c r="FQ6"/>
  <c r="FQ54" s="1"/>
  <c r="AP68" i="86"/>
  <c r="AQ6"/>
  <c r="AQ54" s="1"/>
  <c r="AX55" i="70"/>
  <c r="CI66" i="84"/>
  <c r="CJ60"/>
  <c r="GF6" i="68"/>
  <c r="GF51" s="1"/>
  <c r="FD58" i="84"/>
  <c r="FC66"/>
  <c r="AV56" i="70"/>
  <c r="BL55" i="68"/>
  <c r="AU56"/>
  <c r="AT62"/>
  <c r="AT64" s="1"/>
  <c r="AW63" i="84"/>
  <c r="AV66"/>
  <c r="AX56" i="72"/>
  <c r="AW62"/>
  <c r="AW64" s="1"/>
  <c r="AT61" i="70"/>
  <c r="AS62"/>
  <c r="AS64" s="1"/>
  <c r="BB55" i="72"/>
  <c r="FH6" i="70"/>
  <c r="FH51" s="1"/>
  <c r="AQ68" i="84"/>
  <c r="AR6"/>
  <c r="AR54" s="1"/>
  <c r="AR66" i="86"/>
  <c r="AS58"/>
  <c r="EU66"/>
  <c r="EV58"/>
  <c r="FS58" i="90" l="1"/>
  <c r="FR66"/>
  <c r="FQ68"/>
  <c r="FQ69" s="1"/>
  <c r="FR6"/>
  <c r="FR54" s="1"/>
  <c r="EV66" i="86"/>
  <c r="EW58"/>
  <c r="FI6" i="70"/>
  <c r="FI51" s="1"/>
  <c r="BC55" i="72"/>
  <c r="AU61" i="70"/>
  <c r="AT62"/>
  <c r="AT64" s="1"/>
  <c r="AY56" i="72"/>
  <c r="AX62"/>
  <c r="AX64" s="1"/>
  <c r="AX63" i="84"/>
  <c r="AW66"/>
  <c r="AV56" i="68"/>
  <c r="AU62"/>
  <c r="AU64" s="1"/>
  <c r="BM55"/>
  <c r="AW56" i="70"/>
  <c r="FE58" i="84"/>
  <c r="FD66"/>
  <c r="GG6" i="68"/>
  <c r="GG51" s="1"/>
  <c r="AS66" i="86"/>
  <c r="AT58"/>
  <c r="AR68" i="84"/>
  <c r="AS6"/>
  <c r="AS54" s="1"/>
  <c r="CK60"/>
  <c r="CJ66"/>
  <c r="AY55" i="70"/>
  <c r="AQ68" i="86"/>
  <c r="AR6"/>
  <c r="AR54" s="1"/>
  <c r="FT58" i="90" l="1"/>
  <c r="FS66"/>
  <c r="FR68"/>
  <c r="FR69" s="1"/>
  <c r="FS6"/>
  <c r="FS54" s="1"/>
  <c r="AZ55" i="70"/>
  <c r="AT6" i="84"/>
  <c r="AT54" s="1"/>
  <c r="AS68"/>
  <c r="CL60"/>
  <c r="CK66"/>
  <c r="GH6" i="68"/>
  <c r="GH51" s="1"/>
  <c r="FF58" i="84"/>
  <c r="FE66"/>
  <c r="AX56" i="70"/>
  <c r="BN55" i="68"/>
  <c r="AW56"/>
  <c r="AV62"/>
  <c r="AV64" s="1"/>
  <c r="AY63" i="84"/>
  <c r="AX66"/>
  <c r="AZ56" i="72"/>
  <c r="AY62"/>
  <c r="AY64" s="1"/>
  <c r="AV61" i="70"/>
  <c r="AU62"/>
  <c r="AU64" s="1"/>
  <c r="BD55" i="72"/>
  <c r="FJ6" i="70"/>
  <c r="FJ51" s="1"/>
  <c r="AR68" i="86"/>
  <c r="AS6"/>
  <c r="AS54" s="1"/>
  <c r="AT66"/>
  <c r="AU58"/>
  <c r="EW66"/>
  <c r="EX58"/>
  <c r="FU58" i="90" l="1"/>
  <c r="FT66"/>
  <c r="FS68"/>
  <c r="FS69" s="1"/>
  <c r="FT6"/>
  <c r="FT54" s="1"/>
  <c r="AT6" i="86"/>
  <c r="AT54" s="1"/>
  <c r="AS68"/>
  <c r="BE55" i="72"/>
  <c r="AW61" i="70"/>
  <c r="AV62"/>
  <c r="AV64" s="1"/>
  <c r="BA56" i="72"/>
  <c r="AZ62"/>
  <c r="AZ64" s="1"/>
  <c r="AZ63" i="84"/>
  <c r="AY66"/>
  <c r="AX56" i="68"/>
  <c r="AW62"/>
  <c r="AW64" s="1"/>
  <c r="BO55"/>
  <c r="AY56" i="70"/>
  <c r="FF66" i="84"/>
  <c r="FG58"/>
  <c r="GI6" i="68"/>
  <c r="GI51" s="1"/>
  <c r="CL66" i="84"/>
  <c r="CM60"/>
  <c r="AU6"/>
  <c r="AU54" s="1"/>
  <c r="AT68"/>
  <c r="EX66" i="86"/>
  <c r="EY58"/>
  <c r="AU66"/>
  <c r="AV58"/>
  <c r="FK6" i="70"/>
  <c r="FK51" s="1"/>
  <c r="BA55"/>
  <c r="FV58" i="90" l="1"/>
  <c r="FU66"/>
  <c r="FT68"/>
  <c r="FT69" s="1"/>
  <c r="FU6"/>
  <c r="FU54" s="1"/>
  <c r="FL6" i="70"/>
  <c r="FL51" s="1"/>
  <c r="AV6" i="84"/>
  <c r="AV54" s="1"/>
  <c r="AU68"/>
  <c r="AZ56" i="70"/>
  <c r="AY56" i="68"/>
  <c r="AX62"/>
  <c r="AX64" s="1"/>
  <c r="BA63" i="84"/>
  <c r="AZ66"/>
  <c r="BB56" i="72"/>
  <c r="BA62"/>
  <c r="BA64" s="1"/>
  <c r="AX61" i="70"/>
  <c r="AW62"/>
  <c r="AW64" s="1"/>
  <c r="BF55" i="72"/>
  <c r="AU6" i="86"/>
  <c r="AU54" s="1"/>
  <c r="AT68"/>
  <c r="BB55" i="70"/>
  <c r="AV66" i="86"/>
  <c r="AW58"/>
  <c r="EY66"/>
  <c r="EZ58"/>
  <c r="CN60" i="84"/>
  <c r="CM66"/>
  <c r="GJ6" i="68"/>
  <c r="GJ51" s="1"/>
  <c r="FG66" i="84"/>
  <c r="FH58"/>
  <c r="BP55" i="68"/>
  <c r="FW58" i="90" l="1"/>
  <c r="FV66"/>
  <c r="FU68"/>
  <c r="FU69" s="1"/>
  <c r="FV6"/>
  <c r="FV54" s="1"/>
  <c r="BQ55" i="68"/>
  <c r="CO60" i="84"/>
  <c r="CN66"/>
  <c r="AU68" i="86"/>
  <c r="AV6"/>
  <c r="AV54" s="1"/>
  <c r="BG55" i="72"/>
  <c r="AY61" i="70"/>
  <c r="AX62"/>
  <c r="AX64" s="1"/>
  <c r="BC56" i="72"/>
  <c r="BB62"/>
  <c r="BB64" s="1"/>
  <c r="BB63" i="84"/>
  <c r="BA66"/>
  <c r="AZ56" i="68"/>
  <c r="AY62"/>
  <c r="AY64" s="1"/>
  <c r="BA56" i="70"/>
  <c r="AW6" i="84"/>
  <c r="AW54" s="1"/>
  <c r="AV68"/>
  <c r="FM6" i="70"/>
  <c r="FM51" s="1"/>
  <c r="FI58" i="84"/>
  <c r="FH66"/>
  <c r="GK6" i="68"/>
  <c r="GK51" s="1"/>
  <c r="EZ66" i="86"/>
  <c r="FA58"/>
  <c r="AW66"/>
  <c r="AX58"/>
  <c r="BC55" i="70"/>
  <c r="FX58" i="90" l="1"/>
  <c r="FW66"/>
  <c r="FV68"/>
  <c r="FV69" s="1"/>
  <c r="FW6"/>
  <c r="FW54" s="1"/>
  <c r="BD55" i="70"/>
  <c r="AX66" i="86"/>
  <c r="AY58"/>
  <c r="GL6" i="68"/>
  <c r="GL51" s="1"/>
  <c r="FI66" i="84"/>
  <c r="FJ58"/>
  <c r="FN6" i="70"/>
  <c r="FN51" s="1"/>
  <c r="AW68" i="84"/>
  <c r="AX6"/>
  <c r="AX54" s="1"/>
  <c r="BB56" i="70"/>
  <c r="BA56" i="68"/>
  <c r="AZ62"/>
  <c r="AZ64" s="1"/>
  <c r="BC63" i="84"/>
  <c r="BB66"/>
  <c r="BD56" i="72"/>
  <c r="BC62"/>
  <c r="BC64" s="1"/>
  <c r="AZ61" i="70"/>
  <c r="AY62"/>
  <c r="AY64" s="1"/>
  <c r="CO66" i="84"/>
  <c r="CP60"/>
  <c r="FA66" i="86"/>
  <c r="FB58"/>
  <c r="BH55" i="72"/>
  <c r="AW6" i="86"/>
  <c r="AW54" s="1"/>
  <c r="AV68"/>
  <c r="BR55" i="68"/>
  <c r="FY58" i="90" l="1"/>
  <c r="FX66"/>
  <c r="FW68"/>
  <c r="FW69" s="1"/>
  <c r="FX6"/>
  <c r="FX54" s="1"/>
  <c r="BS55" i="68"/>
  <c r="AW68" i="86"/>
  <c r="AX6"/>
  <c r="AX54" s="1"/>
  <c r="BI55" i="72"/>
  <c r="BA61" i="70"/>
  <c r="AZ62"/>
  <c r="AZ64" s="1"/>
  <c r="BE56" i="72"/>
  <c r="BD62"/>
  <c r="BD64" s="1"/>
  <c r="BD63" i="84"/>
  <c r="BC66"/>
  <c r="BB56" i="68"/>
  <c r="BA62"/>
  <c r="BA64" s="1"/>
  <c r="BC56" i="70"/>
  <c r="FO6"/>
  <c r="FO51" s="1"/>
  <c r="GM6" i="68"/>
  <c r="GM51" s="1"/>
  <c r="FB66" i="86"/>
  <c r="FC58"/>
  <c r="CP66" i="84"/>
  <c r="CQ60"/>
  <c r="AX68"/>
  <c r="AY6"/>
  <c r="AY54" s="1"/>
  <c r="FJ66"/>
  <c r="FK58"/>
  <c r="AY66" i="86"/>
  <c r="AZ58"/>
  <c r="BE55" i="70"/>
  <c r="FZ58" i="90" l="1"/>
  <c r="FY66"/>
  <c r="FX68"/>
  <c r="FX69" s="1"/>
  <c r="FY6"/>
  <c r="FY54" s="1"/>
  <c r="BF55" i="70"/>
  <c r="AZ66" i="86"/>
  <c r="BA58"/>
  <c r="FK66" i="84"/>
  <c r="FL58"/>
  <c r="CR60"/>
  <c r="CQ66"/>
  <c r="GN6" i="68"/>
  <c r="GN51" s="1"/>
  <c r="FP6" i="70"/>
  <c r="FP51" s="1"/>
  <c r="BD56"/>
  <c r="BC56" i="68"/>
  <c r="BB62"/>
  <c r="BB64" s="1"/>
  <c r="BE63" i="84"/>
  <c r="BD66"/>
  <c r="BF56" i="72"/>
  <c r="BE62"/>
  <c r="BE64" s="1"/>
  <c r="BB61" i="70"/>
  <c r="BA62"/>
  <c r="BA64" s="1"/>
  <c r="BJ55" i="72"/>
  <c r="BT55" i="68"/>
  <c r="AY68" i="84"/>
  <c r="AZ6"/>
  <c r="AZ54" s="1"/>
  <c r="FC66" i="86"/>
  <c r="FD58"/>
  <c r="AY6"/>
  <c r="AY54" s="1"/>
  <c r="AX68"/>
  <c r="GA58" i="90" l="1"/>
  <c r="FZ66"/>
  <c r="FY68"/>
  <c r="FY69" s="1"/>
  <c r="FZ6"/>
  <c r="FZ54" s="1"/>
  <c r="BA6" i="84"/>
  <c r="BA54" s="1"/>
  <c r="AZ68"/>
  <c r="AZ6" i="86"/>
  <c r="AZ54" s="1"/>
  <c r="AY68"/>
  <c r="BU55" i="68"/>
  <c r="BK55" i="72"/>
  <c r="BC61" i="70"/>
  <c r="BB62"/>
  <c r="BB64" s="1"/>
  <c r="BG56" i="72"/>
  <c r="BF62"/>
  <c r="BF64" s="1"/>
  <c r="BF63" i="84"/>
  <c r="BE66"/>
  <c r="BD56" i="68"/>
  <c r="BC62"/>
  <c r="BC64" s="1"/>
  <c r="BE56" i="70"/>
  <c r="FQ6"/>
  <c r="FQ51" s="1"/>
  <c r="GO6" i="68"/>
  <c r="GO51" s="1"/>
  <c r="CS60" i="84"/>
  <c r="CR66"/>
  <c r="FD66" i="86"/>
  <c r="FE58"/>
  <c r="FM58" i="84"/>
  <c r="FL66"/>
  <c r="BA66" i="86"/>
  <c r="BB58"/>
  <c r="BG55" i="70"/>
  <c r="GB58" i="90" l="1"/>
  <c r="GA66"/>
  <c r="FZ68"/>
  <c r="FZ69" s="1"/>
  <c r="GA6"/>
  <c r="GA54" s="1"/>
  <c r="BH55" i="70"/>
  <c r="BB66" i="86"/>
  <c r="BC58"/>
  <c r="FE66"/>
  <c r="FF58"/>
  <c r="FN58" i="84"/>
  <c r="FM66"/>
  <c r="CT60"/>
  <c r="CS66"/>
  <c r="GP6" i="68"/>
  <c r="GP51" s="1"/>
  <c r="FR6" i="70"/>
  <c r="FR51" s="1"/>
  <c r="BF56"/>
  <c r="BE56" i="68"/>
  <c r="BD62"/>
  <c r="BD64" s="1"/>
  <c r="BG63" i="84"/>
  <c r="BF66"/>
  <c r="BH56" i="72"/>
  <c r="BG62"/>
  <c r="BG64" s="1"/>
  <c r="BD61" i="70"/>
  <c r="BC62"/>
  <c r="BC64" s="1"/>
  <c r="BL55" i="72"/>
  <c r="BA6" i="86"/>
  <c r="BA54" s="1"/>
  <c r="AZ68"/>
  <c r="BB6" i="84"/>
  <c r="BB54" s="1"/>
  <c r="BA68"/>
  <c r="BV55" i="68"/>
  <c r="GC58" i="90" l="1"/>
  <c r="GB66"/>
  <c r="GA68"/>
  <c r="GA69" s="1"/>
  <c r="GB6"/>
  <c r="GB54" s="1"/>
  <c r="BW55" i="68"/>
  <c r="BB68" i="84"/>
  <c r="BC6"/>
  <c r="BC54" s="1"/>
  <c r="BB6" i="86"/>
  <c r="BB54" s="1"/>
  <c r="BA68"/>
  <c r="BM55" i="72"/>
  <c r="BE61" i="70"/>
  <c r="BD62"/>
  <c r="BD64" s="1"/>
  <c r="BI56" i="72"/>
  <c r="BH62"/>
  <c r="BH64" s="1"/>
  <c r="BH63" i="84"/>
  <c r="BG66"/>
  <c r="BF56" i="68"/>
  <c r="BE62"/>
  <c r="BE64" s="1"/>
  <c r="BG56" i="70"/>
  <c r="FS6"/>
  <c r="FS51" s="1"/>
  <c r="GQ6" i="68"/>
  <c r="GQ51" s="1"/>
  <c r="CU60" i="84"/>
  <c r="CT66"/>
  <c r="FO58"/>
  <c r="FN66"/>
  <c r="FF66" i="86"/>
  <c r="FG58"/>
  <c r="BC66"/>
  <c r="BD58"/>
  <c r="BI55" i="70"/>
  <c r="GD58" i="90" l="1"/>
  <c r="GC66"/>
  <c r="GB68"/>
  <c r="GC6"/>
  <c r="GC54" s="1"/>
  <c r="BD66" i="86"/>
  <c r="BE58"/>
  <c r="GR6" i="68"/>
  <c r="GR51" s="1"/>
  <c r="FO66" i="84"/>
  <c r="FP58"/>
  <c r="CV60"/>
  <c r="CU66"/>
  <c r="FT6" i="70"/>
  <c r="FT51" s="1"/>
  <c r="BH56"/>
  <c r="BG56" i="68"/>
  <c r="BF62"/>
  <c r="BF64" s="1"/>
  <c r="BI63" i="84"/>
  <c r="BH66"/>
  <c r="BJ56" i="72"/>
  <c r="BI62"/>
  <c r="BI64" s="1"/>
  <c r="BF61" i="70"/>
  <c r="BE62"/>
  <c r="BE64" s="1"/>
  <c r="BN55" i="72"/>
  <c r="BB68" i="86"/>
  <c r="BC6"/>
  <c r="BC54" s="1"/>
  <c r="BX55" i="68"/>
  <c r="BJ55" i="70"/>
  <c r="FG66" i="86"/>
  <c r="FH58"/>
  <c r="BC68" i="84"/>
  <c r="BD6"/>
  <c r="BD54" s="1"/>
  <c r="GB69" i="90" l="1"/>
  <c r="S15" i="91" s="1"/>
  <c r="W15"/>
  <c r="GE58" i="90"/>
  <c r="GD66"/>
  <c r="GC68"/>
  <c r="GC69" s="1"/>
  <c r="GD6"/>
  <c r="GD54" s="1"/>
  <c r="BE6" i="84"/>
  <c r="BE54" s="1"/>
  <c r="BD68"/>
  <c r="BK55" i="70"/>
  <c r="BY55" i="68"/>
  <c r="BO55" i="72"/>
  <c r="BG61" i="70"/>
  <c r="BF62"/>
  <c r="BF64" s="1"/>
  <c r="BK56" i="72"/>
  <c r="BJ62"/>
  <c r="BJ64" s="1"/>
  <c r="BJ63" i="84"/>
  <c r="BI66"/>
  <c r="BH56" i="68"/>
  <c r="BG62"/>
  <c r="BG64" s="1"/>
  <c r="BI56" i="70"/>
  <c r="FU6"/>
  <c r="FU51" s="1"/>
  <c r="CW60" i="84"/>
  <c r="CV66"/>
  <c r="GS6" i="68"/>
  <c r="GS51" s="1"/>
  <c r="FH66" i="86"/>
  <c r="FI58"/>
  <c r="BD6"/>
  <c r="BD54" s="1"/>
  <c r="BC68"/>
  <c r="FQ58" i="84"/>
  <c r="FP66"/>
  <c r="BE66" i="86"/>
  <c r="BF58"/>
  <c r="GF58" i="90" l="1"/>
  <c r="GE66"/>
  <c r="GD68"/>
  <c r="GD69" s="1"/>
  <c r="GE6"/>
  <c r="GE54" s="1"/>
  <c r="FR58" i="84"/>
  <c r="FQ66"/>
  <c r="BF66" i="86"/>
  <c r="BG58"/>
  <c r="FI66"/>
  <c r="FJ58"/>
  <c r="CX60" i="84"/>
  <c r="CW66"/>
  <c r="FV6" i="70"/>
  <c r="FV51" s="1"/>
  <c r="BJ56"/>
  <c r="BI56" i="68"/>
  <c r="BH62"/>
  <c r="BH64" s="1"/>
  <c r="BK63" i="84"/>
  <c r="BJ66"/>
  <c r="BL56" i="72"/>
  <c r="BK62"/>
  <c r="BK64" s="1"/>
  <c r="BH61" i="70"/>
  <c r="BG62"/>
  <c r="BG64" s="1"/>
  <c r="BP55" i="72"/>
  <c r="BF6" i="84"/>
  <c r="BF54" s="1"/>
  <c r="BE68"/>
  <c r="BE6" i="86"/>
  <c r="BE54" s="1"/>
  <c r="BD68"/>
  <c r="GT6" i="68"/>
  <c r="GT51" s="1"/>
  <c r="BZ55"/>
  <c r="BL55" i="70"/>
  <c r="GG58" i="90" l="1"/>
  <c r="GF66"/>
  <c r="GE68"/>
  <c r="GE69" s="1"/>
  <c r="GF6"/>
  <c r="GF54" s="1"/>
  <c r="BM55" i="70"/>
  <c r="CA55" i="68"/>
  <c r="GU6"/>
  <c r="GU51" s="1"/>
  <c r="BE68" i="86"/>
  <c r="BF6"/>
  <c r="BF54" s="1"/>
  <c r="BG6" i="84"/>
  <c r="BG54" s="1"/>
  <c r="BF68"/>
  <c r="BQ55" i="72"/>
  <c r="BI61" i="70"/>
  <c r="BH62"/>
  <c r="BH64" s="1"/>
  <c r="BM56" i="72"/>
  <c r="BL62"/>
  <c r="BL64" s="1"/>
  <c r="BL63" i="84"/>
  <c r="BK66"/>
  <c r="BJ56" i="68"/>
  <c r="BI62"/>
  <c r="BI64" s="1"/>
  <c r="BK56" i="70"/>
  <c r="FW6"/>
  <c r="FW51" s="1"/>
  <c r="CY60" i="84"/>
  <c r="CX66"/>
  <c r="FR66"/>
  <c r="FS58"/>
  <c r="FJ66" i="86"/>
  <c r="FK58"/>
  <c r="BG66"/>
  <c r="BH58"/>
  <c r="GH58" i="90" l="1"/>
  <c r="GG66"/>
  <c r="GF68"/>
  <c r="GF69" s="1"/>
  <c r="GG6"/>
  <c r="GG54" s="1"/>
  <c r="BH66" i="86"/>
  <c r="BI58"/>
  <c r="FT58" i="84"/>
  <c r="FS66"/>
  <c r="CZ60"/>
  <c r="CY66"/>
  <c r="FX6" i="70"/>
  <c r="FX51" s="1"/>
  <c r="BL56"/>
  <c r="BK56" i="68"/>
  <c r="BJ62"/>
  <c r="BJ64" s="1"/>
  <c r="BM63" i="84"/>
  <c r="BL66"/>
  <c r="BN56" i="72"/>
  <c r="BM62"/>
  <c r="BM64" s="1"/>
  <c r="BJ61" i="70"/>
  <c r="BI62"/>
  <c r="BI64" s="1"/>
  <c r="BR55" i="72"/>
  <c r="BG68" i="84"/>
  <c r="BH6"/>
  <c r="BH54" s="1"/>
  <c r="GV6" i="68"/>
  <c r="GV51" s="1"/>
  <c r="CB55"/>
  <c r="FK66" i="86"/>
  <c r="FL58"/>
  <c r="BG6"/>
  <c r="BG54" s="1"/>
  <c r="BF68"/>
  <c r="BN55" i="70"/>
  <c r="GI58" i="90" l="1"/>
  <c r="GH66"/>
  <c r="GG68"/>
  <c r="GG69" s="1"/>
  <c r="GH6"/>
  <c r="GH54" s="1"/>
  <c r="BO55" i="70"/>
  <c r="BG68" i="86"/>
  <c r="BH6"/>
  <c r="BH54" s="1"/>
  <c r="CC55" i="68"/>
  <c r="GW6"/>
  <c r="GW51" s="1"/>
  <c r="BS55" i="72"/>
  <c r="BK61" i="70"/>
  <c r="BJ62"/>
  <c r="BJ64" s="1"/>
  <c r="BO56" i="72"/>
  <c r="BN62"/>
  <c r="BN64" s="1"/>
  <c r="BN63" i="84"/>
  <c r="BM66"/>
  <c r="BL56" i="68"/>
  <c r="BK62"/>
  <c r="BK64" s="1"/>
  <c r="BM56" i="70"/>
  <c r="FY6"/>
  <c r="FY51" s="1"/>
  <c r="DA60" i="84"/>
  <c r="CZ66"/>
  <c r="FU58"/>
  <c r="FT66"/>
  <c r="FL66" i="86"/>
  <c r="FM58"/>
  <c r="BI6" i="84"/>
  <c r="BI54" s="1"/>
  <c r="BH68"/>
  <c r="BI66" i="86"/>
  <c r="BJ58"/>
  <c r="GJ58" i="90" l="1"/>
  <c r="GI66"/>
  <c r="GH68"/>
  <c r="GH69" s="1"/>
  <c r="GI6"/>
  <c r="GI54" s="1"/>
  <c r="BJ66" i="86"/>
  <c r="BK58"/>
  <c r="FM66"/>
  <c r="FN58"/>
  <c r="BI68" i="84"/>
  <c r="BJ6"/>
  <c r="BJ54" s="1"/>
  <c r="FU66"/>
  <c r="FV58"/>
  <c r="DB60"/>
  <c r="DA66"/>
  <c r="FZ6" i="70"/>
  <c r="FZ51" s="1"/>
  <c r="BN56"/>
  <c r="BM56" i="68"/>
  <c r="BL62"/>
  <c r="BL64" s="1"/>
  <c r="BO63" i="84"/>
  <c r="BN66"/>
  <c r="BP56" i="72"/>
  <c r="BO62"/>
  <c r="BO64" s="1"/>
  <c r="BL61" i="70"/>
  <c r="BK62"/>
  <c r="BK64" s="1"/>
  <c r="BT55" i="72"/>
  <c r="GX6" i="68"/>
  <c r="GX51" s="1"/>
  <c r="CD55"/>
  <c r="BH68" i="86"/>
  <c r="BI6"/>
  <c r="BI54" s="1"/>
  <c r="BP55" i="70"/>
  <c r="GK58" i="90" l="1"/>
  <c r="GJ66"/>
  <c r="GI68"/>
  <c r="GI69" s="1"/>
  <c r="GJ6"/>
  <c r="GJ54" s="1"/>
  <c r="BJ6" i="86"/>
  <c r="BJ54" s="1"/>
  <c r="BI68"/>
  <c r="BQ55" i="70"/>
  <c r="CE55" i="68"/>
  <c r="GY6"/>
  <c r="GY51" s="1"/>
  <c r="BU55" i="72"/>
  <c r="BM61" i="70"/>
  <c r="BL62"/>
  <c r="BL64" s="1"/>
  <c r="BQ56" i="72"/>
  <c r="BP62"/>
  <c r="BP64" s="1"/>
  <c r="BP63" i="84"/>
  <c r="BO66"/>
  <c r="BN56" i="68"/>
  <c r="BM62"/>
  <c r="BM64" s="1"/>
  <c r="BO56" i="70"/>
  <c r="GA6"/>
  <c r="GA51" s="1"/>
  <c r="DC60" i="84"/>
  <c r="DB66"/>
  <c r="FV66"/>
  <c r="FW58"/>
  <c r="BJ68"/>
  <c r="BK6"/>
  <c r="BK54" s="1"/>
  <c r="FN66" i="86"/>
  <c r="FO58"/>
  <c r="BK66"/>
  <c r="BL58"/>
  <c r="GL58" i="90" l="1"/>
  <c r="GK66"/>
  <c r="GJ68"/>
  <c r="GJ69" s="1"/>
  <c r="GK6"/>
  <c r="GK54" s="1"/>
  <c r="DD60" i="84"/>
  <c r="DC66"/>
  <c r="BP56" i="70"/>
  <c r="BO56" i="68"/>
  <c r="BN62"/>
  <c r="BN64" s="1"/>
  <c r="BQ63" i="84"/>
  <c r="BP66"/>
  <c r="BR56" i="72"/>
  <c r="BQ62"/>
  <c r="BQ64" s="1"/>
  <c r="BN61" i="70"/>
  <c r="BM62"/>
  <c r="BM64" s="1"/>
  <c r="GZ6" i="68"/>
  <c r="GZ51" s="1"/>
  <c r="BJ68" i="86"/>
  <c r="BK6"/>
  <c r="BK54" s="1"/>
  <c r="BL66"/>
  <c r="BM58"/>
  <c r="FO66"/>
  <c r="FP58"/>
  <c r="BL6" i="84"/>
  <c r="BL54" s="1"/>
  <c r="BK68"/>
  <c r="FW66"/>
  <c r="FX58"/>
  <c r="GB6" i="70"/>
  <c r="GB51" s="1"/>
  <c r="BV55" i="72"/>
  <c r="CF55" i="68"/>
  <c r="BR55" i="70"/>
  <c r="GM58" i="90" l="1"/>
  <c r="GL66"/>
  <c r="GK68"/>
  <c r="GK69" s="1"/>
  <c r="GL6"/>
  <c r="GL54" s="1"/>
  <c r="CG55" i="68"/>
  <c r="BW55" i="72"/>
  <c r="BL68" i="84"/>
  <c r="BM6"/>
  <c r="BM54" s="1"/>
  <c r="HA6" i="68"/>
  <c r="HA51" s="1"/>
  <c r="BO61" i="70"/>
  <c r="BN62"/>
  <c r="BN64" s="1"/>
  <c r="BS56" i="72"/>
  <c r="BR62"/>
  <c r="BR64" s="1"/>
  <c r="BR63" i="84"/>
  <c r="BQ66"/>
  <c r="BP56" i="68"/>
  <c r="BO62"/>
  <c r="BO64" s="1"/>
  <c r="BQ56" i="70"/>
  <c r="DE60" i="84"/>
  <c r="DD66"/>
  <c r="BS55" i="70"/>
  <c r="GC6"/>
  <c r="GC51" s="1"/>
  <c r="FY58" i="84"/>
  <c r="FX66"/>
  <c r="FP66" i="86"/>
  <c r="FQ58"/>
  <c r="BM66"/>
  <c r="BN58"/>
  <c r="BL6"/>
  <c r="BL54" s="1"/>
  <c r="BK68"/>
  <c r="GN58" i="90" l="1"/>
  <c r="GM66"/>
  <c r="GL68"/>
  <c r="GL69" s="1"/>
  <c r="GM6"/>
  <c r="GM54" s="1"/>
  <c r="BN66" i="86"/>
  <c r="BO58"/>
  <c r="BL68"/>
  <c r="BM6"/>
  <c r="BM54" s="1"/>
  <c r="FY66" i="84"/>
  <c r="FZ58"/>
  <c r="GD6" i="70"/>
  <c r="GD51" s="1"/>
  <c r="DF60" i="84"/>
  <c r="DE66"/>
  <c r="BR56" i="70"/>
  <c r="BQ56" i="68"/>
  <c r="BP62"/>
  <c r="BP64" s="1"/>
  <c r="BS63" i="84"/>
  <c r="BR66"/>
  <c r="BT56" i="72"/>
  <c r="BS62"/>
  <c r="BS64" s="1"/>
  <c r="BP61" i="70"/>
  <c r="BO62"/>
  <c r="BO64" s="1"/>
  <c r="HB6" i="68"/>
  <c r="HB51" s="1"/>
  <c r="BX55" i="72"/>
  <c r="CH55" i="68"/>
  <c r="FQ66" i="86"/>
  <c r="FR58"/>
  <c r="BT55" i="70"/>
  <c r="BN6" i="84"/>
  <c r="BN54" s="1"/>
  <c r="BM68"/>
  <c r="GO58" i="90" l="1"/>
  <c r="GN66"/>
  <c r="GM68"/>
  <c r="GM69" s="1"/>
  <c r="GN6"/>
  <c r="GN54" s="1"/>
  <c r="BO6" i="84"/>
  <c r="BO54" s="1"/>
  <c r="BN68"/>
  <c r="BU55" i="70"/>
  <c r="CI55" i="68"/>
  <c r="BY55" i="72"/>
  <c r="HC6" i="68"/>
  <c r="HC51" s="1"/>
  <c r="BQ61" i="70"/>
  <c r="BP62"/>
  <c r="BP64" s="1"/>
  <c r="BU56" i="72"/>
  <c r="BT62"/>
  <c r="BT64" s="1"/>
  <c r="BT63" i="84"/>
  <c r="BS66"/>
  <c r="BR56" i="68"/>
  <c r="BQ62"/>
  <c r="BQ64" s="1"/>
  <c r="BS56" i="70"/>
  <c r="DG60" i="84"/>
  <c r="DF66"/>
  <c r="GE6" i="70"/>
  <c r="GE51" s="1"/>
  <c r="FR66" i="86"/>
  <c r="FS58"/>
  <c r="GA58" i="84"/>
  <c r="FZ66"/>
  <c r="BN6" i="86"/>
  <c r="BN54" s="1"/>
  <c r="BM68"/>
  <c r="BO66"/>
  <c r="BP58"/>
  <c r="GP58" i="90" l="1"/>
  <c r="GO66"/>
  <c r="GN68"/>
  <c r="GN69" s="1"/>
  <c r="GO6"/>
  <c r="GO54" s="1"/>
  <c r="BP66" i="86"/>
  <c r="BQ58"/>
  <c r="FS66"/>
  <c r="FT58"/>
  <c r="BN68"/>
  <c r="BO6"/>
  <c r="BO54" s="1"/>
  <c r="GB58" i="84"/>
  <c r="GA66"/>
  <c r="GF6" i="70"/>
  <c r="GF51" s="1"/>
  <c r="DH60" i="84"/>
  <c r="DG66"/>
  <c r="BT56" i="70"/>
  <c r="BS56" i="68"/>
  <c r="BR62"/>
  <c r="BR64" s="1"/>
  <c r="BU63" i="84"/>
  <c r="BT66"/>
  <c r="BV56" i="72"/>
  <c r="BU62"/>
  <c r="BU64" s="1"/>
  <c r="BR61" i="70"/>
  <c r="BQ62"/>
  <c r="BQ64" s="1"/>
  <c r="HD6" i="68"/>
  <c r="HD51" s="1"/>
  <c r="BZ55" i="72"/>
  <c r="BP6" i="84"/>
  <c r="BP54" s="1"/>
  <c r="BO68"/>
  <c r="CJ55" i="68"/>
  <c r="BV55" i="70"/>
  <c r="GQ58" i="90" l="1"/>
  <c r="GP66"/>
  <c r="GO68"/>
  <c r="GO69" s="1"/>
  <c r="GP6"/>
  <c r="GP54" s="1"/>
  <c r="CA55" i="72"/>
  <c r="BW55" i="70"/>
  <c r="CK55" i="68"/>
  <c r="BQ6" i="84"/>
  <c r="BQ54" s="1"/>
  <c r="BP68"/>
  <c r="HE6" i="68"/>
  <c r="HE51" s="1"/>
  <c r="BS61" i="70"/>
  <c r="BR62"/>
  <c r="BR64" s="1"/>
  <c r="BW56" i="72"/>
  <c r="BV62"/>
  <c r="BV64" s="1"/>
  <c r="BV63" i="84"/>
  <c r="BU66"/>
  <c r="BT56" i="68"/>
  <c r="BS62"/>
  <c r="BS64" s="1"/>
  <c r="BU56" i="70"/>
  <c r="DI60" i="84"/>
  <c r="DH66"/>
  <c r="GG6" i="70"/>
  <c r="GG51" s="1"/>
  <c r="GB66" i="84"/>
  <c r="GC58"/>
  <c r="BO68" i="86"/>
  <c r="BP6"/>
  <c r="BP54" s="1"/>
  <c r="FT66"/>
  <c r="FU58"/>
  <c r="BQ66"/>
  <c r="BR58"/>
  <c r="GR58" i="90" l="1"/>
  <c r="GQ66"/>
  <c r="GP68"/>
  <c r="GP69" s="1"/>
  <c r="GQ6"/>
  <c r="GQ54" s="1"/>
  <c r="BR66" i="86"/>
  <c r="BS58"/>
  <c r="FV58"/>
  <c r="FU66"/>
  <c r="GH6" i="70"/>
  <c r="GH51" s="1"/>
  <c r="DI66" i="84"/>
  <c r="DJ60"/>
  <c r="BV56" i="70"/>
  <c r="BU56" i="68"/>
  <c r="BT62"/>
  <c r="BT64" s="1"/>
  <c r="BW63" i="84"/>
  <c r="BV66"/>
  <c r="BX56" i="72"/>
  <c r="BW62"/>
  <c r="BW64" s="1"/>
  <c r="BT61" i="70"/>
  <c r="BS62"/>
  <c r="BS64" s="1"/>
  <c r="HF6" i="68"/>
  <c r="HF51" s="1"/>
  <c r="BR6" i="84"/>
  <c r="BR54" s="1"/>
  <c r="BQ68"/>
  <c r="CL55" i="68"/>
  <c r="CB55" i="72"/>
  <c r="BQ6" i="86"/>
  <c r="BQ54" s="1"/>
  <c r="BP68"/>
  <c r="GD58" i="84"/>
  <c r="GC66"/>
  <c r="BX55" i="70"/>
  <c r="GS58" i="90" l="1"/>
  <c r="GR66"/>
  <c r="GQ68"/>
  <c r="GQ69" s="1"/>
  <c r="GR6"/>
  <c r="GR54" s="1"/>
  <c r="BY55" i="70"/>
  <c r="GD66" i="84"/>
  <c r="GE58"/>
  <c r="BQ68" i="86"/>
  <c r="BR6"/>
  <c r="BR54" s="1"/>
  <c r="CC55" i="72"/>
  <c r="CM55" i="68"/>
  <c r="BS6" i="84"/>
  <c r="BS54" s="1"/>
  <c r="BR68"/>
  <c r="HG6" i="68"/>
  <c r="HG51" s="1"/>
  <c r="BU61" i="70"/>
  <c r="BT62"/>
  <c r="BT64" s="1"/>
  <c r="BY56" i="72"/>
  <c r="BX62"/>
  <c r="BX64" s="1"/>
  <c r="BX63" i="84"/>
  <c r="BW66"/>
  <c r="BV56" i="68"/>
  <c r="BU62"/>
  <c r="BU64" s="1"/>
  <c r="BW56" i="70"/>
  <c r="GI6"/>
  <c r="GI51" s="1"/>
  <c r="FW58" i="86"/>
  <c r="FV66"/>
  <c r="DJ66" i="84"/>
  <c r="DK60"/>
  <c r="BT58" i="86"/>
  <c r="BS66"/>
  <c r="GT58" i="90" l="1"/>
  <c r="GS66"/>
  <c r="GR68"/>
  <c r="GR69" s="1"/>
  <c r="GS6"/>
  <c r="GS54" s="1"/>
  <c r="BU58" i="86"/>
  <c r="BT66"/>
  <c r="FX58"/>
  <c r="FW66"/>
  <c r="BX56" i="70"/>
  <c r="BW56" i="68"/>
  <c r="BV62"/>
  <c r="BV64" s="1"/>
  <c r="BY63" i="84"/>
  <c r="BX66"/>
  <c r="BZ56" i="72"/>
  <c r="BY62"/>
  <c r="BY64" s="1"/>
  <c r="BV61" i="70"/>
  <c r="BU62"/>
  <c r="BU64" s="1"/>
  <c r="HH6" i="68"/>
  <c r="HH51" s="1"/>
  <c r="BT6" i="84"/>
  <c r="BT54" s="1"/>
  <c r="BS68"/>
  <c r="CN55" i="68"/>
  <c r="CD55" i="72"/>
  <c r="DK66" i="84"/>
  <c r="DL60"/>
  <c r="GJ6" i="70"/>
  <c r="GJ51" s="1"/>
  <c r="BR68" i="86"/>
  <c r="BS6"/>
  <c r="BS54" s="1"/>
  <c r="GF58" i="84"/>
  <c r="GE66"/>
  <c r="BZ55" i="70"/>
  <c r="GU58" i="90" l="1"/>
  <c r="GT66"/>
  <c r="GS68"/>
  <c r="GS69" s="1"/>
  <c r="GT6"/>
  <c r="GT54" s="1"/>
  <c r="CA55" i="70"/>
  <c r="BT6" i="86"/>
  <c r="BT54" s="1"/>
  <c r="BS68"/>
  <c r="DM60" i="84"/>
  <c r="DM66" s="1"/>
  <c r="DL66"/>
  <c r="GG58"/>
  <c r="GF66"/>
  <c r="GK6" i="70"/>
  <c r="GK51" s="1"/>
  <c r="CE55" i="72"/>
  <c r="CO55" i="68"/>
  <c r="BU6" i="84"/>
  <c r="BU54" s="1"/>
  <c r="BT68"/>
  <c r="HI6" i="68"/>
  <c r="HI51" s="1"/>
  <c r="BW61" i="70"/>
  <c r="BV62"/>
  <c r="BV64" s="1"/>
  <c r="CA56" i="72"/>
  <c r="BZ62"/>
  <c r="BZ64" s="1"/>
  <c r="BZ63" i="84"/>
  <c r="BY66"/>
  <c r="BX56" i="68"/>
  <c r="BW62"/>
  <c r="BW64" s="1"/>
  <c r="BY56" i="70"/>
  <c r="FY58" i="86"/>
  <c r="FX66"/>
  <c r="BV58"/>
  <c r="BU66"/>
  <c r="GV58" i="90" l="1"/>
  <c r="GU66"/>
  <c r="GT68"/>
  <c r="GT69" s="1"/>
  <c r="GU6"/>
  <c r="GU54" s="1"/>
  <c r="BW58" i="86"/>
  <c r="BV66"/>
  <c r="FZ58"/>
  <c r="FY66"/>
  <c r="BZ56" i="70"/>
  <c r="BY56" i="68"/>
  <c r="BX62"/>
  <c r="BX64" s="1"/>
  <c r="CA63" i="84"/>
  <c r="BZ66"/>
  <c r="CB56" i="72"/>
  <c r="CA62"/>
  <c r="CA64" s="1"/>
  <c r="BX61" i="70"/>
  <c r="BW62"/>
  <c r="BW64" s="1"/>
  <c r="HJ6" i="68"/>
  <c r="HJ51" s="1"/>
  <c r="BV6" i="84"/>
  <c r="BV54" s="1"/>
  <c r="BU68"/>
  <c r="CP55" i="68"/>
  <c r="CF55" i="72"/>
  <c r="GG66" i="84"/>
  <c r="GH58"/>
  <c r="BT68" i="86"/>
  <c r="BU6"/>
  <c r="BU54" s="1"/>
  <c r="GL6" i="70"/>
  <c r="GL51" s="1"/>
  <c r="CB55"/>
  <c r="GW58" i="90" l="1"/>
  <c r="GV66"/>
  <c r="GU68"/>
  <c r="GU69" s="1"/>
  <c r="GV6"/>
  <c r="GV54" s="1"/>
  <c r="CC55" i="70"/>
  <c r="GM6"/>
  <c r="GM51" s="1"/>
  <c r="GH66" i="84"/>
  <c r="GI58"/>
  <c r="CQ55" i="68"/>
  <c r="CG55" i="72"/>
  <c r="BW6" i="84"/>
  <c r="BW54" s="1"/>
  <c r="BV68"/>
  <c r="HK6" i="68"/>
  <c r="HK51" s="1"/>
  <c r="BY61" i="70"/>
  <c r="BX62"/>
  <c r="BX64" s="1"/>
  <c r="CC56" i="72"/>
  <c r="CB62"/>
  <c r="CB64" s="1"/>
  <c r="CB63" i="84"/>
  <c r="CA66"/>
  <c r="BZ56" i="68"/>
  <c r="BY62"/>
  <c r="BY64" s="1"/>
  <c r="CA56" i="70"/>
  <c r="GA58" i="86"/>
  <c r="FZ66"/>
  <c r="BX58"/>
  <c r="BW66"/>
  <c r="BV6"/>
  <c r="BV54" s="1"/>
  <c r="BU68"/>
  <c r="GX58" i="90" l="1"/>
  <c r="GW66"/>
  <c r="GV68"/>
  <c r="GV69" s="1"/>
  <c r="GW6"/>
  <c r="GW54" s="1"/>
  <c r="BV68" i="86"/>
  <c r="BW6"/>
  <c r="BW54" s="1"/>
  <c r="BY58"/>
  <c r="BX66"/>
  <c r="GB58"/>
  <c r="GA66"/>
  <c r="CB56" i="70"/>
  <c r="CA56" i="68"/>
  <c r="BZ62"/>
  <c r="BZ64" s="1"/>
  <c r="CC63" i="84"/>
  <c r="CB66"/>
  <c r="CD56" i="72"/>
  <c r="CC62"/>
  <c r="CC64" s="1"/>
  <c r="BZ61" i="70"/>
  <c r="BY62"/>
  <c r="BY64" s="1"/>
  <c r="HL6" i="68"/>
  <c r="HL51" s="1"/>
  <c r="BX6" i="84"/>
  <c r="BX54" s="1"/>
  <c r="BW68"/>
  <c r="CH55" i="72"/>
  <c r="CR55" i="68"/>
  <c r="GN6" i="70"/>
  <c r="GN51" s="1"/>
  <c r="GI66" i="84"/>
  <c r="GJ58"/>
  <c r="CD55" i="70"/>
  <c r="GY58" i="90" l="1"/>
  <c r="GX66"/>
  <c r="GW68"/>
  <c r="GW69" s="1"/>
  <c r="GX6"/>
  <c r="GX54" s="1"/>
  <c r="GJ66" i="84"/>
  <c r="GK58"/>
  <c r="HM6" i="68"/>
  <c r="HM51" s="1"/>
  <c r="GO6" i="70"/>
  <c r="GO51" s="1"/>
  <c r="CI55" i="72"/>
  <c r="BY6" i="84"/>
  <c r="BY54" s="1"/>
  <c r="BX68"/>
  <c r="CA61" i="70"/>
  <c r="BZ62"/>
  <c r="BZ64" s="1"/>
  <c r="CE56" i="72"/>
  <c r="CD62"/>
  <c r="CD64" s="1"/>
  <c r="CD63" i="84"/>
  <c r="CC66"/>
  <c r="CB56" i="68"/>
  <c r="CA62"/>
  <c r="CA64" s="1"/>
  <c r="CC56" i="70"/>
  <c r="GC58" i="86"/>
  <c r="GB66"/>
  <c r="BZ58"/>
  <c r="BY66"/>
  <c r="CE55" i="70"/>
  <c r="CS55" i="68"/>
  <c r="BX6" i="86"/>
  <c r="BX54" s="1"/>
  <c r="BW68"/>
  <c r="GZ58" i="90" l="1"/>
  <c r="GY66"/>
  <c r="GX68"/>
  <c r="GX69" s="1"/>
  <c r="GY6"/>
  <c r="GY54" s="1"/>
  <c r="CF55" i="70"/>
  <c r="BX68" i="86"/>
  <c r="BY6"/>
  <c r="BY54" s="1"/>
  <c r="CA58"/>
  <c r="BZ66"/>
  <c r="GD58"/>
  <c r="GC66"/>
  <c r="CD56" i="70"/>
  <c r="CC56" i="68"/>
  <c r="CB62"/>
  <c r="CB64" s="1"/>
  <c r="CE63" i="84"/>
  <c r="CD66"/>
  <c r="CF56" i="72"/>
  <c r="CE62"/>
  <c r="CE64" s="1"/>
  <c r="CB61" i="70"/>
  <c r="CA62"/>
  <c r="CA64" s="1"/>
  <c r="BZ6" i="84"/>
  <c r="BZ54" s="1"/>
  <c r="BY68"/>
  <c r="GP6" i="70"/>
  <c r="GP51" s="1"/>
  <c r="HN6" i="68"/>
  <c r="HN51" s="1"/>
  <c r="CT55"/>
  <c r="CJ55" i="72"/>
  <c r="GK66" i="84"/>
  <c r="GL58"/>
  <c r="HA58" i="90" l="1"/>
  <c r="GZ66"/>
  <c r="GY68"/>
  <c r="GY69" s="1"/>
  <c r="GZ6"/>
  <c r="GZ54" s="1"/>
  <c r="CK55" i="72"/>
  <c r="CU55" i="68"/>
  <c r="GQ6" i="70"/>
  <c r="GQ51" s="1"/>
  <c r="CA6" i="84"/>
  <c r="CA54" s="1"/>
  <c r="BZ68"/>
  <c r="CC61" i="70"/>
  <c r="CB62"/>
  <c r="CB64" s="1"/>
  <c r="CG56" i="72"/>
  <c r="CF62"/>
  <c r="CF64" s="1"/>
  <c r="CF63" i="84"/>
  <c r="CE66"/>
  <c r="CD56" i="68"/>
  <c r="CC62"/>
  <c r="CC64" s="1"/>
  <c r="CE56" i="70"/>
  <c r="GE58" i="86"/>
  <c r="GD66"/>
  <c r="CB58"/>
  <c r="CA66"/>
  <c r="GL66" i="84"/>
  <c r="GM58"/>
  <c r="HO6" i="68"/>
  <c r="HO51" s="1"/>
  <c r="BZ6" i="86"/>
  <c r="BZ54" s="1"/>
  <c r="BY68"/>
  <c r="CG55" i="70"/>
  <c r="HB58" i="90" l="1"/>
  <c r="HA66"/>
  <c r="GZ68"/>
  <c r="GZ69" s="1"/>
  <c r="HA6"/>
  <c r="HA54" s="1"/>
  <c r="CH55" i="70"/>
  <c r="GM66" i="84"/>
  <c r="GN58"/>
  <c r="CA6" i="86"/>
  <c r="CA54" s="1"/>
  <c r="BZ68"/>
  <c r="HP6" i="68"/>
  <c r="HP51" s="1"/>
  <c r="CC58" i="86"/>
  <c r="CB66"/>
  <c r="GF58"/>
  <c r="GE66"/>
  <c r="CF56" i="70"/>
  <c r="CE56" i="68"/>
  <c r="CD62"/>
  <c r="CD64" s="1"/>
  <c r="CG63" i="84"/>
  <c r="CF66"/>
  <c r="CH56" i="72"/>
  <c r="CG62"/>
  <c r="CG64" s="1"/>
  <c r="CD61" i="70"/>
  <c r="CC62"/>
  <c r="CC64" s="1"/>
  <c r="CB6" i="84"/>
  <c r="CB54" s="1"/>
  <c r="CA68"/>
  <c r="GR6" i="70"/>
  <c r="GR51" s="1"/>
  <c r="CV55" i="68"/>
  <c r="CL55" i="72"/>
  <c r="HC58" i="90" l="1"/>
  <c r="HB66"/>
  <c r="HA68"/>
  <c r="HB6"/>
  <c r="HB54" s="1"/>
  <c r="GS6" i="70"/>
  <c r="GS51" s="1"/>
  <c r="CM55" i="72"/>
  <c r="CB68" i="84"/>
  <c r="CC6"/>
  <c r="CC54" s="1"/>
  <c r="CE61" i="70"/>
  <c r="CD62"/>
  <c r="CD64" s="1"/>
  <c r="CI56" i="72"/>
  <c r="CH62"/>
  <c r="CH64" s="1"/>
  <c r="CH63" i="84"/>
  <c r="CH66" s="1"/>
  <c r="CG66"/>
  <c r="CF56" i="68"/>
  <c r="CE62"/>
  <c r="CE64" s="1"/>
  <c r="CG56" i="70"/>
  <c r="GG58" i="86"/>
  <c r="GF66"/>
  <c r="CD58"/>
  <c r="CC66"/>
  <c r="HQ6" i="68"/>
  <c r="HQ51" s="1"/>
  <c r="CB6" i="86"/>
  <c r="CB54" s="1"/>
  <c r="CA68"/>
  <c r="CI55" i="70"/>
  <c r="CW55" i="68"/>
  <c r="GO58" i="84"/>
  <c r="GN66"/>
  <c r="HA69" i="90" l="1"/>
  <c r="S16" i="91" s="1"/>
  <c r="W16"/>
  <c r="HD58" i="90"/>
  <c r="HC66"/>
  <c r="HB68"/>
  <c r="HB69" s="1"/>
  <c r="HC6"/>
  <c r="HC54" s="1"/>
  <c r="GP58" i="84"/>
  <c r="GO66"/>
  <c r="CX55" i="68"/>
  <c r="CB68" i="86"/>
  <c r="CC6"/>
  <c r="CC54" s="1"/>
  <c r="HR6" i="68"/>
  <c r="HR51" s="1"/>
  <c r="CE58" i="86"/>
  <c r="CD66"/>
  <c r="GG66"/>
  <c r="GH58"/>
  <c r="CH56" i="70"/>
  <c r="CG56" i="68"/>
  <c r="CF62"/>
  <c r="CF64" s="1"/>
  <c r="CJ56" i="72"/>
  <c r="CI62"/>
  <c r="CI64" s="1"/>
  <c r="CF61" i="70"/>
  <c r="CE62"/>
  <c r="CE64" s="1"/>
  <c r="CN55" i="72"/>
  <c r="GT6" i="70"/>
  <c r="GT51" s="1"/>
  <c r="CJ55"/>
  <c r="CD6" i="84"/>
  <c r="CD54" s="1"/>
  <c r="CC68"/>
  <c r="HE58" i="90" l="1"/>
  <c r="HD66"/>
  <c r="HC68"/>
  <c r="HC69" s="1"/>
  <c r="HD6"/>
  <c r="HD54" s="1"/>
  <c r="CK55" i="70"/>
  <c r="CD68" i="84"/>
  <c r="CE6"/>
  <c r="CE54" s="1"/>
  <c r="GU6" i="70"/>
  <c r="GU51" s="1"/>
  <c r="CG61"/>
  <c r="CF62"/>
  <c r="CF64" s="1"/>
  <c r="CK56" i="72"/>
  <c r="CJ62"/>
  <c r="CJ64" s="1"/>
  <c r="CH56" i="68"/>
  <c r="CG62"/>
  <c r="CG64" s="1"/>
  <c r="CI56" i="70"/>
  <c r="CE66" i="86"/>
  <c r="CF58"/>
  <c r="CY55" i="68"/>
  <c r="GP66" i="84"/>
  <c r="GQ58"/>
  <c r="CO55" i="72"/>
  <c r="GH66" i="86"/>
  <c r="GI58"/>
  <c r="HS6" i="68"/>
  <c r="HS51" s="1"/>
  <c r="CC68" i="86"/>
  <c r="CD6"/>
  <c r="CD54" s="1"/>
  <c r="HF58" i="90" l="1"/>
  <c r="HE66"/>
  <c r="HD68"/>
  <c r="HD69" s="1"/>
  <c r="HE6"/>
  <c r="HE54" s="1"/>
  <c r="CE6" i="86"/>
  <c r="CE54" s="1"/>
  <c r="CD68"/>
  <c r="GJ58"/>
  <c r="GI66"/>
  <c r="CP55" i="72"/>
  <c r="HT6" i="68"/>
  <c r="HT51" s="1"/>
  <c r="CJ56" i="70"/>
  <c r="CI56" i="68"/>
  <c r="CH62"/>
  <c r="CH64" s="1"/>
  <c r="CL56" i="72"/>
  <c r="CK62"/>
  <c r="CK64" s="1"/>
  <c r="CH61" i="70"/>
  <c r="CG62"/>
  <c r="CG64" s="1"/>
  <c r="GV6"/>
  <c r="GV51" s="1"/>
  <c r="CL55"/>
  <c r="GR58" i="84"/>
  <c r="GQ66"/>
  <c r="CZ55" i="68"/>
  <c r="CF66" i="86"/>
  <c r="CG58"/>
  <c r="CE68" i="84"/>
  <c r="CF6"/>
  <c r="CF54" s="1"/>
  <c r="HG58" i="90" l="1"/>
  <c r="HF66"/>
  <c r="HE68"/>
  <c r="HE69" s="1"/>
  <c r="HF6"/>
  <c r="HF54" s="1"/>
  <c r="CG6" i="84"/>
  <c r="CG54" s="1"/>
  <c r="CF68"/>
  <c r="CG66" i="86"/>
  <c r="CH58"/>
  <c r="CH66" s="1"/>
  <c r="DA55" i="68"/>
  <c r="GS58" i="84"/>
  <c r="GR66"/>
  <c r="CI61" i="70"/>
  <c r="CH62"/>
  <c r="CH64" s="1"/>
  <c r="CM56" i="72"/>
  <c r="CL62"/>
  <c r="CL64" s="1"/>
  <c r="CJ56" i="68"/>
  <c r="CI62"/>
  <c r="CI64" s="1"/>
  <c r="CK56" i="70"/>
  <c r="HU6" i="68"/>
  <c r="HU51" s="1"/>
  <c r="GJ66" i="86"/>
  <c r="GK58"/>
  <c r="CF6"/>
  <c r="CF54" s="1"/>
  <c r="CE68"/>
  <c r="CM55" i="70"/>
  <c r="GW6"/>
  <c r="GW51" s="1"/>
  <c r="CQ55" i="72"/>
  <c r="HH58" i="90" l="1"/>
  <c r="HG66"/>
  <c r="HF68"/>
  <c r="HF69" s="1"/>
  <c r="HG6"/>
  <c r="HG54" s="1"/>
  <c r="CN55" i="70"/>
  <c r="CR55" i="72"/>
  <c r="GX6" i="70"/>
  <c r="GX51" s="1"/>
  <c r="CG6" i="86"/>
  <c r="CG54" s="1"/>
  <c r="CF68"/>
  <c r="HV6" i="68"/>
  <c r="HV51" s="1"/>
  <c r="CL56" i="70"/>
  <c r="CK56" i="68"/>
  <c r="CJ62"/>
  <c r="CJ64" s="1"/>
  <c r="CN56" i="72"/>
  <c r="CM62"/>
  <c r="CM64" s="1"/>
  <c r="CJ61" i="70"/>
  <c r="CI62"/>
  <c r="CI64" s="1"/>
  <c r="GT58" i="84"/>
  <c r="GS66"/>
  <c r="CG68"/>
  <c r="CH6"/>
  <c r="CH54" s="1"/>
  <c r="GK66" i="86"/>
  <c r="GL58"/>
  <c r="DB55" i="68"/>
  <c r="HI58" i="90" l="1"/>
  <c r="HH66"/>
  <c r="HG68"/>
  <c r="HG69" s="1"/>
  <c r="HH6"/>
  <c r="HH54" s="1"/>
  <c r="GL66" i="86"/>
  <c r="GM58"/>
  <c r="CI6" i="84"/>
  <c r="CI54" s="1"/>
  <c r="CH68"/>
  <c r="DC55" i="68"/>
  <c r="GT66" i="84"/>
  <c r="GU58"/>
  <c r="CK61" i="70"/>
  <c r="CJ62"/>
  <c r="CJ64" s="1"/>
  <c r="CO56" i="72"/>
  <c r="CN62"/>
  <c r="CN64" s="1"/>
  <c r="CL56" i="68"/>
  <c r="CK62"/>
  <c r="CK64" s="1"/>
  <c r="CM56" i="70"/>
  <c r="HW6" i="68"/>
  <c r="HW51" s="1"/>
  <c r="CH6" i="86"/>
  <c r="CH54" s="1"/>
  <c r="CG68"/>
  <c r="CS55" i="72"/>
  <c r="CO55" i="70"/>
  <c r="GY6"/>
  <c r="GY51" s="1"/>
  <c r="HJ58" i="90" l="1"/>
  <c r="HI66"/>
  <c r="HH68"/>
  <c r="HH69" s="1"/>
  <c r="HI6"/>
  <c r="HI54" s="1"/>
  <c r="GZ6" i="70"/>
  <c r="GZ51" s="1"/>
  <c r="CT55" i="72"/>
  <c r="CH68" i="86"/>
  <c r="CI6"/>
  <c r="CI54" s="1"/>
  <c r="HX6" i="68"/>
  <c r="HX51" s="1"/>
  <c r="CN56" i="70"/>
  <c r="CM56" i="68"/>
  <c r="CL62"/>
  <c r="CL64" s="1"/>
  <c r="CP56" i="72"/>
  <c r="CO62"/>
  <c r="CO64" s="1"/>
  <c r="CL61" i="70"/>
  <c r="CK62"/>
  <c r="CK64" s="1"/>
  <c r="DD55" i="68"/>
  <c r="CI68" i="84"/>
  <c r="CJ6"/>
  <c r="CJ54" s="1"/>
  <c r="CP55" i="70"/>
  <c r="GV58" i="84"/>
  <c r="GU66"/>
  <c r="GM66" i="86"/>
  <c r="GN58"/>
  <c r="HK58" i="90" l="1"/>
  <c r="HJ66"/>
  <c r="HI68"/>
  <c r="HI69" s="1"/>
  <c r="HJ6"/>
  <c r="HJ54" s="1"/>
  <c r="GN66" i="86"/>
  <c r="GO58"/>
  <c r="CQ55" i="70"/>
  <c r="CJ68" i="84"/>
  <c r="CK6"/>
  <c r="CK54" s="1"/>
  <c r="GV66"/>
  <c r="GW58"/>
  <c r="DE55" i="68"/>
  <c r="CM61" i="70"/>
  <c r="CL62"/>
  <c r="CL64" s="1"/>
  <c r="CQ56" i="72"/>
  <c r="CP62"/>
  <c r="CP64" s="1"/>
  <c r="CN56" i="68"/>
  <c r="CM62"/>
  <c r="CM64" s="1"/>
  <c r="CO56" i="70"/>
  <c r="CU55" i="72"/>
  <c r="HA6" i="70"/>
  <c r="HA51" s="1"/>
  <c r="HY6" i="68"/>
  <c r="HY51" s="1"/>
  <c r="CI68" i="86"/>
  <c r="CJ6"/>
  <c r="CJ54" s="1"/>
  <c r="HL58" i="90" l="1"/>
  <c r="HK66"/>
  <c r="HJ68"/>
  <c r="HJ69" s="1"/>
  <c r="HK6"/>
  <c r="HK54" s="1"/>
  <c r="CK6" i="86"/>
  <c r="CK54" s="1"/>
  <c r="CJ68"/>
  <c r="HZ6" i="68"/>
  <c r="HZ51" s="1"/>
  <c r="HB6" i="70"/>
  <c r="HB51" s="1"/>
  <c r="CV55" i="72"/>
  <c r="CP56" i="70"/>
  <c r="CO56" i="68"/>
  <c r="CN62"/>
  <c r="CN64" s="1"/>
  <c r="CR56" i="72"/>
  <c r="CQ62"/>
  <c r="CQ64" s="1"/>
  <c r="CN61" i="70"/>
  <c r="CM62"/>
  <c r="CM64" s="1"/>
  <c r="DF55" i="68"/>
  <c r="GX58" i="84"/>
  <c r="GW66"/>
  <c r="CL6"/>
  <c r="CL54" s="1"/>
  <c r="CK68"/>
  <c r="CR55" i="70"/>
  <c r="GO66" i="86"/>
  <c r="GP58"/>
  <c r="HM58" i="90" l="1"/>
  <c r="HL66"/>
  <c r="HK68"/>
  <c r="HK69" s="1"/>
  <c r="HL6"/>
  <c r="HL54" s="1"/>
  <c r="CS55" i="70"/>
  <c r="CL68" i="84"/>
  <c r="CM6"/>
  <c r="CM54" s="1"/>
  <c r="GX66"/>
  <c r="GY58"/>
  <c r="DG55" i="68"/>
  <c r="CO61" i="70"/>
  <c r="CN62"/>
  <c r="CN64" s="1"/>
  <c r="CS56" i="72"/>
  <c r="CR62"/>
  <c r="CR64" s="1"/>
  <c r="CP56" i="68"/>
  <c r="CO62"/>
  <c r="CO64" s="1"/>
  <c r="CQ56" i="70"/>
  <c r="CW55" i="72"/>
  <c r="HC6" i="70"/>
  <c r="HC51" s="1"/>
  <c r="CK68" i="86"/>
  <c r="CL6"/>
  <c r="CL54" s="1"/>
  <c r="GP66"/>
  <c r="GQ58"/>
  <c r="IA6" i="68"/>
  <c r="IA51" s="1"/>
  <c r="HN58" i="90" l="1"/>
  <c r="HM66"/>
  <c r="HL68"/>
  <c r="HL69" s="1"/>
  <c r="HM6"/>
  <c r="HM54" s="1"/>
  <c r="IB6" i="68"/>
  <c r="IB51" s="1"/>
  <c r="CL68" i="86"/>
  <c r="CM6"/>
  <c r="CM54" s="1"/>
  <c r="HD6" i="70"/>
  <c r="HD51" s="1"/>
  <c r="CR56"/>
  <c r="CQ56" i="68"/>
  <c r="CP62"/>
  <c r="CP64" s="1"/>
  <c r="CT56" i="72"/>
  <c r="CS62"/>
  <c r="CS64" s="1"/>
  <c r="CP61" i="70"/>
  <c r="CO62"/>
  <c r="CO64" s="1"/>
  <c r="DH55" i="68"/>
  <c r="GQ66" i="86"/>
  <c r="GR58"/>
  <c r="CX55" i="72"/>
  <c r="GZ58" i="84"/>
  <c r="GY66"/>
  <c r="CN6"/>
  <c r="CN54" s="1"/>
  <c r="CM68"/>
  <c r="CT55" i="70"/>
  <c r="HO58" i="90" l="1"/>
  <c r="HN66"/>
  <c r="HM68"/>
  <c r="HM69" s="1"/>
  <c r="HN6"/>
  <c r="HN54" s="1"/>
  <c r="CU55" i="70"/>
  <c r="CN68" i="84"/>
  <c r="CO6"/>
  <c r="CO54" s="1"/>
  <c r="GZ66"/>
  <c r="HA58"/>
  <c r="CY55" i="72"/>
  <c r="DI55" i="68"/>
  <c r="CQ61" i="70"/>
  <c r="CP62"/>
  <c r="CP64" s="1"/>
  <c r="CU56" i="72"/>
  <c r="CT62"/>
  <c r="CT64" s="1"/>
  <c r="CR56" i="68"/>
  <c r="CQ62"/>
  <c r="CQ64" s="1"/>
  <c r="CS56" i="70"/>
  <c r="HE6"/>
  <c r="HE51" s="1"/>
  <c r="GR66" i="86"/>
  <c r="GS58"/>
  <c r="CN6"/>
  <c r="CN54" s="1"/>
  <c r="CM68"/>
  <c r="IC6" i="68"/>
  <c r="IC51" s="1"/>
  <c r="HP58" i="90" l="1"/>
  <c r="HO66"/>
  <c r="HN68"/>
  <c r="HN69" s="1"/>
  <c r="HO6"/>
  <c r="HO54" s="1"/>
  <c r="GS66" i="86"/>
  <c r="GT58"/>
  <c r="ID6" i="68"/>
  <c r="ID51" s="1"/>
  <c r="CO6" i="86"/>
  <c r="CO54" s="1"/>
  <c r="CN68"/>
  <c r="HF6" i="70"/>
  <c r="HF51" s="1"/>
  <c r="CT56"/>
  <c r="CS56" i="68"/>
  <c r="CR62"/>
  <c r="CR64" s="1"/>
  <c r="CV56" i="72"/>
  <c r="CU62"/>
  <c r="CU64" s="1"/>
  <c r="CR61" i="70"/>
  <c r="CQ62"/>
  <c r="CQ64" s="1"/>
  <c r="DJ55" i="68"/>
  <c r="CZ55" i="72"/>
  <c r="HB58" i="84"/>
  <c r="HA66"/>
  <c r="CP6"/>
  <c r="CP54" s="1"/>
  <c r="CO68"/>
  <c r="CV55" i="70"/>
  <c r="HQ58" i="90" l="1"/>
  <c r="HP66"/>
  <c r="HO68"/>
  <c r="HO69" s="1"/>
  <c r="HP6"/>
  <c r="HP54" s="1"/>
  <c r="CP68" i="84"/>
  <c r="CQ6"/>
  <c r="CQ54" s="1"/>
  <c r="HB66"/>
  <c r="HC58"/>
  <c r="DK55" i="68"/>
  <c r="CS61" i="70"/>
  <c r="CR62"/>
  <c r="CR64" s="1"/>
  <c r="CW56" i="72"/>
  <c r="CV62"/>
  <c r="CV64" s="1"/>
  <c r="CT56" i="68"/>
  <c r="CS62"/>
  <c r="CS64" s="1"/>
  <c r="CU56" i="70"/>
  <c r="HG6"/>
  <c r="HG51" s="1"/>
  <c r="CP6" i="86"/>
  <c r="CP54" s="1"/>
  <c r="CO68"/>
  <c r="IE6" i="68"/>
  <c r="IE51" s="1"/>
  <c r="CW55" i="70"/>
  <c r="DA55" i="72"/>
  <c r="GT66" i="86"/>
  <c r="GU58"/>
  <c r="HR58" i="90" l="1"/>
  <c r="HQ66"/>
  <c r="HP68"/>
  <c r="HP69" s="1"/>
  <c r="HQ6"/>
  <c r="HQ54" s="1"/>
  <c r="CX55" i="70"/>
  <c r="DB55" i="72"/>
  <c r="IF6" i="68"/>
  <c r="IF51" s="1"/>
  <c r="CP68" i="86"/>
  <c r="CQ6"/>
  <c r="CQ54" s="1"/>
  <c r="CV56" i="70"/>
  <c r="CU56" i="68"/>
  <c r="CT62"/>
  <c r="CT64" s="1"/>
  <c r="CX56" i="72"/>
  <c r="CW62"/>
  <c r="CW64" s="1"/>
  <c r="CT61" i="70"/>
  <c r="CS62"/>
  <c r="CS64" s="1"/>
  <c r="DL55" i="68"/>
  <c r="GU66" i="86"/>
  <c r="GV58"/>
  <c r="HH6" i="70"/>
  <c r="HH51" s="1"/>
  <c r="HC66" i="84"/>
  <c r="HD58"/>
  <c r="CR6"/>
  <c r="CR54" s="1"/>
  <c r="CQ68"/>
  <c r="HS58" i="90" l="1"/>
  <c r="HR66"/>
  <c r="JJ58"/>
  <c r="JJ66" s="1"/>
  <c r="JJ68" s="1"/>
  <c r="JJ69" s="1"/>
  <c r="HQ68"/>
  <c r="HQ69" s="1"/>
  <c r="HR6"/>
  <c r="HR54" s="1"/>
  <c r="CR68" i="84"/>
  <c r="CS6"/>
  <c r="CS54" s="1"/>
  <c r="HI6" i="70"/>
  <c r="HI51" s="1"/>
  <c r="DM55" i="68"/>
  <c r="CU61" i="70"/>
  <c r="CT62"/>
  <c r="CT64" s="1"/>
  <c r="CY56" i="72"/>
  <c r="CX62"/>
  <c r="CX64" s="1"/>
  <c r="CV56" i="68"/>
  <c r="CU62"/>
  <c r="CU64" s="1"/>
  <c r="CW56" i="70"/>
  <c r="IG6" i="68"/>
  <c r="IG51" s="1"/>
  <c r="HD66" i="84"/>
  <c r="HE58"/>
  <c r="GV66" i="86"/>
  <c r="GW58"/>
  <c r="CQ68"/>
  <c r="CR6"/>
  <c r="CR54" s="1"/>
  <c r="DC55" i="72"/>
  <c r="CY55" i="70"/>
  <c r="EJ75" i="90" l="1"/>
  <c r="HT58"/>
  <c r="HS66"/>
  <c r="HR68"/>
  <c r="HR69" s="1"/>
  <c r="HS6"/>
  <c r="HS54" s="1"/>
  <c r="GW66" i="86"/>
  <c r="GX58"/>
  <c r="CZ55" i="70"/>
  <c r="DD55" i="72"/>
  <c r="IH6" i="68"/>
  <c r="IH51" s="1"/>
  <c r="CX56" i="70"/>
  <c r="CW56" i="68"/>
  <c r="CV62"/>
  <c r="CV64" s="1"/>
  <c r="CZ56" i="72"/>
  <c r="CY62"/>
  <c r="CY64" s="1"/>
  <c r="CV61" i="70"/>
  <c r="CU62"/>
  <c r="CU64" s="1"/>
  <c r="HJ6"/>
  <c r="HJ51" s="1"/>
  <c r="CR68" i="86"/>
  <c r="CS6"/>
  <c r="CS54" s="1"/>
  <c r="HF58" i="84"/>
  <c r="HE66"/>
  <c r="DN55" i="68"/>
  <c r="CT6" i="84"/>
  <c r="CT54" s="1"/>
  <c r="CS68"/>
  <c r="HU58" i="90" l="1"/>
  <c r="HT66"/>
  <c r="HS68"/>
  <c r="HT6"/>
  <c r="HT54" s="1"/>
  <c r="CT68" i="84"/>
  <c r="CU6"/>
  <c r="CU54" s="1"/>
  <c r="DO55" i="68"/>
  <c r="HF66" i="84"/>
  <c r="HG58"/>
  <c r="HK6" i="70"/>
  <c r="HK51" s="1"/>
  <c r="CW61"/>
  <c r="CV62"/>
  <c r="CV64" s="1"/>
  <c r="DA56" i="72"/>
  <c r="CZ62"/>
  <c r="CZ64" s="1"/>
  <c r="CX56" i="68"/>
  <c r="CW62"/>
  <c r="CW64" s="1"/>
  <c r="CY56" i="70"/>
  <c r="DE55" i="72"/>
  <c r="CS68" i="86"/>
  <c r="CT6"/>
  <c r="CT54" s="1"/>
  <c r="II6" i="68"/>
  <c r="II51" s="1"/>
  <c r="DA55" i="70"/>
  <c r="GX66" i="86"/>
  <c r="GY58"/>
  <c r="HS69" i="90" l="1"/>
  <c r="S17" i="91" s="1"/>
  <c r="W17"/>
  <c r="HV58" i="90"/>
  <c r="HU66"/>
  <c r="HT68"/>
  <c r="HT69" s="1"/>
  <c r="HU6"/>
  <c r="HU54" s="1"/>
  <c r="DB55" i="70"/>
  <c r="IJ6" i="68"/>
  <c r="IJ51" s="1"/>
  <c r="CZ56" i="70"/>
  <c r="CY56" i="68"/>
  <c r="CX62"/>
  <c r="CX64" s="1"/>
  <c r="DB56" i="72"/>
  <c r="DA62"/>
  <c r="DA64" s="1"/>
  <c r="CX61" i="70"/>
  <c r="CW62"/>
  <c r="CW64" s="1"/>
  <c r="HL6"/>
  <c r="HL51" s="1"/>
  <c r="DP55" i="68"/>
  <c r="GY66" i="86"/>
  <c r="GZ58"/>
  <c r="CU6"/>
  <c r="CU54" s="1"/>
  <c r="CT68"/>
  <c r="DF55" i="72"/>
  <c r="HH58" i="84"/>
  <c r="HG66"/>
  <c r="CV6"/>
  <c r="CV54" s="1"/>
  <c r="CU68"/>
  <c r="HW58" i="90" l="1"/>
  <c r="HV66"/>
  <c r="HU68"/>
  <c r="HU69" s="1"/>
  <c r="HV6"/>
  <c r="HV54" s="1"/>
  <c r="CV68" i="84"/>
  <c r="CW6"/>
  <c r="CW54" s="1"/>
  <c r="HI58"/>
  <c r="HI66" s="1"/>
  <c r="HH66"/>
  <c r="CU68" i="86"/>
  <c r="CV6"/>
  <c r="CV54" s="1"/>
  <c r="DQ55" i="68"/>
  <c r="CY61" i="70"/>
  <c r="CX62"/>
  <c r="CX64" s="1"/>
  <c r="DC56" i="72"/>
  <c r="DB62"/>
  <c r="DB64" s="1"/>
  <c r="CZ56" i="68"/>
  <c r="CY62"/>
  <c r="CY64" s="1"/>
  <c r="DA56" i="70"/>
  <c r="IK6" i="68"/>
  <c r="IK51" s="1"/>
  <c r="DC55" i="70"/>
  <c r="DG55" i="72"/>
  <c r="GZ66" i="86"/>
  <c r="HA58"/>
  <c r="HM6" i="70"/>
  <c r="HM51" s="1"/>
  <c r="HX58" i="90" l="1"/>
  <c r="HW66"/>
  <c r="HV68"/>
  <c r="HV69" s="1"/>
  <c r="HW6"/>
  <c r="HW54" s="1"/>
  <c r="DH55" i="72"/>
  <c r="DD55" i="70"/>
  <c r="HN6"/>
  <c r="HN51" s="1"/>
  <c r="IL6" i="68"/>
  <c r="IL51" s="1"/>
  <c r="DB56" i="70"/>
  <c r="DA56" i="68"/>
  <c r="CZ62"/>
  <c r="CZ64" s="1"/>
  <c r="DD56" i="72"/>
  <c r="DC62"/>
  <c r="DC64" s="1"/>
  <c r="CZ61" i="70"/>
  <c r="CY62"/>
  <c r="CY64" s="1"/>
  <c r="HA66" i="86"/>
  <c r="HB58"/>
  <c r="DR55" i="68"/>
  <c r="CW6" i="86"/>
  <c r="CW54" s="1"/>
  <c r="CV68"/>
  <c r="CW68" i="84"/>
  <c r="CX6"/>
  <c r="CX54" s="1"/>
  <c r="HY58" i="90" l="1"/>
  <c r="HX66"/>
  <c r="HW68"/>
  <c r="HW69" s="1"/>
  <c r="HX6"/>
  <c r="HX54" s="1"/>
  <c r="CW68" i="86"/>
  <c r="CX6"/>
  <c r="CX54" s="1"/>
  <c r="DS55" i="68"/>
  <c r="DA61" i="70"/>
  <c r="CZ62"/>
  <c r="CZ64" s="1"/>
  <c r="DE56" i="72"/>
  <c r="DD62"/>
  <c r="DD64" s="1"/>
  <c r="DB56" i="68"/>
  <c r="DA62"/>
  <c r="DA64" s="1"/>
  <c r="DC56" i="70"/>
  <c r="IM6" i="68"/>
  <c r="IM51" s="1"/>
  <c r="DI55" i="72"/>
  <c r="CX68" i="84"/>
  <c r="CY6"/>
  <c r="CY54" s="1"/>
  <c r="HB66" i="86"/>
  <c r="HC58"/>
  <c r="HO6" i="70"/>
  <c r="HO51" s="1"/>
  <c r="DE55"/>
  <c r="HZ58" i="90" l="1"/>
  <c r="HY66"/>
  <c r="HX68"/>
  <c r="HX69" s="1"/>
  <c r="HY6"/>
  <c r="HY54" s="1"/>
  <c r="DF55" i="70"/>
  <c r="HC66" i="86"/>
  <c r="HD58"/>
  <c r="HP6" i="70"/>
  <c r="HP51" s="1"/>
  <c r="DJ55" i="72"/>
  <c r="IN6" i="68"/>
  <c r="IN51" s="1"/>
  <c r="DD56" i="70"/>
  <c r="DC56" i="68"/>
  <c r="DB62"/>
  <c r="DB64" s="1"/>
  <c r="DF56" i="72"/>
  <c r="DE62"/>
  <c r="DE64" s="1"/>
  <c r="DB61" i="70"/>
  <c r="DA62"/>
  <c r="DA64" s="1"/>
  <c r="CZ6" i="84"/>
  <c r="CZ54" s="1"/>
  <c r="CY68"/>
  <c r="DT55" i="68"/>
  <c r="CX68" i="86"/>
  <c r="CY6"/>
  <c r="CY54" s="1"/>
  <c r="IA58" i="90" l="1"/>
  <c r="HZ66"/>
  <c r="HY68"/>
  <c r="HY69" s="1"/>
  <c r="HZ6"/>
  <c r="HZ54" s="1"/>
  <c r="DU55" i="68"/>
  <c r="CZ68" i="84"/>
  <c r="DA6"/>
  <c r="DA54" s="1"/>
  <c r="DC61" i="70"/>
  <c r="DB62"/>
  <c r="DB64" s="1"/>
  <c r="DG56" i="72"/>
  <c r="DF62"/>
  <c r="DF64" s="1"/>
  <c r="DD56" i="68"/>
  <c r="DC62"/>
  <c r="DC64" s="1"/>
  <c r="DE56" i="70"/>
  <c r="DK55" i="72"/>
  <c r="HQ6" i="70"/>
  <c r="HQ51" s="1"/>
  <c r="CY68" i="86"/>
  <c r="CZ6"/>
  <c r="CZ54" s="1"/>
  <c r="IO6" i="68"/>
  <c r="IO51" s="1"/>
  <c r="HD66" i="86"/>
  <c r="HE58"/>
  <c r="DG55" i="70"/>
  <c r="IB58" i="90" l="1"/>
  <c r="IA66"/>
  <c r="HZ68"/>
  <c r="HZ69" s="1"/>
  <c r="IA6"/>
  <c r="IA54" s="1"/>
  <c r="HE66" i="86"/>
  <c r="HF58"/>
  <c r="DA6"/>
  <c r="DA54" s="1"/>
  <c r="CZ68"/>
  <c r="DH55" i="70"/>
  <c r="IP6" i="68"/>
  <c r="IP51" s="1"/>
  <c r="DL55" i="72"/>
  <c r="DF56" i="70"/>
  <c r="DE56" i="68"/>
  <c r="DD62"/>
  <c r="DD64" s="1"/>
  <c r="DH56" i="72"/>
  <c r="DG62"/>
  <c r="DG64" s="1"/>
  <c r="DD61" i="70"/>
  <c r="DC62"/>
  <c r="DC64" s="1"/>
  <c r="HR6"/>
  <c r="HR51" s="1"/>
  <c r="DB6" i="84"/>
  <c r="DB54" s="1"/>
  <c r="DA68"/>
  <c r="DV55" i="68"/>
  <c r="IC58" i="90" l="1"/>
  <c r="IB66"/>
  <c r="IA68"/>
  <c r="IA69" s="1"/>
  <c r="IB6"/>
  <c r="IB54" s="1"/>
  <c r="DB68" i="84"/>
  <c r="DC6"/>
  <c r="DC54" s="1"/>
  <c r="HS6" i="70"/>
  <c r="HS51" s="1"/>
  <c r="DE61"/>
  <c r="DD62"/>
  <c r="DD64" s="1"/>
  <c r="DI56" i="72"/>
  <c r="DH62"/>
  <c r="DH64" s="1"/>
  <c r="DF56" i="68"/>
  <c r="DE62"/>
  <c r="DE64" s="1"/>
  <c r="DG56" i="70"/>
  <c r="IQ6" i="68"/>
  <c r="IQ51" s="1"/>
  <c r="DA68" i="86"/>
  <c r="DB6"/>
  <c r="DB54" s="1"/>
  <c r="DW55" i="68"/>
  <c r="DM55" i="72"/>
  <c r="DI55" i="70"/>
  <c r="HF66" i="86"/>
  <c r="HG58"/>
  <c r="ID58" i="90" l="1"/>
  <c r="IC66"/>
  <c r="IB68"/>
  <c r="IB69" s="1"/>
  <c r="IC6"/>
  <c r="IC54" s="1"/>
  <c r="HG66" i="86"/>
  <c r="HH58"/>
  <c r="DJ55" i="70"/>
  <c r="DN55" i="72"/>
  <c r="DX55" i="68"/>
  <c r="IR6"/>
  <c r="IR51" s="1"/>
  <c r="DH56" i="70"/>
  <c r="DG56" i="68"/>
  <c r="DF62"/>
  <c r="DF64" s="1"/>
  <c r="DJ56" i="72"/>
  <c r="DI62"/>
  <c r="DI64" s="1"/>
  <c r="DF61" i="70"/>
  <c r="DE62"/>
  <c r="DE64" s="1"/>
  <c r="DB68" i="86"/>
  <c r="DC6"/>
  <c r="DC54" s="1"/>
  <c r="HT6" i="70"/>
  <c r="HT51" s="1"/>
  <c r="DC68" i="84"/>
  <c r="DD6"/>
  <c r="DD54" s="1"/>
  <c r="IE58" i="90" l="1"/>
  <c r="ID66"/>
  <c r="IC68"/>
  <c r="IC69" s="1"/>
  <c r="ID6"/>
  <c r="ID54" s="1"/>
  <c r="DE6" i="84"/>
  <c r="DE54" s="1"/>
  <c r="DD68"/>
  <c r="HU6" i="70"/>
  <c r="HU51" s="1"/>
  <c r="DG61"/>
  <c r="DF62"/>
  <c r="DF64" s="1"/>
  <c r="DK56" i="72"/>
  <c r="DJ62"/>
  <c r="DJ64" s="1"/>
  <c r="DH56" i="68"/>
  <c r="DG62"/>
  <c r="DG64" s="1"/>
  <c r="DI56" i="70"/>
  <c r="DO55" i="72"/>
  <c r="DC68" i="86"/>
  <c r="DD6"/>
  <c r="DD54" s="1"/>
  <c r="IS6" i="68"/>
  <c r="IS51" s="1"/>
  <c r="DY55"/>
  <c r="DK55" i="70"/>
  <c r="HH66" i="86"/>
  <c r="HI58"/>
  <c r="HI66" s="1"/>
  <c r="IF58" i="90" l="1"/>
  <c r="IE66"/>
  <c r="ID68"/>
  <c r="ID69" s="1"/>
  <c r="IE6"/>
  <c r="IE54" s="1"/>
  <c r="IT6" i="68"/>
  <c r="IT51" s="1"/>
  <c r="DL55" i="70"/>
  <c r="DP55" i="72"/>
  <c r="DJ56" i="70"/>
  <c r="DI56" i="68"/>
  <c r="DH62"/>
  <c r="DH64" s="1"/>
  <c r="DL56" i="72"/>
  <c r="DK62"/>
  <c r="DK64" s="1"/>
  <c r="DH61" i="70"/>
  <c r="DG62"/>
  <c r="DG64" s="1"/>
  <c r="HV6"/>
  <c r="HV51" s="1"/>
  <c r="DE68" i="84"/>
  <c r="DF6"/>
  <c r="DF54" s="1"/>
  <c r="DZ55" i="68"/>
  <c r="DD68" i="86"/>
  <c r="DE6"/>
  <c r="DE54" s="1"/>
  <c r="IG58" i="90" l="1"/>
  <c r="IF66"/>
  <c r="IE68"/>
  <c r="IE69" s="1"/>
  <c r="IF6"/>
  <c r="IF54" s="1"/>
  <c r="DF6" i="86"/>
  <c r="DF54" s="1"/>
  <c r="DE68"/>
  <c r="DF68" i="84"/>
  <c r="DG6"/>
  <c r="DG54" s="1"/>
  <c r="EA55" i="68"/>
  <c r="HW6" i="70"/>
  <c r="HW51" s="1"/>
  <c r="DI61"/>
  <c r="DH62"/>
  <c r="DH64" s="1"/>
  <c r="DM56" i="72"/>
  <c r="DL62"/>
  <c r="DL64" s="1"/>
  <c r="DJ56" i="68"/>
  <c r="DI62"/>
  <c r="DI64" s="1"/>
  <c r="DK56" i="70"/>
  <c r="DQ55" i="72"/>
  <c r="DM55" i="70"/>
  <c r="IH58" i="90" l="1"/>
  <c r="IG66"/>
  <c r="IF68"/>
  <c r="IF69" s="1"/>
  <c r="IG6"/>
  <c r="IG54" s="1"/>
  <c r="DF68" i="86"/>
  <c r="DG6"/>
  <c r="DG54" s="1"/>
  <c r="DN55" i="70"/>
  <c r="DR55" i="72"/>
  <c r="DL56" i="70"/>
  <c r="DK56" i="68"/>
  <c r="DJ62"/>
  <c r="DJ64" s="1"/>
  <c r="DN56" i="72"/>
  <c r="DM62"/>
  <c r="DM64" s="1"/>
  <c r="DJ61" i="70"/>
  <c r="DI62"/>
  <c r="DI64" s="1"/>
  <c r="HX6"/>
  <c r="HX51" s="1"/>
  <c r="EB55" i="68"/>
  <c r="DG68" i="84"/>
  <c r="DH6"/>
  <c r="DH54" s="1"/>
  <c r="II58" i="90" l="1"/>
  <c r="IH66"/>
  <c r="IG68"/>
  <c r="IG69" s="1"/>
  <c r="IH6"/>
  <c r="IH54" s="1"/>
  <c r="EC55" i="68"/>
  <c r="HY6" i="70"/>
  <c r="HY51" s="1"/>
  <c r="DK61"/>
  <c r="DJ62"/>
  <c r="DJ64" s="1"/>
  <c r="DO56" i="72"/>
  <c r="DN62"/>
  <c r="DN64" s="1"/>
  <c r="DL56" i="68"/>
  <c r="DK62"/>
  <c r="DK64" s="1"/>
  <c r="DM56" i="70"/>
  <c r="DS55" i="72"/>
  <c r="DO55" i="70"/>
  <c r="DH68" i="84"/>
  <c r="DI6"/>
  <c r="DI54" s="1"/>
  <c r="DH6" i="86"/>
  <c r="DH54" s="1"/>
  <c r="DG68"/>
  <c r="IJ58" i="90" l="1"/>
  <c r="II66"/>
  <c r="IH68"/>
  <c r="IH69" s="1"/>
  <c r="II6"/>
  <c r="II54" s="1"/>
  <c r="DI68" i="84"/>
  <c r="DJ6"/>
  <c r="DJ54" s="1"/>
  <c r="DI6" i="86"/>
  <c r="DI54" s="1"/>
  <c r="DH68"/>
  <c r="DT55" i="72"/>
  <c r="DN56" i="70"/>
  <c r="DM56" i="68"/>
  <c r="DL62"/>
  <c r="DL64" s="1"/>
  <c r="DP56" i="72"/>
  <c r="DO62"/>
  <c r="DO64" s="1"/>
  <c r="DL61" i="70"/>
  <c r="DK62"/>
  <c r="DK64" s="1"/>
  <c r="HZ6"/>
  <c r="HZ51" s="1"/>
  <c r="ED55" i="68"/>
  <c r="DP55" i="70"/>
  <c r="IK58" i="90" l="1"/>
  <c r="IJ66"/>
  <c r="II68"/>
  <c r="II69" s="1"/>
  <c r="IJ6"/>
  <c r="IJ54" s="1"/>
  <c r="IA6" i="70"/>
  <c r="IA51" s="1"/>
  <c r="DQ55"/>
  <c r="EE55" i="68"/>
  <c r="DM61" i="70"/>
  <c r="DL62"/>
  <c r="DL64" s="1"/>
  <c r="DQ56" i="72"/>
  <c r="DP62"/>
  <c r="DP64" s="1"/>
  <c r="DN56" i="68"/>
  <c r="DM62"/>
  <c r="DM64" s="1"/>
  <c r="DO56" i="70"/>
  <c r="DU55" i="72"/>
  <c r="DJ6" i="86"/>
  <c r="DJ54" s="1"/>
  <c r="DI68"/>
  <c r="DK6" i="84"/>
  <c r="DK54" s="1"/>
  <c r="DJ68"/>
  <c r="IL58" i="90" l="1"/>
  <c r="IK66"/>
  <c r="IJ68"/>
  <c r="IJ69" s="1"/>
  <c r="IK6"/>
  <c r="IK54" s="1"/>
  <c r="DK68" i="84"/>
  <c r="DL6"/>
  <c r="DL54" s="1"/>
  <c r="DJ68" i="86"/>
  <c r="DK6"/>
  <c r="DK54" s="1"/>
  <c r="DV55" i="72"/>
  <c r="DP56" i="70"/>
  <c r="DO56" i="68"/>
  <c r="DN62"/>
  <c r="DN64" s="1"/>
  <c r="DR56" i="72"/>
  <c r="DQ62"/>
  <c r="DQ64" s="1"/>
  <c r="DN61" i="70"/>
  <c r="DM62"/>
  <c r="DM64" s="1"/>
  <c r="EF55" i="68"/>
  <c r="IB6" i="70"/>
  <c r="IB51" s="1"/>
  <c r="DR55"/>
  <c r="IM58" i="90" l="1"/>
  <c r="IL66"/>
  <c r="IK68"/>
  <c r="IK69" s="1"/>
  <c r="IL6"/>
  <c r="IL54" s="1"/>
  <c r="DS55" i="70"/>
  <c r="IC6"/>
  <c r="IC51" s="1"/>
  <c r="EG55" i="68"/>
  <c r="DO61" i="70"/>
  <c r="DN62"/>
  <c r="DN64" s="1"/>
  <c r="DS56" i="72"/>
  <c r="DR62"/>
  <c r="DR64" s="1"/>
  <c r="DP56" i="68"/>
  <c r="DO62"/>
  <c r="DO64" s="1"/>
  <c r="DQ56" i="70"/>
  <c r="DW55" i="72"/>
  <c r="DK68" i="86"/>
  <c r="DL6"/>
  <c r="DL54" s="1"/>
  <c r="DL68" i="84"/>
  <c r="DM6"/>
  <c r="DM54" s="1"/>
  <c r="IN58" i="90" l="1"/>
  <c r="IM66"/>
  <c r="IL68"/>
  <c r="IL69" s="1"/>
  <c r="IM6"/>
  <c r="IM54" s="1"/>
  <c r="DN6" i="84"/>
  <c r="DN54" s="1"/>
  <c r="DM68"/>
  <c r="DX55" i="72"/>
  <c r="DR56" i="70"/>
  <c r="DQ56" i="68"/>
  <c r="DP62"/>
  <c r="DP64" s="1"/>
  <c r="DT56" i="72"/>
  <c r="DS62"/>
  <c r="DS64" s="1"/>
  <c r="DP61" i="70"/>
  <c r="DO62"/>
  <c r="DO64" s="1"/>
  <c r="EH55" i="68"/>
  <c r="ID6" i="70"/>
  <c r="ID51" s="1"/>
  <c r="DM6" i="86"/>
  <c r="DM54" s="1"/>
  <c r="DL68"/>
  <c r="DT55" i="70"/>
  <c r="IO58" i="90" l="1"/>
  <c r="IN66"/>
  <c r="IM68"/>
  <c r="IM69" s="1"/>
  <c r="IN6"/>
  <c r="IN54" s="1"/>
  <c r="DU55" i="70"/>
  <c r="DN6" i="86"/>
  <c r="DN54" s="1"/>
  <c r="DM68"/>
  <c r="EI55" i="68"/>
  <c r="DQ61" i="70"/>
  <c r="DP62"/>
  <c r="DP64" s="1"/>
  <c r="DU56" i="72"/>
  <c r="DT62"/>
  <c r="DT64" s="1"/>
  <c r="DR56" i="68"/>
  <c r="DQ62"/>
  <c r="DQ64" s="1"/>
  <c r="DS56" i="70"/>
  <c r="DY55" i="72"/>
  <c r="DN68" i="84"/>
  <c r="DO6"/>
  <c r="DO54" s="1"/>
  <c r="IE6" i="70"/>
  <c r="IE51" s="1"/>
  <c r="IP58" i="90" l="1"/>
  <c r="IO66"/>
  <c r="IN68"/>
  <c r="IN69" s="1"/>
  <c r="IO6"/>
  <c r="IO54" s="1"/>
  <c r="DP6" i="84"/>
  <c r="DP54" s="1"/>
  <c r="DO68"/>
  <c r="IF6" i="70"/>
  <c r="IF51" s="1"/>
  <c r="DZ55" i="72"/>
  <c r="DT56" i="70"/>
  <c r="DS56" i="68"/>
  <c r="DR62"/>
  <c r="DR64" s="1"/>
  <c r="DV56" i="72"/>
  <c r="DU62"/>
  <c r="DU64" s="1"/>
  <c r="DR61" i="70"/>
  <c r="DQ62"/>
  <c r="DQ64" s="1"/>
  <c r="EJ55" i="68"/>
  <c r="DN68" i="86"/>
  <c r="DO6"/>
  <c r="DO54" s="1"/>
  <c r="DV55" i="70"/>
  <c r="IQ58" i="90" l="1"/>
  <c r="IP66"/>
  <c r="IO68"/>
  <c r="IO69" s="1"/>
  <c r="IP6"/>
  <c r="IP54" s="1"/>
  <c r="DW55" i="70"/>
  <c r="DP6" i="86"/>
  <c r="DP54" s="1"/>
  <c r="DO68"/>
  <c r="EK55" i="68"/>
  <c r="DS61" i="70"/>
  <c r="DR62"/>
  <c r="DR64" s="1"/>
  <c r="DW56" i="72"/>
  <c r="DV62"/>
  <c r="DV64" s="1"/>
  <c r="DT56" i="68"/>
  <c r="DS62"/>
  <c r="DS64" s="1"/>
  <c r="DU56" i="70"/>
  <c r="EA55" i="72"/>
  <c r="DP68" i="84"/>
  <c r="DQ6"/>
  <c r="DQ54" s="1"/>
  <c r="IG6" i="70"/>
  <c r="IG51" s="1"/>
  <c r="IR58" i="90" l="1"/>
  <c r="IQ66"/>
  <c r="IP68"/>
  <c r="IP69" s="1"/>
  <c r="IQ6"/>
  <c r="IQ54" s="1"/>
  <c r="DQ68" i="84"/>
  <c r="DR6"/>
  <c r="DR54" s="1"/>
  <c r="IH6" i="70"/>
  <c r="IH51" s="1"/>
  <c r="EB55" i="72"/>
  <c r="DV56" i="70"/>
  <c r="DU56" i="68"/>
  <c r="DT62"/>
  <c r="DT64" s="1"/>
  <c r="DX56" i="72"/>
  <c r="DW62"/>
  <c r="DW64" s="1"/>
  <c r="DT61" i="70"/>
  <c r="DS62"/>
  <c r="DS64" s="1"/>
  <c r="EL55" i="68"/>
  <c r="DP68" i="86"/>
  <c r="DQ6"/>
  <c r="DQ54" s="1"/>
  <c r="DX55" i="70"/>
  <c r="IS58" i="90" l="1"/>
  <c r="IR66"/>
  <c r="IQ68"/>
  <c r="IQ69" s="1"/>
  <c r="IR6"/>
  <c r="IR54" s="1"/>
  <c r="DY55" i="70"/>
  <c r="EM55" i="68"/>
  <c r="DU61" i="70"/>
  <c r="DT62"/>
  <c r="DT64" s="1"/>
  <c r="DY56" i="72"/>
  <c r="DX62"/>
  <c r="DX64" s="1"/>
  <c r="DV56" i="68"/>
  <c r="DU62"/>
  <c r="DU64" s="1"/>
  <c r="DW56" i="70"/>
  <c r="DR6" i="86"/>
  <c r="DR54" s="1"/>
  <c r="DQ68"/>
  <c r="EC55" i="72"/>
  <c r="II6" i="70"/>
  <c r="II51" s="1"/>
  <c r="DS6" i="84"/>
  <c r="DS54" s="1"/>
  <c r="DR68"/>
  <c r="IT58" i="90" l="1"/>
  <c r="IS66"/>
  <c r="IR68"/>
  <c r="IR69" s="1"/>
  <c r="IS6"/>
  <c r="IS54" s="1"/>
  <c r="DT6" i="84"/>
  <c r="DT54" s="1"/>
  <c r="DS68"/>
  <c r="IJ6" i="70"/>
  <c r="IJ51" s="1"/>
  <c r="ED55" i="72"/>
  <c r="DR68" i="86"/>
  <c r="DS6"/>
  <c r="DS54" s="1"/>
  <c r="DX56" i="70"/>
  <c r="DW56" i="68"/>
  <c r="DV62"/>
  <c r="DV64" s="1"/>
  <c r="DZ56" i="72"/>
  <c r="DY62"/>
  <c r="DY64" s="1"/>
  <c r="DV61" i="70"/>
  <c r="DU62"/>
  <c r="DU64" s="1"/>
  <c r="EN55" i="68"/>
  <c r="DZ55" i="70"/>
  <c r="IU58" i="90" l="1"/>
  <c r="IT66"/>
  <c r="IS68"/>
  <c r="IS69" s="1"/>
  <c r="IT6"/>
  <c r="IT54" s="1"/>
  <c r="EA55" i="70"/>
  <c r="DW61"/>
  <c r="DV62"/>
  <c r="DV64" s="1"/>
  <c r="EA56" i="72"/>
  <c r="DZ62"/>
  <c r="DZ64" s="1"/>
  <c r="DX56" i="68"/>
  <c r="DW62"/>
  <c r="DW64" s="1"/>
  <c r="DY56" i="70"/>
  <c r="EE55" i="72"/>
  <c r="IK6" i="70"/>
  <c r="IK51" s="1"/>
  <c r="DU6" i="84"/>
  <c r="DU54" s="1"/>
  <c r="DT68"/>
  <c r="EO55" i="68"/>
  <c r="DT6" i="86"/>
  <c r="DT54" s="1"/>
  <c r="DS68"/>
  <c r="IV58" i="90" l="1"/>
  <c r="IU66"/>
  <c r="IT68"/>
  <c r="IT69" s="1"/>
  <c r="IU6"/>
  <c r="IU54" s="1"/>
  <c r="DT68" i="86"/>
  <c r="DU6"/>
  <c r="DU54" s="1"/>
  <c r="EP55" i="68"/>
  <c r="DV6" i="84"/>
  <c r="DV54" s="1"/>
  <c r="DU68"/>
  <c r="IL6" i="70"/>
  <c r="IL51" s="1"/>
  <c r="EF55" i="72"/>
  <c r="DZ56" i="70"/>
  <c r="DY56" i="68"/>
  <c r="DX62"/>
  <c r="DX64" s="1"/>
  <c r="EB56" i="72"/>
  <c r="EA62"/>
  <c r="EA64" s="1"/>
  <c r="DX61" i="70"/>
  <c r="DW62"/>
  <c r="DW64" s="1"/>
  <c r="EB55"/>
  <c r="IX58" i="90" l="1"/>
  <c r="IV66"/>
  <c r="IU68"/>
  <c r="IU69" s="1"/>
  <c r="IV6"/>
  <c r="IV54" s="1"/>
  <c r="EC55" i="70"/>
  <c r="DY61"/>
  <c r="DX62"/>
  <c r="DX64" s="1"/>
  <c r="EC56" i="72"/>
  <c r="EB62"/>
  <c r="EB64" s="1"/>
  <c r="DZ56" i="68"/>
  <c r="DY62"/>
  <c r="DY64" s="1"/>
  <c r="EA56" i="70"/>
  <c r="EG55" i="72"/>
  <c r="IM6" i="70"/>
  <c r="IM51" s="1"/>
  <c r="DV68" i="84"/>
  <c r="DW6"/>
  <c r="DW54" s="1"/>
  <c r="EQ55" i="68"/>
  <c r="DV6" i="86"/>
  <c r="DV54" s="1"/>
  <c r="DU68"/>
  <c r="IY58" i="90" l="1"/>
  <c r="IX66"/>
  <c r="IV68"/>
  <c r="IV69" s="1"/>
  <c r="IX6"/>
  <c r="IX54" s="1"/>
  <c r="IN6" i="70"/>
  <c r="IN51" s="1"/>
  <c r="DV68" i="86"/>
  <c r="DW6"/>
  <c r="DW54" s="1"/>
  <c r="ER55" i="68"/>
  <c r="EH55" i="72"/>
  <c r="EB56" i="70"/>
  <c r="EA56" i="68"/>
  <c r="DZ62"/>
  <c r="DZ64" s="1"/>
  <c r="ED56" i="72"/>
  <c r="EC62"/>
  <c r="EC64" s="1"/>
  <c r="DZ61" i="70"/>
  <c r="DY62"/>
  <c r="DY64" s="1"/>
  <c r="DW68" i="84"/>
  <c r="DX6"/>
  <c r="DX54" s="1"/>
  <c r="ED55" i="70"/>
  <c r="IZ58" i="90" l="1"/>
  <c r="IY66"/>
  <c r="IX68"/>
  <c r="IX69" s="1"/>
  <c r="IY6"/>
  <c r="IY54" s="1"/>
  <c r="DX68" i="84"/>
  <c r="DY6"/>
  <c r="DY54" s="1"/>
  <c r="EA61" i="70"/>
  <c r="DZ62"/>
  <c r="DZ64" s="1"/>
  <c r="EE56" i="72"/>
  <c r="ED62"/>
  <c r="ED64" s="1"/>
  <c r="EB56" i="68"/>
  <c r="EA62"/>
  <c r="EA64" s="1"/>
  <c r="EC56" i="70"/>
  <c r="EI55" i="72"/>
  <c r="ES55" i="68"/>
  <c r="IO6" i="70"/>
  <c r="IO51" s="1"/>
  <c r="EE55"/>
  <c r="DX6" i="86"/>
  <c r="DX54" s="1"/>
  <c r="DW68"/>
  <c r="JA58" i="90" l="1"/>
  <c r="IZ66"/>
  <c r="IY68"/>
  <c r="IY69" s="1"/>
  <c r="IZ6"/>
  <c r="IZ54" s="1"/>
  <c r="IP6" i="70"/>
  <c r="IP51" s="1"/>
  <c r="DY6" i="86"/>
  <c r="DY54" s="1"/>
  <c r="DX68"/>
  <c r="ET55" i="68"/>
  <c r="EJ55" i="72"/>
  <c r="ED56" i="70"/>
  <c r="EC56" i="68"/>
  <c r="EB62"/>
  <c r="EB64" s="1"/>
  <c r="EF56" i="72"/>
  <c r="EE62"/>
  <c r="EE64" s="1"/>
  <c r="EB61" i="70"/>
  <c r="EA62"/>
  <c r="EA64" s="1"/>
  <c r="EF55"/>
  <c r="DZ6" i="84"/>
  <c r="DZ54" s="1"/>
  <c r="DY68"/>
  <c r="JB58" i="90" l="1"/>
  <c r="JA66"/>
  <c r="IZ68"/>
  <c r="IZ69" s="1"/>
  <c r="JA6"/>
  <c r="JA54" s="1"/>
  <c r="EG55" i="70"/>
  <c r="DZ68" i="84"/>
  <c r="EA6"/>
  <c r="EA54" s="1"/>
  <c r="EC61" i="70"/>
  <c r="EB62"/>
  <c r="EB64" s="1"/>
  <c r="EG56" i="72"/>
  <c r="EF62"/>
  <c r="EF64" s="1"/>
  <c r="ED56" i="68"/>
  <c r="EC62"/>
  <c r="EC64" s="1"/>
  <c r="EE56" i="70"/>
  <c r="EU55" i="68"/>
  <c r="DZ6" i="86"/>
  <c r="DZ54" s="1"/>
  <c r="DY68"/>
  <c r="IQ6" i="70"/>
  <c r="IQ51" s="1"/>
  <c r="EK55" i="72"/>
  <c r="JC58" i="90" l="1"/>
  <c r="JB66"/>
  <c r="JA68"/>
  <c r="JA69" s="1"/>
  <c r="JB6"/>
  <c r="JB54" s="1"/>
  <c r="IR6" i="70"/>
  <c r="IR51" s="1"/>
  <c r="EV55" i="68"/>
  <c r="DZ68" i="86"/>
  <c r="EA6"/>
  <c r="EA54" s="1"/>
  <c r="EF56" i="70"/>
  <c r="EE56" i="68"/>
  <c r="ED62"/>
  <c r="ED64" s="1"/>
  <c r="EH56" i="72"/>
  <c r="EG62"/>
  <c r="EG64" s="1"/>
  <c r="ED61" i="70"/>
  <c r="EC62"/>
  <c r="EC64" s="1"/>
  <c r="EK62" i="72"/>
  <c r="EK64" s="1"/>
  <c r="EL55"/>
  <c r="EA68" i="84"/>
  <c r="EB6"/>
  <c r="EB54" s="1"/>
  <c r="EH55" i="70"/>
  <c r="JD58" i="90" l="1"/>
  <c r="JC66"/>
  <c r="JB68"/>
  <c r="JB69" s="1"/>
  <c r="JC6"/>
  <c r="JC54" s="1"/>
  <c r="EL62" i="72"/>
  <c r="EL64" s="1"/>
  <c r="EM55"/>
  <c r="EI55" i="70"/>
  <c r="EE61"/>
  <c r="ED62"/>
  <c r="ED64" s="1"/>
  <c r="EI56" i="72"/>
  <c r="EH62"/>
  <c r="EH64" s="1"/>
  <c r="EF56" i="68"/>
  <c r="EE62"/>
  <c r="EE64" s="1"/>
  <c r="EG56" i="70"/>
  <c r="EW55" i="68"/>
  <c r="IS6" i="70"/>
  <c r="IS51" s="1"/>
  <c r="EC6" i="84"/>
  <c r="EC54" s="1"/>
  <c r="EB68"/>
  <c r="EA68" i="86"/>
  <c r="EB6"/>
  <c r="EB54" s="1"/>
  <c r="JE58" i="90" l="1"/>
  <c r="JD66"/>
  <c r="JC68"/>
  <c r="JC69" s="1"/>
  <c r="JD6"/>
  <c r="JD54" s="1"/>
  <c r="EB68" i="86"/>
  <c r="EC6"/>
  <c r="EC54" s="1"/>
  <c r="ED6" i="84"/>
  <c r="ED54" s="1"/>
  <c r="EC68"/>
  <c r="EX55" i="68"/>
  <c r="EH56" i="70"/>
  <c r="EG56" i="68"/>
  <c r="EF62"/>
  <c r="EF64" s="1"/>
  <c r="EJ56" i="72"/>
  <c r="EJ62" s="1"/>
  <c r="EJ64" s="1"/>
  <c r="EI62"/>
  <c r="EI64" s="1"/>
  <c r="EF61" i="70"/>
  <c r="EE62"/>
  <c r="EE64" s="1"/>
  <c r="IT6"/>
  <c r="IT51" s="1"/>
  <c r="EJ55"/>
  <c r="EM62" i="72"/>
  <c r="EM64" s="1"/>
  <c r="EN55"/>
  <c r="JF58" i="90" l="1"/>
  <c r="JE66"/>
  <c r="JD68"/>
  <c r="JD69" s="1"/>
  <c r="JE6"/>
  <c r="JE54" s="1"/>
  <c r="EK55" i="70"/>
  <c r="EG61"/>
  <c r="EF62"/>
  <c r="EF64" s="1"/>
  <c r="EH56" i="68"/>
  <c r="EG62"/>
  <c r="EG64" s="1"/>
  <c r="EI56" i="70"/>
  <c r="EY55" i="68"/>
  <c r="ED68" i="84"/>
  <c r="EE6"/>
  <c r="EE54" s="1"/>
  <c r="EN62" i="72"/>
  <c r="EN64" s="1"/>
  <c r="EO55"/>
  <c r="EC68" i="86"/>
  <c r="ED6"/>
  <c r="ED54" s="1"/>
  <c r="JG58" i="90" l="1"/>
  <c r="JF66"/>
  <c r="JE68"/>
  <c r="JE69" s="1"/>
  <c r="JF6"/>
  <c r="JF54" s="1"/>
  <c r="EE6" i="86"/>
  <c r="EE54" s="1"/>
  <c r="ED68"/>
  <c r="EO62" i="72"/>
  <c r="EO64" s="1"/>
  <c r="EP55"/>
  <c r="EZ55" i="68"/>
  <c r="EJ56" i="70"/>
  <c r="EI56" i="68"/>
  <c r="EH62"/>
  <c r="EH64" s="1"/>
  <c r="EH61" i="70"/>
  <c r="EG62"/>
  <c r="EG64" s="1"/>
  <c r="EF6" i="84"/>
  <c r="EF54" s="1"/>
  <c r="EE68"/>
  <c r="EL55" i="70"/>
  <c r="JH58" i="90" l="1"/>
  <c r="JH66" s="1"/>
  <c r="JG66"/>
  <c r="JF68"/>
  <c r="JF69" s="1"/>
  <c r="JG6"/>
  <c r="JG54" s="1"/>
  <c r="EF68" i="84"/>
  <c r="EG6"/>
  <c r="EG54" s="1"/>
  <c r="EI61" i="70"/>
  <c r="EH62"/>
  <c r="EH64" s="1"/>
  <c r="EJ56" i="68"/>
  <c r="EI62"/>
  <c r="EI64" s="1"/>
  <c r="FA55"/>
  <c r="EF6" i="86"/>
  <c r="EF54" s="1"/>
  <c r="EE68"/>
  <c r="EM55" i="70"/>
  <c r="EP62" i="72"/>
  <c r="EP64" s="1"/>
  <c r="EQ55"/>
  <c r="JG68" i="90" l="1"/>
  <c r="JG69" s="1"/>
  <c r="JH6"/>
  <c r="JH54" s="1"/>
  <c r="JH68" s="1"/>
  <c r="JH69" s="1"/>
  <c r="EQ62" i="72"/>
  <c r="EQ64" s="1"/>
  <c r="ER55"/>
  <c r="EN55" i="70"/>
  <c r="EG6" i="86"/>
  <c r="EG54" s="1"/>
  <c r="EF68"/>
  <c r="FB55" i="68"/>
  <c r="EK56"/>
  <c r="EJ62"/>
  <c r="EJ64" s="1"/>
  <c r="EJ61" i="70"/>
  <c r="EI62"/>
  <c r="EI64" s="1"/>
  <c r="EH6" i="84"/>
  <c r="EH54" s="1"/>
  <c r="EG68"/>
  <c r="EH68" l="1"/>
  <c r="EI6"/>
  <c r="EI54" s="1"/>
  <c r="EK61" i="70"/>
  <c r="EJ62"/>
  <c r="EJ64" s="1"/>
  <c r="EL56" i="68"/>
  <c r="EK62"/>
  <c r="EK64" s="1"/>
  <c r="FC55"/>
  <c r="EH6" i="86"/>
  <c r="EH54" s="1"/>
  <c r="EG68"/>
  <c r="EO55" i="70"/>
  <c r="ER62" i="72"/>
  <c r="ER64" s="1"/>
  <c r="ES55"/>
  <c r="EI6" i="86" l="1"/>
  <c r="EI54" s="1"/>
  <c r="EH68"/>
  <c r="FD55" i="68"/>
  <c r="EM56"/>
  <c r="EL62"/>
  <c r="EL64" s="1"/>
  <c r="EL61" i="70"/>
  <c r="EK62"/>
  <c r="EK64" s="1"/>
  <c r="ES62" i="72"/>
  <c r="ES64" s="1"/>
  <c r="ET55"/>
  <c r="EP55" i="70"/>
  <c r="EJ6" i="84"/>
  <c r="EJ54" s="1"/>
  <c r="EI68"/>
  <c r="EK6" l="1"/>
  <c r="EK54" s="1"/>
  <c r="EJ68"/>
  <c r="EM61" i="70"/>
  <c r="EL62"/>
  <c r="EL64" s="1"/>
  <c r="EN56" i="68"/>
  <c r="EM62"/>
  <c r="EM64" s="1"/>
  <c r="FE55"/>
  <c r="EJ6" i="86"/>
  <c r="EJ54" s="1"/>
  <c r="EI68"/>
  <c r="EQ55" i="70"/>
  <c r="ET62" i="72"/>
  <c r="ET64" s="1"/>
  <c r="EU55"/>
  <c r="EJ71" i="87" l="1"/>
  <c r="ER55" i="70"/>
  <c r="EK6" i="86"/>
  <c r="EK54" s="1"/>
  <c r="EJ68"/>
  <c r="FF55" i="68"/>
  <c r="EO56"/>
  <c r="EN62"/>
  <c r="EN64" s="1"/>
  <c r="EN61" i="70"/>
  <c r="EM62"/>
  <c r="EM64" s="1"/>
  <c r="EL6" i="84"/>
  <c r="EL54" s="1"/>
  <c r="EK68"/>
  <c r="EU62" i="72"/>
  <c r="EU64" s="1"/>
  <c r="EV55"/>
  <c r="EJ72" i="87" l="1"/>
  <c r="EV62" i="72"/>
  <c r="EV64" s="1"/>
  <c r="EW55"/>
  <c r="EL68" i="84"/>
  <c r="EM6"/>
  <c r="EM54" s="1"/>
  <c r="EO61" i="70"/>
  <c r="EN62"/>
  <c r="EN64" s="1"/>
  <c r="EP56" i="68"/>
  <c r="EO62"/>
  <c r="EO64" s="1"/>
  <c r="FG55"/>
  <c r="EL6" i="86"/>
  <c r="EL54" s="1"/>
  <c r="EK68"/>
  <c r="ES55" i="70"/>
  <c r="EL68" i="86" l="1"/>
  <c r="EM6"/>
  <c r="EM54" s="1"/>
  <c r="FH55" i="68"/>
  <c r="EQ56"/>
  <c r="EP62"/>
  <c r="EP64" s="1"/>
  <c r="EP61" i="70"/>
  <c r="EO62"/>
  <c r="EO64" s="1"/>
  <c r="ET55"/>
  <c r="EN6" i="84"/>
  <c r="EN54" s="1"/>
  <c r="EM68"/>
  <c r="EW62" i="72"/>
  <c r="EW64" s="1"/>
  <c r="EX55"/>
  <c r="EN68" i="84" l="1"/>
  <c r="EO6"/>
  <c r="EO54" s="1"/>
  <c r="EQ61" i="70"/>
  <c r="EP62"/>
  <c r="EP64" s="1"/>
  <c r="ER56" i="68"/>
  <c r="EQ62"/>
  <c r="EQ64" s="1"/>
  <c r="FI55"/>
  <c r="EX62" i="72"/>
  <c r="EX64" s="1"/>
  <c r="EY55"/>
  <c r="EU55" i="70"/>
  <c r="EM68" i="86"/>
  <c r="EN6"/>
  <c r="EN54" s="1"/>
  <c r="EV55" i="70" l="1"/>
  <c r="FJ55" i="68"/>
  <c r="ES56"/>
  <c r="ER62"/>
  <c r="ER64" s="1"/>
  <c r="ER61" i="70"/>
  <c r="EQ62"/>
  <c r="EQ64" s="1"/>
  <c r="EN68" i="86"/>
  <c r="EO6"/>
  <c r="EO54" s="1"/>
  <c r="EY62" i="72"/>
  <c r="EY64" s="1"/>
  <c r="EZ55"/>
  <c r="EO68" i="84"/>
  <c r="EP6"/>
  <c r="EP54" s="1"/>
  <c r="EQ6" l="1"/>
  <c r="EQ54" s="1"/>
  <c r="EP68"/>
  <c r="EP6" i="86"/>
  <c r="EP54" s="1"/>
  <c r="EO68"/>
  <c r="ES61" i="70"/>
  <c r="ER62"/>
  <c r="ER64" s="1"/>
  <c r="ET56" i="68"/>
  <c r="ES62"/>
  <c r="ES64" s="1"/>
  <c r="FK55"/>
  <c r="EZ62" i="72"/>
  <c r="EZ64" s="1"/>
  <c r="FA55"/>
  <c r="EW55" i="70"/>
  <c r="FL55" i="68" l="1"/>
  <c r="EU56"/>
  <c r="ET62"/>
  <c r="ET64" s="1"/>
  <c r="ET61" i="70"/>
  <c r="ES62"/>
  <c r="ES64" s="1"/>
  <c r="EP68" i="86"/>
  <c r="EQ6"/>
  <c r="EQ54" s="1"/>
  <c r="ER6" i="84"/>
  <c r="ER54" s="1"/>
  <c r="EQ68"/>
  <c r="EX55" i="70"/>
  <c r="FA62" i="72"/>
  <c r="FA64" s="1"/>
  <c r="FB55"/>
  <c r="FB62" l="1"/>
  <c r="FB64" s="1"/>
  <c r="FC55"/>
  <c r="EY55" i="70"/>
  <c r="ER68" i="84"/>
  <c r="ES6"/>
  <c r="ES54" s="1"/>
  <c r="EU61" i="70"/>
  <c r="ET62"/>
  <c r="ET64" s="1"/>
  <c r="EV56" i="68"/>
  <c r="EU62"/>
  <c r="EU64" s="1"/>
  <c r="FM55"/>
  <c r="EQ68" i="86"/>
  <c r="ER6"/>
  <c r="ER54" s="1"/>
  <c r="ES6" l="1"/>
  <c r="ES54" s="1"/>
  <c r="ER68"/>
  <c r="EW56" i="68"/>
  <c r="EV62"/>
  <c r="EV64" s="1"/>
  <c r="EV61" i="70"/>
  <c r="EU62"/>
  <c r="EU64" s="1"/>
  <c r="FN55" i="68"/>
  <c r="ET6" i="84"/>
  <c r="ET54" s="1"/>
  <c r="ES68"/>
  <c r="EZ55" i="70"/>
  <c r="FC62" i="72"/>
  <c r="FC64" s="1"/>
  <c r="FD55"/>
  <c r="ET68" i="84" l="1"/>
  <c r="EU6"/>
  <c r="EU54" s="1"/>
  <c r="FO55" i="68"/>
  <c r="EW61" i="70"/>
  <c r="EV62"/>
  <c r="EV64" s="1"/>
  <c r="EX56" i="68"/>
  <c r="EW62"/>
  <c r="EW64" s="1"/>
  <c r="ES68" i="86"/>
  <c r="ET6"/>
  <c r="ET54" s="1"/>
  <c r="FD62" i="72"/>
  <c r="FD64" s="1"/>
  <c r="FE55"/>
  <c r="FA55" i="70"/>
  <c r="FE62" i="72" l="1"/>
  <c r="FE64" s="1"/>
  <c r="FF55"/>
  <c r="EY56" i="68"/>
  <c r="EX62"/>
  <c r="EX64" s="1"/>
  <c r="EX61" i="70"/>
  <c r="EW62"/>
  <c r="EW64" s="1"/>
  <c r="FB55"/>
  <c r="ET68" i="86"/>
  <c r="EU6"/>
  <c r="EU54" s="1"/>
  <c r="FP55" i="68"/>
  <c r="EU68" i="84"/>
  <c r="EV6"/>
  <c r="EV54" s="1"/>
  <c r="EW6" l="1"/>
  <c r="EW54" s="1"/>
  <c r="EV68"/>
  <c r="FQ55" i="68"/>
  <c r="EY61" i="70"/>
  <c r="EX62"/>
  <c r="EX64" s="1"/>
  <c r="EZ56" i="68"/>
  <c r="EY62"/>
  <c r="EY64" s="1"/>
  <c r="EV6" i="86"/>
  <c r="EV54" s="1"/>
  <c r="EU68"/>
  <c r="FC55" i="70"/>
  <c r="FF62" i="72"/>
  <c r="FF64" s="1"/>
  <c r="FG55"/>
  <c r="EV68" i="86" l="1"/>
  <c r="EW6"/>
  <c r="EW54" s="1"/>
  <c r="FA56" i="68"/>
  <c r="EZ62"/>
  <c r="EZ64" s="1"/>
  <c r="EZ61" i="70"/>
  <c r="EY62"/>
  <c r="EY64" s="1"/>
  <c r="FR55" i="68"/>
  <c r="EX6" i="84"/>
  <c r="EX54" s="1"/>
  <c r="EW68"/>
  <c r="FG62" i="72"/>
  <c r="FG64" s="1"/>
  <c r="FH55"/>
  <c r="FD55" i="70"/>
  <c r="FH62" i="72" l="1"/>
  <c r="FH64" s="1"/>
  <c r="FI55"/>
  <c r="FS55" i="68"/>
  <c r="EX68" i="84"/>
  <c r="EY6"/>
  <c r="EY54" s="1"/>
  <c r="FA61" i="70"/>
  <c r="EZ62"/>
  <c r="EZ64" s="1"/>
  <c r="FB56" i="68"/>
  <c r="FA62"/>
  <c r="FA64" s="1"/>
  <c r="FE55" i="70"/>
  <c r="EW68" i="86"/>
  <c r="EX6"/>
  <c r="EX54" s="1"/>
  <c r="FF55" i="70" l="1"/>
  <c r="FC56" i="68"/>
  <c r="FB62"/>
  <c r="FB64" s="1"/>
  <c r="FB61" i="70"/>
  <c r="FA62"/>
  <c r="FA64" s="1"/>
  <c r="EX68" i="86"/>
  <c r="EY6"/>
  <c r="EY54" s="1"/>
  <c r="EY68" i="84"/>
  <c r="EZ6"/>
  <c r="EZ54" s="1"/>
  <c r="FT55" i="68"/>
  <c r="FI62" i="72"/>
  <c r="FI64" s="1"/>
  <c r="FJ55"/>
  <c r="FJ62" l="1"/>
  <c r="FJ64" s="1"/>
  <c r="FK55"/>
  <c r="FU55" i="68"/>
  <c r="FC61" i="70"/>
  <c r="FB62"/>
  <c r="FB64" s="1"/>
  <c r="FD56" i="68"/>
  <c r="FC62"/>
  <c r="FC64" s="1"/>
  <c r="EZ68" i="84"/>
  <c r="FA6"/>
  <c r="FA54" s="1"/>
  <c r="EZ6" i="86"/>
  <c r="EZ54" s="1"/>
  <c r="EY68"/>
  <c r="FG55" i="70"/>
  <c r="FH55" l="1"/>
  <c r="FA6" i="86"/>
  <c r="FA54" s="1"/>
  <c r="EZ68"/>
  <c r="FE56" i="68"/>
  <c r="FD62"/>
  <c r="FD64" s="1"/>
  <c r="FD61" i="70"/>
  <c r="FC62"/>
  <c r="FC64" s="1"/>
  <c r="FB6" i="84"/>
  <c r="FB54" s="1"/>
  <c r="FA68"/>
  <c r="FV55" i="68"/>
  <c r="FK62" i="72"/>
  <c r="FK64" s="1"/>
  <c r="FL55"/>
  <c r="FW55" i="68" l="1"/>
  <c r="FC6" i="84"/>
  <c r="FC54" s="1"/>
  <c r="FB68"/>
  <c r="FE61" i="70"/>
  <c r="FD62"/>
  <c r="FD64" s="1"/>
  <c r="FF56" i="68"/>
  <c r="FE62"/>
  <c r="FE64" s="1"/>
  <c r="FB6" i="86"/>
  <c r="FB54" s="1"/>
  <c r="FA68"/>
  <c r="FL62" i="72"/>
  <c r="FL64" s="1"/>
  <c r="FM55"/>
  <c r="FI55" i="70"/>
  <c r="FC6" i="86" l="1"/>
  <c r="FC54" s="1"/>
  <c r="FB68"/>
  <c r="FG56" i="68"/>
  <c r="FF62"/>
  <c r="FF64" s="1"/>
  <c r="FF61" i="70"/>
  <c r="FE62"/>
  <c r="FE64" s="1"/>
  <c r="FC68" i="84"/>
  <c r="FD6"/>
  <c r="FD54" s="1"/>
  <c r="FJ55" i="70"/>
  <c r="FM62" i="72"/>
  <c r="FM64" s="1"/>
  <c r="FN55"/>
  <c r="FX55" i="68"/>
  <c r="FY55" l="1"/>
  <c r="FG61" i="70"/>
  <c r="FF62"/>
  <c r="FF64" s="1"/>
  <c r="FH56" i="68"/>
  <c r="FG62"/>
  <c r="FG64" s="1"/>
  <c r="FD6" i="86"/>
  <c r="FD54" s="1"/>
  <c r="FC68"/>
  <c r="FN62" i="72"/>
  <c r="FN64" s="1"/>
  <c r="FO55"/>
  <c r="FK55" i="70"/>
  <c r="FE6" i="84"/>
  <c r="FE54" s="1"/>
  <c r="FD68"/>
  <c r="FE68" l="1"/>
  <c r="FF6"/>
  <c r="FF54" s="1"/>
  <c r="FE6" i="86"/>
  <c r="FE54" s="1"/>
  <c r="FD68"/>
  <c r="FI56" i="68"/>
  <c r="FH62"/>
  <c r="FH64" s="1"/>
  <c r="FH61" i="70"/>
  <c r="FG62"/>
  <c r="FG64" s="1"/>
  <c r="FL55"/>
  <c r="FO62" i="72"/>
  <c r="FO64" s="1"/>
  <c r="FP55"/>
  <c r="FZ55" i="68"/>
  <c r="FF71" i="87" l="1"/>
  <c r="FI61" i="70"/>
  <c r="FH62"/>
  <c r="FH64" s="1"/>
  <c r="FJ56" i="68"/>
  <c r="FI62"/>
  <c r="FI64" s="1"/>
  <c r="FE68" i="86"/>
  <c r="FF6"/>
  <c r="FF54" s="1"/>
  <c r="FZ62" i="68"/>
  <c r="FZ64" s="1"/>
  <c r="GA55"/>
  <c r="FP62" i="72"/>
  <c r="FP64" s="1"/>
  <c r="FQ55"/>
  <c r="FM55" i="70"/>
  <c r="FF68" i="84"/>
  <c r="FG6"/>
  <c r="FG54" s="1"/>
  <c r="FF72" i="87" l="1"/>
  <c r="FK56" i="68"/>
  <c r="FJ62"/>
  <c r="FJ64" s="1"/>
  <c r="FJ61" i="70"/>
  <c r="FI62"/>
  <c r="FI64" s="1"/>
  <c r="FG68" i="84"/>
  <c r="FH6"/>
  <c r="FH54" s="1"/>
  <c r="FN55" i="70"/>
  <c r="FQ62" i="72"/>
  <c r="FQ64" s="1"/>
  <c r="FR55"/>
  <c r="GA62" i="68"/>
  <c r="GA64" s="1"/>
  <c r="GB55"/>
  <c r="FF68" i="86"/>
  <c r="FG6"/>
  <c r="FG54" s="1"/>
  <c r="FH6" l="1"/>
  <c r="FH54" s="1"/>
  <c r="FG68"/>
  <c r="FK61" i="70"/>
  <c r="FJ62"/>
  <c r="FJ64" s="1"/>
  <c r="FL56" i="68"/>
  <c r="FK62"/>
  <c r="FK64" s="1"/>
  <c r="GB62"/>
  <c r="GB64" s="1"/>
  <c r="GC55"/>
  <c r="FR62" i="72"/>
  <c r="FR64" s="1"/>
  <c r="FS55"/>
  <c r="FO55" i="70"/>
  <c r="FH68" i="84"/>
  <c r="FI6"/>
  <c r="FI54" s="1"/>
  <c r="FM56" i="68" l="1"/>
  <c r="FL62"/>
  <c r="FL64" s="1"/>
  <c r="FL61" i="70"/>
  <c r="FK62"/>
  <c r="FK64" s="1"/>
  <c r="FI6" i="86"/>
  <c r="FI54" s="1"/>
  <c r="FH68"/>
  <c r="FJ6" i="84"/>
  <c r="FJ54" s="1"/>
  <c r="FI68"/>
  <c r="FP55" i="70"/>
  <c r="FS62" i="72"/>
  <c r="FS64" s="1"/>
  <c r="FT55"/>
  <c r="GC62" i="68"/>
  <c r="GC64" s="1"/>
  <c r="GD55"/>
  <c r="GD62" l="1"/>
  <c r="GD64" s="1"/>
  <c r="GE55"/>
  <c r="FK6" i="84"/>
  <c r="FK54" s="1"/>
  <c r="FJ68"/>
  <c r="FJ6" i="86"/>
  <c r="FJ54" s="1"/>
  <c r="FI68"/>
  <c r="FM61" i="70"/>
  <c r="FL62"/>
  <c r="FL64" s="1"/>
  <c r="FN56" i="68"/>
  <c r="FM62"/>
  <c r="FM64" s="1"/>
  <c r="FT62" i="72"/>
  <c r="FT64" s="1"/>
  <c r="FU55"/>
  <c r="FQ55" i="70"/>
  <c r="FO56" i="68" l="1"/>
  <c r="FN62"/>
  <c r="FN64" s="1"/>
  <c r="FN61" i="70"/>
  <c r="FM62"/>
  <c r="FM64" s="1"/>
  <c r="FJ68" i="86"/>
  <c r="FK6"/>
  <c r="FK54" s="1"/>
  <c r="FL6" i="84"/>
  <c r="FL54" s="1"/>
  <c r="FK68"/>
  <c r="FR55" i="70"/>
  <c r="FU62" i="72"/>
  <c r="FU64" s="1"/>
  <c r="FV55"/>
  <c r="GE62" i="68"/>
  <c r="GE64" s="1"/>
  <c r="GF55"/>
  <c r="FL68" i="84" l="1"/>
  <c r="FM6"/>
  <c r="FM54" s="1"/>
  <c r="FO61" i="70"/>
  <c r="FN62"/>
  <c r="FN64" s="1"/>
  <c r="FP56" i="68"/>
  <c r="FO62"/>
  <c r="FO64" s="1"/>
  <c r="GF62"/>
  <c r="GF64" s="1"/>
  <c r="GG55"/>
  <c r="FV62" i="72"/>
  <c r="FV64" s="1"/>
  <c r="FW55"/>
  <c r="FS55" i="70"/>
  <c r="FL6" i="86"/>
  <c r="FL54" s="1"/>
  <c r="FK68"/>
  <c r="FT55" i="70" l="1"/>
  <c r="FL68" i="86"/>
  <c r="FM6"/>
  <c r="FM54" s="1"/>
  <c r="FQ56" i="68"/>
  <c r="FP62"/>
  <c r="FP64" s="1"/>
  <c r="FP61" i="70"/>
  <c r="FO62"/>
  <c r="FO64" s="1"/>
  <c r="FW62" i="72"/>
  <c r="FW64" s="1"/>
  <c r="FX55"/>
  <c r="GG62" i="68"/>
  <c r="GG64" s="1"/>
  <c r="GH55"/>
  <c r="FN6" i="84"/>
  <c r="FN54" s="1"/>
  <c r="FM68"/>
  <c r="GH62" i="68" l="1"/>
  <c r="GH64" s="1"/>
  <c r="GI55"/>
  <c r="FO6" i="84"/>
  <c r="FO54" s="1"/>
  <c r="FN68"/>
  <c r="FQ61" i="70"/>
  <c r="FP62"/>
  <c r="FP64" s="1"/>
  <c r="FR56" i="68"/>
  <c r="FQ62"/>
  <c r="FQ64" s="1"/>
  <c r="FX62" i="72"/>
  <c r="FX64" s="1"/>
  <c r="FY55"/>
  <c r="FM68" i="86"/>
  <c r="FN6"/>
  <c r="FN54" s="1"/>
  <c r="FU55" i="70"/>
  <c r="FV55" l="1"/>
  <c r="FS56" i="68"/>
  <c r="FR62"/>
  <c r="FR64" s="1"/>
  <c r="FR61" i="70"/>
  <c r="FQ62"/>
  <c r="FQ64" s="1"/>
  <c r="FO68" i="84"/>
  <c r="FP6"/>
  <c r="FP54" s="1"/>
  <c r="FO6" i="86"/>
  <c r="FO54" s="1"/>
  <c r="FN68"/>
  <c r="FY62" i="72"/>
  <c r="FY64" s="1"/>
  <c r="FZ55"/>
  <c r="GJ55" i="68"/>
  <c r="GI62"/>
  <c r="GI64" s="1"/>
  <c r="FZ62" i="72" l="1"/>
  <c r="FZ64" s="1"/>
  <c r="GA55"/>
  <c r="GJ62" i="68"/>
  <c r="GJ64" s="1"/>
  <c r="GK55"/>
  <c r="FP6" i="86"/>
  <c r="FP54" s="1"/>
  <c r="FO68"/>
  <c r="FS61" i="70"/>
  <c r="FR62"/>
  <c r="FR64" s="1"/>
  <c r="FT56" i="68"/>
  <c r="FS62"/>
  <c r="FS64" s="1"/>
  <c r="FQ6" i="84"/>
  <c r="FQ54" s="1"/>
  <c r="FP68"/>
  <c r="FW55" i="70"/>
  <c r="FR6" i="84" l="1"/>
  <c r="FR54" s="1"/>
  <c r="FQ68"/>
  <c r="FU56" i="68"/>
  <c r="FT62"/>
  <c r="FT64" s="1"/>
  <c r="FT61" i="70"/>
  <c r="FS62"/>
  <c r="FS64" s="1"/>
  <c r="FQ6" i="86"/>
  <c r="FQ54" s="1"/>
  <c r="FP68"/>
  <c r="FX55" i="70"/>
  <c r="GK62" i="68"/>
  <c r="GK64" s="1"/>
  <c r="GL55"/>
  <c r="GA62" i="72"/>
  <c r="GA64" s="1"/>
  <c r="GB55"/>
  <c r="FQ68" i="86" l="1"/>
  <c r="FR6"/>
  <c r="FR54" s="1"/>
  <c r="FU61" i="70"/>
  <c r="FT62"/>
  <c r="FT64" s="1"/>
  <c r="FV56" i="68"/>
  <c r="FU62"/>
  <c r="FU64" s="1"/>
  <c r="FR68" i="84"/>
  <c r="FS6"/>
  <c r="FS54" s="1"/>
  <c r="GB62" i="72"/>
  <c r="GB64" s="1"/>
  <c r="GC55"/>
  <c r="GL62" i="68"/>
  <c r="GL64" s="1"/>
  <c r="GM55"/>
  <c r="FY55" i="70"/>
  <c r="FZ55" l="1"/>
  <c r="GM62" i="68"/>
  <c r="GM64" s="1"/>
  <c r="GN55"/>
  <c r="GC62" i="72"/>
  <c r="GC64" s="1"/>
  <c r="GD55"/>
  <c r="FW56" i="68"/>
  <c r="FV62"/>
  <c r="FV64" s="1"/>
  <c r="FV61" i="70"/>
  <c r="FU62"/>
  <c r="FU64" s="1"/>
  <c r="FT6" i="84"/>
  <c r="FT54" s="1"/>
  <c r="FS68"/>
  <c r="FS6" i="86"/>
  <c r="FS54" s="1"/>
  <c r="FR68"/>
  <c r="FT6" l="1"/>
  <c r="FT54" s="1"/>
  <c r="FS68"/>
  <c r="FT68" i="84"/>
  <c r="FU6"/>
  <c r="FU54" s="1"/>
  <c r="FW61" i="70"/>
  <c r="FV62"/>
  <c r="FV64" s="1"/>
  <c r="FX56" i="68"/>
  <c r="FW62"/>
  <c r="FW64" s="1"/>
  <c r="GD62" i="72"/>
  <c r="GD64" s="1"/>
  <c r="GE55"/>
  <c r="GN62" i="68"/>
  <c r="GN64" s="1"/>
  <c r="GO55"/>
  <c r="GA55" i="70"/>
  <c r="FY56" i="68" l="1"/>
  <c r="FY62" s="1"/>
  <c r="FY64" s="1"/>
  <c r="FX62"/>
  <c r="FX64" s="1"/>
  <c r="FX61" i="70"/>
  <c r="FW62"/>
  <c r="FW64" s="1"/>
  <c r="FT68" i="86"/>
  <c r="FU6"/>
  <c r="FU54" s="1"/>
  <c r="GB55" i="70"/>
  <c r="GO62" i="68"/>
  <c r="GO64" s="1"/>
  <c r="GP55"/>
  <c r="GE62" i="72"/>
  <c r="GE64" s="1"/>
  <c r="GF55"/>
  <c r="FU68" i="84"/>
  <c r="FV6"/>
  <c r="FV54" s="1"/>
  <c r="FW6" l="1"/>
  <c r="FW54" s="1"/>
  <c r="FV68"/>
  <c r="GP62" i="68"/>
  <c r="GP64" s="1"/>
  <c r="GQ55"/>
  <c r="FY61" i="70"/>
  <c r="FX62"/>
  <c r="FX64" s="1"/>
  <c r="GF62" i="72"/>
  <c r="GF64" s="1"/>
  <c r="GG55"/>
  <c r="GC55" i="70"/>
  <c r="FU68" i="86"/>
  <c r="FV6"/>
  <c r="FV54" s="1"/>
  <c r="FZ61" i="70" l="1"/>
  <c r="FY62"/>
  <c r="FY64" s="1"/>
  <c r="FW68" i="84"/>
  <c r="FX6"/>
  <c r="FX54" s="1"/>
  <c r="FW6" i="86"/>
  <c r="FW54" s="1"/>
  <c r="FV68"/>
  <c r="GD55" i="70"/>
  <c r="GG62" i="72"/>
  <c r="GG64" s="1"/>
  <c r="GH55"/>
  <c r="GQ62" i="68"/>
  <c r="GQ64" s="1"/>
  <c r="GR55"/>
  <c r="FW68" i="86" l="1"/>
  <c r="FX6"/>
  <c r="FX54" s="1"/>
  <c r="GA61" i="70"/>
  <c r="FZ62"/>
  <c r="FZ64" s="1"/>
  <c r="GR62" i="68"/>
  <c r="GR64" s="1"/>
  <c r="GS55"/>
  <c r="GH62" i="72"/>
  <c r="GH64" s="1"/>
  <c r="GI55"/>
  <c r="GE55" i="70"/>
  <c r="FX68" i="84"/>
  <c r="FY6"/>
  <c r="FY54" s="1"/>
  <c r="GB61" i="70" l="1"/>
  <c r="GA62"/>
  <c r="GA64" s="1"/>
  <c r="FZ6" i="84"/>
  <c r="FZ54" s="1"/>
  <c r="FY68"/>
  <c r="GF55" i="70"/>
  <c r="GI62" i="72"/>
  <c r="GI64" s="1"/>
  <c r="GJ55"/>
  <c r="GS62" i="68"/>
  <c r="GS64" s="1"/>
  <c r="GT55"/>
  <c r="FX68" i="86"/>
  <c r="FY6"/>
  <c r="FY54" s="1"/>
  <c r="FZ68" i="84" l="1"/>
  <c r="GA6"/>
  <c r="GA54" s="1"/>
  <c r="GC61" i="70"/>
  <c r="GB62"/>
  <c r="GB64" s="1"/>
  <c r="FY68" i="86"/>
  <c r="FZ6"/>
  <c r="FZ54" s="1"/>
  <c r="GT62" i="68"/>
  <c r="GT64" s="1"/>
  <c r="GU55"/>
  <c r="GJ62" i="72"/>
  <c r="GJ64" s="1"/>
  <c r="GK55"/>
  <c r="GG55" i="70"/>
  <c r="GA71" i="87" l="1"/>
  <c r="GH55" i="70"/>
  <c r="GD61"/>
  <c r="GC62"/>
  <c r="GC64" s="1"/>
  <c r="GK62" i="72"/>
  <c r="GK64" s="1"/>
  <c r="GL55"/>
  <c r="GV55" i="68"/>
  <c r="GU62"/>
  <c r="GU64" s="1"/>
  <c r="FZ68" i="86"/>
  <c r="GA6"/>
  <c r="GA54" s="1"/>
  <c r="GA68" i="84"/>
  <c r="GB6"/>
  <c r="GB54" s="1"/>
  <c r="GA72" i="87" l="1"/>
  <c r="GA68" i="86"/>
  <c r="GB6"/>
  <c r="GB54" s="1"/>
  <c r="GV62" i="68"/>
  <c r="GV64" s="1"/>
  <c r="GW55"/>
  <c r="GE61" i="70"/>
  <c r="GD62"/>
  <c r="GD64" s="1"/>
  <c r="GB68" i="84"/>
  <c r="GC6"/>
  <c r="GC54" s="1"/>
  <c r="GL62" i="72"/>
  <c r="GL64" s="1"/>
  <c r="GM55"/>
  <c r="GI55" i="70"/>
  <c r="GM62" i="72" l="1"/>
  <c r="GM64" s="1"/>
  <c r="GN55"/>
  <c r="GF61" i="70"/>
  <c r="GE62"/>
  <c r="GE64" s="1"/>
  <c r="GJ55"/>
  <c r="GC68" i="84"/>
  <c r="GD6"/>
  <c r="GD54" s="1"/>
  <c r="GW62" i="68"/>
  <c r="GW64" s="1"/>
  <c r="GX55"/>
  <c r="GC6" i="86"/>
  <c r="GC54" s="1"/>
  <c r="GB68"/>
  <c r="GD6" l="1"/>
  <c r="GD54" s="1"/>
  <c r="GC68"/>
  <c r="GG61" i="70"/>
  <c r="GF62"/>
  <c r="GF64" s="1"/>
  <c r="GX62" i="68"/>
  <c r="GX64" s="1"/>
  <c r="GY55"/>
  <c r="GE6" i="84"/>
  <c r="GE54" s="1"/>
  <c r="GD68"/>
  <c r="GK55" i="70"/>
  <c r="GN62" i="72"/>
  <c r="GN64" s="1"/>
  <c r="GO55"/>
  <c r="GF6" i="84" l="1"/>
  <c r="GF54" s="1"/>
  <c r="GE68"/>
  <c r="GH61" i="70"/>
  <c r="GG62"/>
  <c r="GG64" s="1"/>
  <c r="GE6" i="86"/>
  <c r="GE54" s="1"/>
  <c r="GD68"/>
  <c r="GO62" i="72"/>
  <c r="GO64" s="1"/>
  <c r="GP55"/>
  <c r="GL55" i="70"/>
  <c r="GY62" i="68"/>
  <c r="GY64" s="1"/>
  <c r="GZ55"/>
  <c r="GF6" i="86" l="1"/>
  <c r="GF54" s="1"/>
  <c r="GE68"/>
  <c r="GI61" i="70"/>
  <c r="GH62"/>
  <c r="GH64" s="1"/>
  <c r="GG6" i="84"/>
  <c r="GG54" s="1"/>
  <c r="GF68"/>
  <c r="GZ62" i="68"/>
  <c r="GZ64" s="1"/>
  <c r="HA55"/>
  <c r="GM55" i="70"/>
  <c r="GP62" i="72"/>
  <c r="GP64" s="1"/>
  <c r="GQ55"/>
  <c r="GH6" i="84" l="1"/>
  <c r="GH54" s="1"/>
  <c r="GG68"/>
  <c r="GJ61" i="70"/>
  <c r="GI62"/>
  <c r="GI64" s="1"/>
  <c r="GG6" i="86"/>
  <c r="GG54" s="1"/>
  <c r="GF68"/>
  <c r="GQ62" i="72"/>
  <c r="GQ64" s="1"/>
  <c r="GR55"/>
  <c r="GN55" i="70"/>
  <c r="HA62" i="68"/>
  <c r="HA64" s="1"/>
  <c r="HB55"/>
  <c r="GH6" i="86" l="1"/>
  <c r="GH54" s="1"/>
  <c r="GG68"/>
  <c r="GK61" i="70"/>
  <c r="GJ62"/>
  <c r="GJ64" s="1"/>
  <c r="GI6" i="84"/>
  <c r="GI54" s="1"/>
  <c r="GH68"/>
  <c r="HB62" i="68"/>
  <c r="HB64" s="1"/>
  <c r="HC55"/>
  <c r="GO55" i="70"/>
  <c r="GR62" i="72"/>
  <c r="GR64" s="1"/>
  <c r="GS55"/>
  <c r="GI68" i="84" l="1"/>
  <c r="GJ6"/>
  <c r="GJ54" s="1"/>
  <c r="GL61" i="70"/>
  <c r="GK62"/>
  <c r="GK64" s="1"/>
  <c r="GH68" i="86"/>
  <c r="GI6"/>
  <c r="GI54" s="1"/>
  <c r="GS62" i="72"/>
  <c r="GS64" s="1"/>
  <c r="GT55"/>
  <c r="GP55" i="70"/>
  <c r="HC62" i="68"/>
  <c r="HC64" s="1"/>
  <c r="HD55"/>
  <c r="HD62" l="1"/>
  <c r="HD64" s="1"/>
  <c r="HE55"/>
  <c r="GM61" i="70"/>
  <c r="GL62"/>
  <c r="GL64" s="1"/>
  <c r="GQ55"/>
  <c r="GT62" i="72"/>
  <c r="GT64" s="1"/>
  <c r="GU55"/>
  <c r="GI68" i="86"/>
  <c r="GJ6"/>
  <c r="GJ54" s="1"/>
  <c r="GK6" i="84"/>
  <c r="GK54" s="1"/>
  <c r="GJ68"/>
  <c r="GL6" l="1"/>
  <c r="GL54" s="1"/>
  <c r="GK68"/>
  <c r="GN61" i="70"/>
  <c r="GM62"/>
  <c r="GM64" s="1"/>
  <c r="GK6" i="86"/>
  <c r="GK54" s="1"/>
  <c r="GJ68"/>
  <c r="GU62" i="72"/>
  <c r="GU64" s="1"/>
  <c r="GV55"/>
  <c r="GR55" i="70"/>
  <c r="HE62" i="68"/>
  <c r="HE64" s="1"/>
  <c r="HF55"/>
  <c r="GK68" i="86" l="1"/>
  <c r="GL6"/>
  <c r="GL54" s="1"/>
  <c r="GO61" i="70"/>
  <c r="GN62"/>
  <c r="GN64" s="1"/>
  <c r="GM6" i="84"/>
  <c r="GM54" s="1"/>
  <c r="GL68"/>
  <c r="HF62" i="68"/>
  <c r="HF64" s="1"/>
  <c r="HG55"/>
  <c r="GS55" i="70"/>
  <c r="GV62" i="72"/>
  <c r="GV64" s="1"/>
  <c r="GW55"/>
  <c r="GM68" i="84" l="1"/>
  <c r="GN6"/>
  <c r="GN54" s="1"/>
  <c r="GP61" i="70"/>
  <c r="GO62"/>
  <c r="GO64" s="1"/>
  <c r="GW62" i="72"/>
  <c r="GW64" s="1"/>
  <c r="GX55"/>
  <c r="GT55" i="70"/>
  <c r="HG62" i="68"/>
  <c r="HG64" s="1"/>
  <c r="HH55"/>
  <c r="GM6" i="86"/>
  <c r="GM54" s="1"/>
  <c r="GL68"/>
  <c r="GM68" l="1"/>
  <c r="GN6"/>
  <c r="GN54" s="1"/>
  <c r="GQ61" i="70"/>
  <c r="GP62"/>
  <c r="GP64" s="1"/>
  <c r="HH62" i="68"/>
  <c r="HH64" s="1"/>
  <c r="HI55"/>
  <c r="GU55" i="70"/>
  <c r="GX62" i="72"/>
  <c r="GX64" s="1"/>
  <c r="GY55"/>
  <c r="GO6" i="84"/>
  <c r="GO54" s="1"/>
  <c r="GN68"/>
  <c r="GO68" l="1"/>
  <c r="GP6"/>
  <c r="GP54" s="1"/>
  <c r="GR61" i="70"/>
  <c r="GQ62"/>
  <c r="GQ64" s="1"/>
  <c r="GY62" i="72"/>
  <c r="GY64" s="1"/>
  <c r="GZ55"/>
  <c r="GV55" i="70"/>
  <c r="HI62" i="68"/>
  <c r="HI64" s="1"/>
  <c r="HJ55"/>
  <c r="GN68" i="86"/>
  <c r="GO6"/>
  <c r="GO54" s="1"/>
  <c r="GS61" i="70" l="1"/>
  <c r="GR62"/>
  <c r="GR64" s="1"/>
  <c r="GP6" i="86"/>
  <c r="GP54" s="1"/>
  <c r="GO68"/>
  <c r="HJ62" i="68"/>
  <c r="HJ64" s="1"/>
  <c r="HK55"/>
  <c r="GW55" i="70"/>
  <c r="GZ62" i="72"/>
  <c r="GZ64" s="1"/>
  <c r="HA55"/>
  <c r="GQ6" i="84"/>
  <c r="GQ54" s="1"/>
  <c r="GP68"/>
  <c r="GR6" l="1"/>
  <c r="GR54" s="1"/>
  <c r="GQ68"/>
  <c r="GP68" i="86"/>
  <c r="GQ6"/>
  <c r="GQ54" s="1"/>
  <c r="GT61" i="70"/>
  <c r="GS62"/>
  <c r="GS64" s="1"/>
  <c r="HA62" i="72"/>
  <c r="HA64" s="1"/>
  <c r="HB55"/>
  <c r="GX55" i="70"/>
  <c r="HK62" i="68"/>
  <c r="HK64" s="1"/>
  <c r="HL55"/>
  <c r="GU61" i="70" l="1"/>
  <c r="GT62"/>
  <c r="GT64" s="1"/>
  <c r="GS6" i="84"/>
  <c r="GS54" s="1"/>
  <c r="GR68"/>
  <c r="HL62" i="68"/>
  <c r="HL64" s="1"/>
  <c r="HM55"/>
  <c r="GY55" i="70"/>
  <c r="HB62" i="72"/>
  <c r="HB64" s="1"/>
  <c r="HC55"/>
  <c r="GQ68" i="86"/>
  <c r="GR6"/>
  <c r="GR54" s="1"/>
  <c r="GT6" i="84" l="1"/>
  <c r="GT54" s="1"/>
  <c r="GS68"/>
  <c r="GV61" i="70"/>
  <c r="GU62"/>
  <c r="GU64" s="1"/>
  <c r="GR68" i="86"/>
  <c r="GS6"/>
  <c r="GS54" s="1"/>
  <c r="HC62" i="72"/>
  <c r="HC64" s="1"/>
  <c r="HD55"/>
  <c r="GZ55" i="70"/>
  <c r="HM62" i="68"/>
  <c r="HM64" s="1"/>
  <c r="HN55"/>
  <c r="HN62" l="1"/>
  <c r="HN64" s="1"/>
  <c r="HO55"/>
  <c r="GW61" i="70"/>
  <c r="GV62"/>
  <c r="GV64" s="1"/>
  <c r="GU6" i="84"/>
  <c r="GU54" s="1"/>
  <c r="GT68"/>
  <c r="HA55" i="70"/>
  <c r="HD62" i="72"/>
  <c r="HD64" s="1"/>
  <c r="HE55"/>
  <c r="GT6" i="86"/>
  <c r="GT54" s="1"/>
  <c r="GS68"/>
  <c r="GU71" i="87" l="1"/>
  <c r="GU6" i="86"/>
  <c r="GU54" s="1"/>
  <c r="GT68"/>
  <c r="GV6" i="84"/>
  <c r="GV54" s="1"/>
  <c r="GU68"/>
  <c r="GX61" i="70"/>
  <c r="GW62"/>
  <c r="GW64" s="1"/>
  <c r="HE62" i="72"/>
  <c r="HE64" s="1"/>
  <c r="HF55"/>
  <c r="HB55" i="70"/>
  <c r="HO62" i="68"/>
  <c r="HO64" s="1"/>
  <c r="HP55"/>
  <c r="GU72" i="87" l="1"/>
  <c r="GY61" i="70"/>
  <c r="GX62"/>
  <c r="GX64" s="1"/>
  <c r="GV68" i="84"/>
  <c r="GW6"/>
  <c r="GW54" s="1"/>
  <c r="GV6" i="86"/>
  <c r="GV54" s="1"/>
  <c r="GU68"/>
  <c r="HP62" i="68"/>
  <c r="HP64" s="1"/>
  <c r="HQ55"/>
  <c r="HC55" i="70"/>
  <c r="HF62" i="72"/>
  <c r="HF64" s="1"/>
  <c r="HG55"/>
  <c r="GW6" i="86" l="1"/>
  <c r="GW54" s="1"/>
  <c r="GV68"/>
  <c r="GZ61" i="70"/>
  <c r="GY62"/>
  <c r="GY64" s="1"/>
  <c r="HG62" i="72"/>
  <c r="HG64" s="1"/>
  <c r="HH55"/>
  <c r="HD55" i="70"/>
  <c r="HQ62" i="68"/>
  <c r="HQ64" s="1"/>
  <c r="HR55"/>
  <c r="GX6" i="84"/>
  <c r="GX54" s="1"/>
  <c r="GW68"/>
  <c r="GY6" l="1"/>
  <c r="GY54" s="1"/>
  <c r="GX68"/>
  <c r="HA61" i="70"/>
  <c r="GZ62"/>
  <c r="GZ64" s="1"/>
  <c r="GX6" i="86"/>
  <c r="GX54" s="1"/>
  <c r="GW68"/>
  <c r="HR62" i="68"/>
  <c r="HR64" s="1"/>
  <c r="HS55"/>
  <c r="HE55" i="70"/>
  <c r="HI55" i="72"/>
  <c r="HH62"/>
  <c r="HH64" s="1"/>
  <c r="HI62" l="1"/>
  <c r="HI64" s="1"/>
  <c r="HJ55"/>
  <c r="GY6" i="86"/>
  <c r="GY54" s="1"/>
  <c r="GX68"/>
  <c r="HB61" i="70"/>
  <c r="HA62"/>
  <c r="HA64" s="1"/>
  <c r="GY68" i="84"/>
  <c r="GZ6"/>
  <c r="GZ54" s="1"/>
  <c r="HF55" i="70"/>
  <c r="HS62" i="68"/>
  <c r="HS64" s="1"/>
  <c r="HT55"/>
  <c r="HC61" i="70" l="1"/>
  <c r="HB62"/>
  <c r="HB64" s="1"/>
  <c r="GZ6" i="86"/>
  <c r="GZ54" s="1"/>
  <c r="GY68"/>
  <c r="HT62" i="68"/>
  <c r="HT64" s="1"/>
  <c r="HU55"/>
  <c r="HG55" i="70"/>
  <c r="HA6" i="84"/>
  <c r="HA54" s="1"/>
  <c r="GZ68"/>
  <c r="HJ62" i="72"/>
  <c r="HJ64" s="1"/>
  <c r="HK55"/>
  <c r="HA68" i="84" l="1"/>
  <c r="HB6"/>
  <c r="HB54" s="1"/>
  <c r="HA6" i="86"/>
  <c r="HA54" s="1"/>
  <c r="GZ68"/>
  <c r="HD61" i="70"/>
  <c r="HC62"/>
  <c r="HC64" s="1"/>
  <c r="HK62" i="72"/>
  <c r="HK64" s="1"/>
  <c r="HL55"/>
  <c r="HH55" i="70"/>
  <c r="HU62" i="68"/>
  <c r="HU64" s="1"/>
  <c r="HV55"/>
  <c r="HE61" i="70" l="1"/>
  <c r="HD62"/>
  <c r="HD64" s="1"/>
  <c r="HA68" i="86"/>
  <c r="HB6"/>
  <c r="HB54" s="1"/>
  <c r="HV62" i="68"/>
  <c r="HV64" s="1"/>
  <c r="HW55"/>
  <c r="HI55" i="70"/>
  <c r="HL62" i="72"/>
  <c r="HL64" s="1"/>
  <c r="HM55"/>
  <c r="HB68" i="84"/>
  <c r="HC6"/>
  <c r="HC54" s="1"/>
  <c r="HD6" l="1"/>
  <c r="HD54" s="1"/>
  <c r="HC68"/>
  <c r="HF61" i="70"/>
  <c r="HE62"/>
  <c r="HE64" s="1"/>
  <c r="HM62" i="72"/>
  <c r="HM64" s="1"/>
  <c r="HN55"/>
  <c r="HJ55" i="70"/>
  <c r="HW62" i="68"/>
  <c r="HW64" s="1"/>
  <c r="HX55"/>
  <c r="HB68" i="86"/>
  <c r="HC6"/>
  <c r="HC54" s="1"/>
  <c r="HG61" i="70" l="1"/>
  <c r="HF62"/>
  <c r="HF64" s="1"/>
  <c r="HD68" i="84"/>
  <c r="HE6"/>
  <c r="HE54" s="1"/>
  <c r="HC68" i="86"/>
  <c r="HD6"/>
  <c r="HD54" s="1"/>
  <c r="HX62" i="68"/>
  <c r="HX64" s="1"/>
  <c r="HY55"/>
  <c r="HK55" i="70"/>
  <c r="HN62" i="72"/>
  <c r="HN64" s="1"/>
  <c r="HO55"/>
  <c r="HO62" l="1"/>
  <c r="HO64" s="1"/>
  <c r="HP55"/>
  <c r="HH61" i="70"/>
  <c r="HG62"/>
  <c r="HG64" s="1"/>
  <c r="HL55"/>
  <c r="HY62" i="68"/>
  <c r="HY64" s="1"/>
  <c r="HZ55"/>
  <c r="HD68" i="86"/>
  <c r="HE6"/>
  <c r="HE54" s="1"/>
  <c r="HF6" i="84"/>
  <c r="HF54" s="1"/>
  <c r="HE68"/>
  <c r="HF68" l="1"/>
  <c r="HG6"/>
  <c r="HG54" s="1"/>
  <c r="HI61" i="70"/>
  <c r="HH62"/>
  <c r="HH64" s="1"/>
  <c r="HF6" i="86"/>
  <c r="HF54" s="1"/>
  <c r="HE68"/>
  <c r="IA55" i="68"/>
  <c r="HZ62"/>
  <c r="HZ64" s="1"/>
  <c r="HM55" i="70"/>
  <c r="HP62" i="72"/>
  <c r="HP64" s="1"/>
  <c r="HQ55"/>
  <c r="IA62" i="68" l="1"/>
  <c r="IA64" s="1"/>
  <c r="IB55"/>
  <c r="HF68" i="86"/>
  <c r="HG6"/>
  <c r="HG54" s="1"/>
  <c r="HJ61" i="70"/>
  <c r="HI62"/>
  <c r="HI64" s="1"/>
  <c r="HQ62" i="72"/>
  <c r="HQ64" s="1"/>
  <c r="HR55"/>
  <c r="HN55" i="70"/>
  <c r="HH6" i="84"/>
  <c r="HH54" s="1"/>
  <c r="HG68"/>
  <c r="HH68" l="1"/>
  <c r="HI6"/>
  <c r="HI54" s="1"/>
  <c r="HK61" i="70"/>
  <c r="HJ62"/>
  <c r="HJ64" s="1"/>
  <c r="HO55"/>
  <c r="HR62" i="72"/>
  <c r="HR64" s="1"/>
  <c r="HS55"/>
  <c r="HG68" i="86"/>
  <c r="HH6"/>
  <c r="HH54" s="1"/>
  <c r="IB62" i="68"/>
  <c r="IB64" s="1"/>
  <c r="IC55"/>
  <c r="IC62" l="1"/>
  <c r="IC64" s="1"/>
  <c r="ID55"/>
  <c r="HL61" i="70"/>
  <c r="HK62"/>
  <c r="HK64" s="1"/>
  <c r="HH68" i="86"/>
  <c r="HI6"/>
  <c r="HI54" s="1"/>
  <c r="HS62" i="72"/>
  <c r="HS64" s="1"/>
  <c r="HT55"/>
  <c r="HP55" i="70"/>
  <c r="HJ6" i="84"/>
  <c r="HJ54" s="1"/>
  <c r="HI68"/>
  <c r="HJ68" l="1"/>
  <c r="HK6"/>
  <c r="HK54" s="1"/>
  <c r="HM61" i="70"/>
  <c r="HL62"/>
  <c r="HL64" s="1"/>
  <c r="HQ55"/>
  <c r="HT62" i="72"/>
  <c r="HT64" s="1"/>
  <c r="HU55"/>
  <c r="HJ6" i="86"/>
  <c r="HJ54" s="1"/>
  <c r="HI68"/>
  <c r="ID62" i="68"/>
  <c r="ID64" s="1"/>
  <c r="IE55"/>
  <c r="HK6" i="86" l="1"/>
  <c r="HK54" s="1"/>
  <c r="HJ68"/>
  <c r="HN61" i="70"/>
  <c r="HM62"/>
  <c r="HM64" s="1"/>
  <c r="IE62" i="68"/>
  <c r="IE64" s="1"/>
  <c r="IF55"/>
  <c r="HU62" i="72"/>
  <c r="HU64" s="1"/>
  <c r="HV55"/>
  <c r="HR55" i="70"/>
  <c r="HK68" i="84"/>
  <c r="HL6"/>
  <c r="HL54" s="1"/>
  <c r="HO61" i="70" l="1"/>
  <c r="HN62"/>
  <c r="HN64" s="1"/>
  <c r="HL6" i="86"/>
  <c r="HL54" s="1"/>
  <c r="HK68"/>
  <c r="HL68" i="84"/>
  <c r="HM6"/>
  <c r="HM54" s="1"/>
  <c r="HS55" i="70"/>
  <c r="HV62" i="72"/>
  <c r="HV64" s="1"/>
  <c r="HW55"/>
  <c r="IF62" i="68"/>
  <c r="IF64" s="1"/>
  <c r="IG55"/>
  <c r="HL68" i="86" l="1"/>
  <c r="HM6"/>
  <c r="HM54" s="1"/>
  <c r="HP61" i="70"/>
  <c r="HO62"/>
  <c r="HO64" s="1"/>
  <c r="IG62" i="68"/>
  <c r="IG64" s="1"/>
  <c r="IH55"/>
  <c r="HW62" i="72"/>
  <c r="HW64" s="1"/>
  <c r="HX55"/>
  <c r="HT55" i="70"/>
  <c r="HN6" i="84"/>
  <c r="HN54" s="1"/>
  <c r="HM68"/>
  <c r="HO6" l="1"/>
  <c r="HO54" s="1"/>
  <c r="HN68"/>
  <c r="HQ61" i="70"/>
  <c r="HP62"/>
  <c r="HP64" s="1"/>
  <c r="HU55"/>
  <c r="HX62" i="72"/>
  <c r="HX64" s="1"/>
  <c r="HY55"/>
  <c r="IH62" i="68"/>
  <c r="IH64" s="1"/>
  <c r="II55"/>
  <c r="HN6" i="86"/>
  <c r="HN54" s="1"/>
  <c r="HM68"/>
  <c r="HN68" l="1"/>
  <c r="HO6"/>
  <c r="HO54" s="1"/>
  <c r="HR61" i="70"/>
  <c r="HQ62"/>
  <c r="HQ64" s="1"/>
  <c r="HO68" i="84"/>
  <c r="HP6"/>
  <c r="HP54" s="1"/>
  <c r="II62" i="68"/>
  <c r="II64" s="1"/>
  <c r="IJ55"/>
  <c r="HY62" i="72"/>
  <c r="HY64" s="1"/>
  <c r="HZ55"/>
  <c r="HV55" i="70"/>
  <c r="HP71" i="87" l="1"/>
  <c r="HZ62" i="72"/>
  <c r="HZ64" s="1"/>
  <c r="IA55"/>
  <c r="HS61" i="70"/>
  <c r="HR62"/>
  <c r="HR64" s="1"/>
  <c r="HW55"/>
  <c r="IJ62" i="68"/>
  <c r="IJ64" s="1"/>
  <c r="IK55"/>
  <c r="HQ6" i="84"/>
  <c r="HQ54" s="1"/>
  <c r="HP68"/>
  <c r="HP6" i="86"/>
  <c r="HP54" s="1"/>
  <c r="HO68"/>
  <c r="HP72" i="87" l="1"/>
  <c r="E19" i="88"/>
  <c r="G23" s="1"/>
  <c r="HP68" i="86"/>
  <c r="HQ6"/>
  <c r="HQ54" s="1"/>
  <c r="HR6" i="84"/>
  <c r="HR54" s="1"/>
  <c r="HQ68"/>
  <c r="HT61" i="70"/>
  <c r="HS62"/>
  <c r="HS64" s="1"/>
  <c r="HP69" i="86"/>
  <c r="IK62" i="68"/>
  <c r="IK64" s="1"/>
  <c r="IL55"/>
  <c r="HX55" i="70"/>
  <c r="IA62" i="72"/>
  <c r="IA64" s="1"/>
  <c r="IB55"/>
  <c r="IB62" l="1"/>
  <c r="IB64" s="1"/>
  <c r="IC55"/>
  <c r="HY55" i="70"/>
  <c r="IL62" i="68"/>
  <c r="IL64" s="1"/>
  <c r="IM55"/>
  <c r="HU61" i="70"/>
  <c r="HT62"/>
  <c r="HT64" s="1"/>
  <c r="HR68" i="84"/>
  <c r="HS6"/>
  <c r="HS54" s="1"/>
  <c r="HQ68" i="86"/>
  <c r="HR6"/>
  <c r="HR54" s="1"/>
  <c r="HR68" l="1"/>
  <c r="HS6"/>
  <c r="HS54" s="1"/>
  <c r="HV61" i="70"/>
  <c r="HU62"/>
  <c r="HU64" s="1"/>
  <c r="HS68" i="84"/>
  <c r="HT6"/>
  <c r="HT54" s="1"/>
  <c r="IM62" i="68"/>
  <c r="IM64" s="1"/>
  <c r="IN55"/>
  <c r="HZ55" i="70"/>
  <c r="IC62" i="72"/>
  <c r="IC64" s="1"/>
  <c r="ID55"/>
  <c r="HW61" i="70" l="1"/>
  <c r="HV62"/>
  <c r="HV64" s="1"/>
  <c r="ID62" i="72"/>
  <c r="ID64" s="1"/>
  <c r="IE55"/>
  <c r="IA55" i="70"/>
  <c r="IN62" i="68"/>
  <c r="IN64" s="1"/>
  <c r="IO55"/>
  <c r="HU6" i="84"/>
  <c r="HU54" s="1"/>
  <c r="HT68"/>
  <c r="HT6" i="86"/>
  <c r="HT54" s="1"/>
  <c r="HS68"/>
  <c r="IO62" i="68" l="1"/>
  <c r="IO64" s="1"/>
  <c r="IP55"/>
  <c r="IB55" i="70"/>
  <c r="IE62" i="72"/>
  <c r="IE64" s="1"/>
  <c r="IF55"/>
  <c r="HT68" i="86"/>
  <c r="HU6"/>
  <c r="HU54" s="1"/>
  <c r="HV6" i="84"/>
  <c r="HV54" s="1"/>
  <c r="HU68"/>
  <c r="HX61" i="70"/>
  <c r="HW62"/>
  <c r="HW64" s="1"/>
  <c r="HY61" l="1"/>
  <c r="HX62"/>
  <c r="HX64" s="1"/>
  <c r="HW6" i="84"/>
  <c r="HW54" s="1"/>
  <c r="HV68"/>
  <c r="HU68" i="86"/>
  <c r="HV6"/>
  <c r="HV54" s="1"/>
  <c r="IF62" i="72"/>
  <c r="IF64" s="1"/>
  <c r="IG55"/>
  <c r="IC55" i="70"/>
  <c r="IP62" i="68"/>
  <c r="IP64" s="1"/>
  <c r="IQ55"/>
  <c r="HW68" i="84" l="1"/>
  <c r="HX6"/>
  <c r="HX54" s="1"/>
  <c r="HZ61" i="70"/>
  <c r="HY62"/>
  <c r="HY64" s="1"/>
  <c r="IQ62" i="68"/>
  <c r="IQ64" s="1"/>
  <c r="IR55"/>
  <c r="ID55" i="70"/>
  <c r="IG62" i="72"/>
  <c r="IG64" s="1"/>
  <c r="IH55"/>
  <c r="HV68" i="86"/>
  <c r="HW6"/>
  <c r="HW54" s="1"/>
  <c r="HX6" l="1"/>
  <c r="HX54" s="1"/>
  <c r="HW68"/>
  <c r="IA61" i="70"/>
  <c r="HZ62"/>
  <c r="HZ64" s="1"/>
  <c r="IH62" i="72"/>
  <c r="IH64" s="1"/>
  <c r="II55"/>
  <c r="IE55" i="70"/>
  <c r="IS55" i="68"/>
  <c r="IR62"/>
  <c r="IR64" s="1"/>
  <c r="HY6" i="84"/>
  <c r="HY54" s="1"/>
  <c r="HX68"/>
  <c r="HY68" l="1"/>
  <c r="HZ6"/>
  <c r="HZ54" s="1"/>
  <c r="IS62" i="68"/>
  <c r="IS64" s="1"/>
  <c r="IT55"/>
  <c r="IT62" s="1"/>
  <c r="IT64" s="1"/>
  <c r="IB61" i="70"/>
  <c r="IA62"/>
  <c r="IA64" s="1"/>
  <c r="HX68" i="86"/>
  <c r="HY6"/>
  <c r="HY54" s="1"/>
  <c r="IF55" i="70"/>
  <c r="II62" i="72"/>
  <c r="II64" s="1"/>
  <c r="IJ55"/>
  <c r="IJ62" l="1"/>
  <c r="IJ64" s="1"/>
  <c r="IK55"/>
  <c r="IG55" i="70"/>
  <c r="IC61"/>
  <c r="IB62"/>
  <c r="IB64" s="1"/>
  <c r="HZ6" i="86"/>
  <c r="HZ54" s="1"/>
  <c r="HY68"/>
  <c r="IA6" i="84"/>
  <c r="IA54" s="1"/>
  <c r="HZ68"/>
  <c r="IB6" l="1"/>
  <c r="IB54" s="1"/>
  <c r="IA68"/>
  <c r="IA6" i="86"/>
  <c r="IA54" s="1"/>
  <c r="HZ68"/>
  <c r="ID61" i="70"/>
  <c r="IC62"/>
  <c r="IC64" s="1"/>
  <c r="IH55"/>
  <c r="IK62" i="72"/>
  <c r="IK64" s="1"/>
  <c r="IL55"/>
  <c r="IE61" i="70" l="1"/>
  <c r="ID62"/>
  <c r="ID64" s="1"/>
  <c r="IA68" i="86"/>
  <c r="IB6"/>
  <c r="IB54" s="1"/>
  <c r="IC6" i="84"/>
  <c r="IC54" s="1"/>
  <c r="IB68"/>
  <c r="IL62" i="72"/>
  <c r="IL64" s="1"/>
  <c r="IM55"/>
  <c r="II55" i="70"/>
  <c r="ID6" i="84" l="1"/>
  <c r="ID54" s="1"/>
  <c r="IC68"/>
  <c r="IF61" i="70"/>
  <c r="IE62"/>
  <c r="IE64" s="1"/>
  <c r="IJ55"/>
  <c r="IM62" i="72"/>
  <c r="IM64" s="1"/>
  <c r="IN55"/>
  <c r="IB68" i="86"/>
  <c r="IC6"/>
  <c r="IC54" s="1"/>
  <c r="IG61" i="70" l="1"/>
  <c r="IF62"/>
  <c r="IF64" s="1"/>
  <c r="IE6" i="84"/>
  <c r="IE54" s="1"/>
  <c r="ID68"/>
  <c r="ID6" i="86"/>
  <c r="ID54" s="1"/>
  <c r="IC68"/>
  <c r="IN62" i="72"/>
  <c r="IN64" s="1"/>
  <c r="IO55"/>
  <c r="IK55" i="70"/>
  <c r="IE6" i="86" l="1"/>
  <c r="IE54" s="1"/>
  <c r="ID68"/>
  <c r="IE68" i="84"/>
  <c r="IF6"/>
  <c r="IF54" s="1"/>
  <c r="IH61" i="70"/>
  <c r="IG62"/>
  <c r="IG64" s="1"/>
  <c r="IL55"/>
  <c r="IO62" i="72"/>
  <c r="IO64" s="1"/>
  <c r="IP55"/>
  <c r="IP62" l="1"/>
  <c r="IP64" s="1"/>
  <c r="IQ55"/>
  <c r="II61" i="70"/>
  <c r="IH62"/>
  <c r="IH64" s="1"/>
  <c r="IF6" i="86"/>
  <c r="IF54" s="1"/>
  <c r="IE68"/>
  <c r="IM55" i="70"/>
  <c r="IG6" i="84"/>
  <c r="IG54" s="1"/>
  <c r="IF68"/>
  <c r="IH6" l="1"/>
  <c r="IH54" s="1"/>
  <c r="IG68"/>
  <c r="IF68" i="86"/>
  <c r="IG6"/>
  <c r="IG54" s="1"/>
  <c r="IJ61" i="70"/>
  <c r="II62"/>
  <c r="II64" s="1"/>
  <c r="IN55"/>
  <c r="IQ62" i="72"/>
  <c r="IQ64" s="1"/>
  <c r="IR55"/>
  <c r="IO55" i="70" l="1"/>
  <c r="IK61"/>
  <c r="IJ62"/>
  <c r="IJ64" s="1"/>
  <c r="II6" i="84"/>
  <c r="II54" s="1"/>
  <c r="IH68"/>
  <c r="IR62" i="72"/>
  <c r="IR64" s="1"/>
  <c r="IS55"/>
  <c r="IH6" i="86"/>
  <c r="IH54" s="1"/>
  <c r="IG68"/>
  <c r="IH68" l="1"/>
  <c r="II6"/>
  <c r="II54" s="1"/>
  <c r="II68" i="84"/>
  <c r="IJ6"/>
  <c r="IJ54" s="1"/>
  <c r="IL61" i="70"/>
  <c r="IK62"/>
  <c r="IK64" s="1"/>
  <c r="IS62" i="72"/>
  <c r="IS64" s="1"/>
  <c r="IT55"/>
  <c r="IT62" s="1"/>
  <c r="IT64" s="1"/>
  <c r="IP55" i="70"/>
  <c r="IM61" l="1"/>
  <c r="IL62"/>
  <c r="IL64" s="1"/>
  <c r="IQ55"/>
  <c r="IK6" i="84"/>
  <c r="IK54" s="1"/>
  <c r="IJ68"/>
  <c r="IJ6" i="86"/>
  <c r="IJ54" s="1"/>
  <c r="II68"/>
  <c r="IK6" l="1"/>
  <c r="IK54" s="1"/>
  <c r="IJ68"/>
  <c r="IK68" i="84"/>
  <c r="IL6"/>
  <c r="IL54" s="1"/>
  <c r="IN61" i="70"/>
  <c r="IM62"/>
  <c r="IM64" s="1"/>
  <c r="IR55"/>
  <c r="IS55" l="1"/>
  <c r="IO61"/>
  <c r="IN62"/>
  <c r="IN64" s="1"/>
  <c r="IL6" i="86"/>
  <c r="IL54" s="1"/>
  <c r="IK68"/>
  <c r="IM6" i="84"/>
  <c r="IM54" s="1"/>
  <c r="IL68"/>
  <c r="IN6" l="1"/>
  <c r="IN54" s="1"/>
  <c r="IM68"/>
  <c r="IM6" i="86"/>
  <c r="IM54" s="1"/>
  <c r="IL68"/>
  <c r="IP61" i="70"/>
  <c r="IO62"/>
  <c r="IO64" s="1"/>
  <c r="IT55"/>
  <c r="IQ61" l="1"/>
  <c r="IP62"/>
  <c r="IP64" s="1"/>
  <c r="IM68" i="86"/>
  <c r="IN6"/>
  <c r="IN54" s="1"/>
  <c r="IO6" i="84"/>
  <c r="IO54" s="1"/>
  <c r="IN68"/>
  <c r="IO6" i="86" l="1"/>
  <c r="IO54" s="1"/>
  <c r="IN68"/>
  <c r="IP6" i="84"/>
  <c r="IP54" s="1"/>
  <c r="IO68"/>
  <c r="IR61" i="70"/>
  <c r="IQ62"/>
  <c r="IQ64" s="1"/>
  <c r="IS61" l="1"/>
  <c r="IR62"/>
  <c r="IR64" s="1"/>
  <c r="IQ6" i="84"/>
  <c r="IQ54" s="1"/>
  <c r="IP68"/>
  <c r="IP6" i="86"/>
  <c r="IP54" s="1"/>
  <c r="IO68"/>
  <c r="IQ6" l="1"/>
  <c r="IQ54" s="1"/>
  <c r="IP68"/>
  <c r="IR6" i="84"/>
  <c r="IR54" s="1"/>
  <c r="IQ68"/>
  <c r="IT61" i="70"/>
  <c r="IT62" s="1"/>
  <c r="IT64" s="1"/>
  <c r="IS62"/>
  <c r="IS64" s="1"/>
  <c r="IR68" i="84" l="1"/>
  <c r="IS6"/>
  <c r="IR6" i="86"/>
  <c r="IR54" s="1"/>
  <c r="IQ68"/>
  <c r="D6" i="87" l="1"/>
  <c r="D54" s="1"/>
  <c r="IS54" i="84"/>
  <c r="IS6" i="86"/>
  <c r="IS54" s="1"/>
  <c r="IR68"/>
  <c r="D68" i="87" l="1"/>
  <c r="E6"/>
  <c r="E54" s="1"/>
  <c r="IT6" i="86"/>
  <c r="IT54" s="1"/>
  <c r="IT68" s="1"/>
  <c r="IS68"/>
  <c r="IT6" i="84"/>
  <c r="IT54" s="1"/>
  <c r="IT68" s="1"/>
  <c r="IS68"/>
  <c r="E68" i="87" l="1"/>
  <c r="F6"/>
  <c r="F54" s="1"/>
  <c r="F68" l="1"/>
  <c r="G6"/>
  <c r="G54" s="1"/>
  <c r="G68" l="1"/>
  <c r="H6"/>
  <c r="H54" s="1"/>
  <c r="I6" l="1"/>
  <c r="I54" s="1"/>
  <c r="H68"/>
  <c r="I68" l="1"/>
  <c r="J6"/>
  <c r="J54" s="1"/>
  <c r="K6" l="1"/>
  <c r="K54" s="1"/>
  <c r="J68"/>
  <c r="K68" l="1"/>
  <c r="L6"/>
  <c r="L54" s="1"/>
  <c r="L68" l="1"/>
  <c r="M6"/>
  <c r="M54" s="1"/>
  <c r="M68" l="1"/>
  <c r="N6"/>
  <c r="N54" s="1"/>
  <c r="O6" l="1"/>
  <c r="O54" s="1"/>
  <c r="N68"/>
  <c r="O68" l="1"/>
  <c r="P6"/>
  <c r="P54" s="1"/>
  <c r="P68" l="1"/>
  <c r="Q6"/>
  <c r="Q54" s="1"/>
  <c r="Q68" l="1"/>
  <c r="R6"/>
  <c r="R54" s="1"/>
  <c r="R68" l="1"/>
  <c r="S6"/>
  <c r="S54" s="1"/>
  <c r="T6" l="1"/>
  <c r="T54" s="1"/>
  <c r="S68"/>
  <c r="T68" l="1"/>
  <c r="U6"/>
  <c r="U54" s="1"/>
  <c r="V6" l="1"/>
  <c r="V54" s="1"/>
  <c r="U68"/>
  <c r="W6" l="1"/>
  <c r="W54" s="1"/>
  <c r="V68"/>
  <c r="X6" l="1"/>
  <c r="X54" s="1"/>
  <c r="W68"/>
  <c r="Y6" l="1"/>
  <c r="Y54" s="1"/>
  <c r="X68"/>
  <c r="Z6" l="1"/>
  <c r="Z54" s="1"/>
  <c r="Y68"/>
  <c r="Z68" l="1"/>
  <c r="AA6"/>
  <c r="AA54" s="1"/>
  <c r="AB6" l="1"/>
  <c r="AB54" s="1"/>
  <c r="AA68"/>
  <c r="AB68" l="1"/>
  <c r="AC6"/>
  <c r="AC54" s="1"/>
  <c r="AD6" l="1"/>
  <c r="AD54" s="1"/>
  <c r="AC68"/>
  <c r="AE6" l="1"/>
  <c r="AE54" s="1"/>
  <c r="AD68"/>
  <c r="AE68" l="1"/>
  <c r="AF6"/>
  <c r="AF54" s="1"/>
  <c r="AF68" l="1"/>
  <c r="AG6"/>
  <c r="AG54" s="1"/>
  <c r="AH6" l="1"/>
  <c r="AH54" s="1"/>
  <c r="AG68"/>
  <c r="AH68" l="1"/>
  <c r="AI6"/>
  <c r="AI54" s="1"/>
  <c r="AJ6" l="1"/>
  <c r="AJ54" s="1"/>
  <c r="AI68"/>
  <c r="AJ68" l="1"/>
  <c r="AK6"/>
  <c r="AK54" s="1"/>
  <c r="AL6" l="1"/>
  <c r="AL54" s="1"/>
  <c r="AK68"/>
  <c r="AL68" l="1"/>
  <c r="AM6"/>
  <c r="AM54" s="1"/>
  <c r="AN6" l="1"/>
  <c r="AN54" s="1"/>
  <c r="AM68"/>
  <c r="AN68" l="1"/>
  <c r="AO6"/>
  <c r="AO54" s="1"/>
  <c r="AP6" l="1"/>
  <c r="AP54" s="1"/>
  <c r="AO68"/>
  <c r="AP68" l="1"/>
  <c r="AQ6"/>
  <c r="AQ54" s="1"/>
  <c r="AQ68" l="1"/>
  <c r="AR6"/>
  <c r="AR54" s="1"/>
  <c r="AR68" l="1"/>
  <c r="AS6"/>
  <c r="AS54" s="1"/>
  <c r="AS68" l="1"/>
  <c r="AT6"/>
  <c r="AT54" s="1"/>
  <c r="AT68" l="1"/>
  <c r="AU6"/>
  <c r="AU54" s="1"/>
  <c r="AU68" l="1"/>
  <c r="AV6"/>
  <c r="AV54" s="1"/>
  <c r="AV68" l="1"/>
  <c r="AW6"/>
  <c r="AW54" s="1"/>
  <c r="AW68" l="1"/>
  <c r="AX6"/>
  <c r="AX54" s="1"/>
  <c r="AX68" l="1"/>
  <c r="AY6"/>
  <c r="AY54" s="1"/>
  <c r="AY68" l="1"/>
  <c r="AZ6"/>
  <c r="AZ54" s="1"/>
  <c r="AZ68" l="1"/>
  <c r="BA6"/>
  <c r="BA54" s="1"/>
  <c r="BA68" l="1"/>
  <c r="BB6"/>
  <c r="BB54" s="1"/>
  <c r="BB68" l="1"/>
  <c r="BC6"/>
  <c r="BC54" s="1"/>
  <c r="BC68" l="1"/>
  <c r="BD6"/>
  <c r="BD54" s="1"/>
  <c r="BD68" l="1"/>
  <c r="BE6"/>
  <c r="BE54" s="1"/>
  <c r="BE68" l="1"/>
  <c r="BF6"/>
  <c r="BF54" s="1"/>
  <c r="BF68" l="1"/>
  <c r="BG6"/>
  <c r="BG54" s="1"/>
  <c r="BG68" l="1"/>
  <c r="BH6"/>
  <c r="BH54" s="1"/>
  <c r="BH68" l="1"/>
  <c r="BI6"/>
  <c r="BI54" s="1"/>
  <c r="BI68" l="1"/>
  <c r="BJ6"/>
  <c r="BJ54" s="1"/>
  <c r="BJ68" l="1"/>
  <c r="BK6"/>
  <c r="BK54" s="1"/>
  <c r="BK68" l="1"/>
  <c r="BL6"/>
  <c r="BL54" s="1"/>
  <c r="BL68" l="1"/>
  <c r="BM6"/>
  <c r="BM54" s="1"/>
  <c r="BM68" l="1"/>
  <c r="BN6"/>
  <c r="BN54" s="1"/>
  <c r="BN68" l="1"/>
  <c r="BO6"/>
  <c r="BO54" s="1"/>
  <c r="BO68" l="1"/>
  <c r="BP6"/>
  <c r="BP54" s="1"/>
  <c r="BP68" l="1"/>
  <c r="BQ6"/>
  <c r="BQ54" s="1"/>
  <c r="BQ68" l="1"/>
  <c r="BR6"/>
  <c r="BR54" s="1"/>
  <c r="BR68" l="1"/>
  <c r="BS6"/>
  <c r="BS54" s="1"/>
  <c r="BT6" l="1"/>
  <c r="BT54" s="1"/>
  <c r="BS68"/>
  <c r="BU6" l="1"/>
  <c r="BU54" s="1"/>
  <c r="BT68"/>
  <c r="BV6" l="1"/>
  <c r="BV54" s="1"/>
  <c r="BU68"/>
  <c r="BW6" l="1"/>
  <c r="BW54" s="1"/>
  <c r="BV68"/>
  <c r="BX6" l="1"/>
  <c r="BX54" s="1"/>
  <c r="BW68"/>
  <c r="BY6" l="1"/>
  <c r="BY54" s="1"/>
  <c r="BX68"/>
  <c r="BZ6" l="1"/>
  <c r="BZ54" s="1"/>
  <c r="BY68"/>
  <c r="CA6" l="1"/>
  <c r="CA54" s="1"/>
  <c r="BZ68"/>
  <c r="CB6" l="1"/>
  <c r="CB54" s="1"/>
  <c r="CA68"/>
  <c r="CC6" l="1"/>
  <c r="CC54" s="1"/>
  <c r="CB68"/>
  <c r="CD6" l="1"/>
  <c r="CD54" s="1"/>
  <c r="CC68"/>
  <c r="CE6" l="1"/>
  <c r="CE54" s="1"/>
  <c r="CD68"/>
  <c r="CF6" l="1"/>
  <c r="CF54" s="1"/>
  <c r="CE68"/>
  <c r="CG6" l="1"/>
  <c r="CG54" s="1"/>
  <c r="CF68"/>
  <c r="CH6" l="1"/>
  <c r="CH54" s="1"/>
  <c r="CG68"/>
  <c r="CI6" l="1"/>
  <c r="CI54" s="1"/>
  <c r="CH68"/>
  <c r="CJ6" l="1"/>
  <c r="CJ54" s="1"/>
  <c r="CI68"/>
  <c r="CJ68" l="1"/>
  <c r="CK6"/>
  <c r="CK54" s="1"/>
  <c r="CK68" l="1"/>
  <c r="CL6"/>
  <c r="CL54" s="1"/>
  <c r="CL68" l="1"/>
  <c r="CM6"/>
  <c r="CM54" s="1"/>
  <c r="CM68" l="1"/>
  <c r="CN6"/>
  <c r="CN54" s="1"/>
  <c r="CN68" l="1"/>
  <c r="CO6"/>
  <c r="CO54" s="1"/>
  <c r="CO68" l="1"/>
  <c r="CP6"/>
  <c r="CP54" s="1"/>
  <c r="CP68" l="1"/>
  <c r="CQ6"/>
  <c r="CQ54" s="1"/>
  <c r="CQ68" l="1"/>
  <c r="CR6"/>
  <c r="CR54" s="1"/>
  <c r="CR68" l="1"/>
  <c r="CS6"/>
  <c r="CS54" s="1"/>
  <c r="CS68" l="1"/>
  <c r="CT6"/>
  <c r="CT54" s="1"/>
  <c r="CT68" l="1"/>
  <c r="CU6"/>
  <c r="CU54" s="1"/>
  <c r="CU68" l="1"/>
  <c r="CV6"/>
  <c r="CV54" s="1"/>
  <c r="CV68" l="1"/>
  <c r="CW6"/>
  <c r="CW54" s="1"/>
  <c r="CW68" l="1"/>
  <c r="CX6"/>
  <c r="CX54" s="1"/>
  <c r="CX68" l="1"/>
  <c r="CY6"/>
  <c r="CY54" s="1"/>
  <c r="CY68" l="1"/>
  <c r="CZ6"/>
  <c r="CZ54" s="1"/>
  <c r="CZ68" l="1"/>
  <c r="DA6"/>
  <c r="DA54" s="1"/>
  <c r="DA68" l="1"/>
  <c r="DB6"/>
  <c r="DB54" s="1"/>
  <c r="DB68" l="1"/>
  <c r="DC6"/>
  <c r="DC54" s="1"/>
  <c r="DC68" l="1"/>
  <c r="DD6"/>
  <c r="DD54" s="1"/>
  <c r="DD68" l="1"/>
  <c r="DE6"/>
  <c r="DE54" s="1"/>
  <c r="DE68" l="1"/>
  <c r="DF6"/>
  <c r="DF54" s="1"/>
  <c r="DF68" l="1"/>
  <c r="DG6"/>
  <c r="DG54" s="1"/>
  <c r="DG68" l="1"/>
  <c r="DH6"/>
  <c r="DH54" s="1"/>
  <c r="DH68" l="1"/>
  <c r="DI6"/>
  <c r="DI54" s="1"/>
  <c r="DI68" l="1"/>
  <c r="DJ6"/>
  <c r="DJ54" s="1"/>
  <c r="DJ68" l="1"/>
  <c r="DK6"/>
  <c r="DK54" s="1"/>
  <c r="DK68" l="1"/>
  <c r="DL6"/>
  <c r="DL54" s="1"/>
  <c r="DL68" l="1"/>
  <c r="DM6"/>
  <c r="DM54" s="1"/>
  <c r="DM68" l="1"/>
  <c r="DN6"/>
  <c r="DN54" s="1"/>
  <c r="DN68" l="1"/>
  <c r="DO6"/>
  <c r="DO54" s="1"/>
  <c r="DO68" l="1"/>
  <c r="DP6"/>
  <c r="DP54" s="1"/>
  <c r="DP68" l="1"/>
  <c r="DQ6"/>
  <c r="DQ54" s="1"/>
  <c r="DQ68" l="1"/>
  <c r="DR6"/>
  <c r="DR54" s="1"/>
  <c r="DR68" l="1"/>
  <c r="DS6"/>
  <c r="DS54" s="1"/>
  <c r="DS68" l="1"/>
  <c r="DT6"/>
  <c r="DT54" s="1"/>
  <c r="DT68" l="1"/>
  <c r="DU6"/>
  <c r="DU54" s="1"/>
  <c r="DU68" l="1"/>
  <c r="DV6"/>
  <c r="DV54" s="1"/>
  <c r="DV68" l="1"/>
  <c r="DW6"/>
  <c r="DW54" s="1"/>
  <c r="DW68" l="1"/>
  <c r="DX6"/>
  <c r="DX54" s="1"/>
  <c r="DX68" l="1"/>
  <c r="DY6"/>
  <c r="DY54" s="1"/>
  <c r="DY68" l="1"/>
  <c r="DZ6"/>
  <c r="DZ54" s="1"/>
  <c r="DZ68" l="1"/>
  <c r="EA6"/>
  <c r="EA54" s="1"/>
  <c r="EA68" l="1"/>
  <c r="EB6"/>
  <c r="EB54" s="1"/>
  <c r="EB68" l="1"/>
  <c r="EC6"/>
  <c r="EC54" s="1"/>
  <c r="EC68" l="1"/>
  <c r="ED6"/>
  <c r="ED54" s="1"/>
  <c r="ED68" l="1"/>
  <c r="EE6"/>
  <c r="EE54" s="1"/>
  <c r="EE68" l="1"/>
  <c r="EF6"/>
  <c r="EF54" s="1"/>
  <c r="EF68" l="1"/>
  <c r="EG6"/>
  <c r="EG54" s="1"/>
  <c r="EG68" l="1"/>
  <c r="EG69" s="1"/>
  <c r="EH6"/>
  <c r="EH54" s="1"/>
  <c r="EH68" l="1"/>
  <c r="EH69" s="1"/>
  <c r="EI6"/>
  <c r="EI54" s="1"/>
  <c r="EI68" l="1"/>
  <c r="EI69" s="1"/>
  <c r="EJ6"/>
  <c r="EJ54" s="1"/>
  <c r="EJ68" l="1"/>
  <c r="EK6"/>
  <c r="EK54" s="1"/>
  <c r="EJ69" l="1"/>
  <c r="EJ72" i="90" s="1"/>
  <c r="EJ71"/>
  <c r="EK68" i="87"/>
  <c r="EK69" s="1"/>
  <c r="EL6"/>
  <c r="EL54" s="1"/>
  <c r="EL68" l="1"/>
  <c r="EL69" s="1"/>
  <c r="EM6"/>
  <c r="EM54" s="1"/>
  <c r="EM68" l="1"/>
  <c r="EM69" s="1"/>
  <c r="EN6"/>
  <c r="EN54" s="1"/>
  <c r="EO6" l="1"/>
  <c r="EO54" s="1"/>
  <c r="EN68"/>
  <c r="EN69" s="1"/>
  <c r="EP6" l="1"/>
  <c r="EP54" s="1"/>
  <c r="EO68"/>
  <c r="EO69" s="1"/>
  <c r="EQ6" l="1"/>
  <c r="EQ54" s="1"/>
  <c r="EP68"/>
  <c r="EP69" s="1"/>
  <c r="ER6" l="1"/>
  <c r="ER54" s="1"/>
  <c r="EQ68"/>
  <c r="EQ69" l="1"/>
  <c r="T13" i="88"/>
  <c r="ES6" i="87"/>
  <c r="ES54" s="1"/>
  <c r="ER68"/>
  <c r="ER69" s="1"/>
  <c r="P13" i="88" l="1"/>
  <c r="S13" s="1"/>
  <c r="V13" i="91"/>
  <c r="X13" s="1"/>
  <c r="U13" i="88"/>
  <c r="ET6" i="87"/>
  <c r="ET54" s="1"/>
  <c r="ES68"/>
  <c r="ES69" s="1"/>
  <c r="EU6" l="1"/>
  <c r="EU54" s="1"/>
  <c r="ET68"/>
  <c r="ET69" s="1"/>
  <c r="EV6" l="1"/>
  <c r="EV54" s="1"/>
  <c r="EU68"/>
  <c r="EU69" s="1"/>
  <c r="EW6" l="1"/>
  <c r="EW54" s="1"/>
  <c r="EV68"/>
  <c r="EV69" s="1"/>
  <c r="EX6" l="1"/>
  <c r="EX54" s="1"/>
  <c r="EW68"/>
  <c r="EW69" s="1"/>
  <c r="EY6" l="1"/>
  <c r="EY54" s="1"/>
  <c r="EX68"/>
  <c r="EX69" s="1"/>
  <c r="EZ6" l="1"/>
  <c r="EZ54" s="1"/>
  <c r="EY68"/>
  <c r="EY69" s="1"/>
  <c r="FA6" l="1"/>
  <c r="FA54" s="1"/>
  <c r="EZ68"/>
  <c r="EZ69" s="1"/>
  <c r="FB6" l="1"/>
  <c r="FB54" s="1"/>
  <c r="FA68"/>
  <c r="FA69" s="1"/>
  <c r="FB68" l="1"/>
  <c r="FB69" s="1"/>
  <c r="FC6"/>
  <c r="FC54" s="1"/>
  <c r="FC68" l="1"/>
  <c r="FC69" s="1"/>
  <c r="FD6"/>
  <c r="FD54" s="1"/>
  <c r="FD68" l="1"/>
  <c r="FD69" s="1"/>
  <c r="FE6"/>
  <c r="FE54" s="1"/>
  <c r="FE68" l="1"/>
  <c r="FE69" s="1"/>
  <c r="FF6"/>
  <c r="FF54" s="1"/>
  <c r="FG6" l="1"/>
  <c r="FG54" s="1"/>
  <c r="FF68"/>
  <c r="FF69" l="1"/>
  <c r="FF72" i="90" s="1"/>
  <c r="FF71"/>
  <c r="FH6" i="87"/>
  <c r="FH54" s="1"/>
  <c r="FG68"/>
  <c r="FG69" s="1"/>
  <c r="FI6" l="1"/>
  <c r="FI54" s="1"/>
  <c r="FH68"/>
  <c r="FH69" s="1"/>
  <c r="FJ6" l="1"/>
  <c r="FJ54" s="1"/>
  <c r="FI68"/>
  <c r="FI69" s="1"/>
  <c r="FK6" l="1"/>
  <c r="FK54" s="1"/>
  <c r="FJ68"/>
  <c r="FJ69" s="1"/>
  <c r="FL6" l="1"/>
  <c r="FL54" s="1"/>
  <c r="FK68"/>
  <c r="FK69" s="1"/>
  <c r="FM6" l="1"/>
  <c r="FM54" s="1"/>
  <c r="FL68"/>
  <c r="FL69" s="1"/>
  <c r="FN6" l="1"/>
  <c r="FN54" s="1"/>
  <c r="FM68"/>
  <c r="FM69" l="1"/>
  <c r="T14" i="88"/>
  <c r="FO6" i="87"/>
  <c r="FO54" s="1"/>
  <c r="FN68"/>
  <c r="FN69" s="1"/>
  <c r="P14" i="88" l="1"/>
  <c r="S14" s="1"/>
  <c r="U14" s="1"/>
  <c r="E19" i="91"/>
  <c r="G23" s="1"/>
  <c r="I19" i="88"/>
  <c r="K23" s="1"/>
  <c r="FP6" i="87"/>
  <c r="FP54" s="1"/>
  <c r="FO68"/>
  <c r="FO69" s="1"/>
  <c r="I19" i="91" l="1"/>
  <c r="K23" s="1"/>
  <c r="V14"/>
  <c r="X14" s="1"/>
  <c r="FQ6" i="87"/>
  <c r="FQ54" s="1"/>
  <c r="FP68"/>
  <c r="FP69" s="1"/>
  <c r="FR6" l="1"/>
  <c r="FR54" s="1"/>
  <c r="FQ68"/>
  <c r="FQ69" s="1"/>
  <c r="FS6" l="1"/>
  <c r="FS54" s="1"/>
  <c r="FR68"/>
  <c r="FR69" s="1"/>
  <c r="FT6" l="1"/>
  <c r="FT54" s="1"/>
  <c r="FS68"/>
  <c r="FS69" s="1"/>
  <c r="FT68" l="1"/>
  <c r="FT69" s="1"/>
  <c r="FU6"/>
  <c r="FU54" s="1"/>
  <c r="FU68" l="1"/>
  <c r="FU69" s="1"/>
  <c r="FV6"/>
  <c r="FV54" s="1"/>
  <c r="FW6" l="1"/>
  <c r="FW54" s="1"/>
  <c r="FV68"/>
  <c r="FV69" s="1"/>
  <c r="FX6" l="1"/>
  <c r="FX54" s="1"/>
  <c r="FW68"/>
  <c r="FW69" s="1"/>
  <c r="FY6" l="1"/>
  <c r="FY54" s="1"/>
  <c r="FX68"/>
  <c r="FX69" s="1"/>
  <c r="FZ6" l="1"/>
  <c r="FZ54" s="1"/>
  <c r="FY68"/>
  <c r="FY69" s="1"/>
  <c r="GA6" l="1"/>
  <c r="GA54" s="1"/>
  <c r="FZ68"/>
  <c r="FZ69" s="1"/>
  <c r="GB6" l="1"/>
  <c r="GB54" s="1"/>
  <c r="GA68"/>
  <c r="FZ71" i="90" s="1"/>
  <c r="GA69" i="87" l="1"/>
  <c r="FZ72" i="90" s="1"/>
  <c r="GC6" i="87"/>
  <c r="GC54" s="1"/>
  <c r="GB68"/>
  <c r="GB69" l="1"/>
  <c r="T15" i="88"/>
  <c r="GD6" i="87"/>
  <c r="GD54" s="1"/>
  <c r="GC68"/>
  <c r="GC69" s="1"/>
  <c r="P15" i="88" l="1"/>
  <c r="S15" s="1"/>
  <c r="V15" i="91"/>
  <c r="X15" s="1"/>
  <c r="U15" i="88"/>
  <c r="GE6" i="87"/>
  <c r="GE54" s="1"/>
  <c r="GD68"/>
  <c r="GD69" s="1"/>
  <c r="GF6" l="1"/>
  <c r="GF54" s="1"/>
  <c r="GE68"/>
  <c r="GE69" s="1"/>
  <c r="GG6" l="1"/>
  <c r="GG54" s="1"/>
  <c r="GF68"/>
  <c r="GF69" s="1"/>
  <c r="GH6" l="1"/>
  <c r="GH54" s="1"/>
  <c r="GG68"/>
  <c r="GG69" s="1"/>
  <c r="GI6" l="1"/>
  <c r="GI54" s="1"/>
  <c r="GH68"/>
  <c r="GH69" s="1"/>
  <c r="GJ6" l="1"/>
  <c r="GJ54" s="1"/>
  <c r="GI68"/>
  <c r="GI69" s="1"/>
  <c r="GJ68" l="1"/>
  <c r="GJ69" s="1"/>
  <c r="GK6"/>
  <c r="GK54" s="1"/>
  <c r="GK68" l="1"/>
  <c r="GK69" s="1"/>
  <c r="GL6"/>
  <c r="GL54" s="1"/>
  <c r="GL68" l="1"/>
  <c r="GL69" s="1"/>
  <c r="GM6"/>
  <c r="GM54" s="1"/>
  <c r="GM68" l="1"/>
  <c r="GM69" s="1"/>
  <c r="GN6"/>
  <c r="GN54" s="1"/>
  <c r="GN68" l="1"/>
  <c r="GN69" s="1"/>
  <c r="GO6"/>
  <c r="GO54" s="1"/>
  <c r="GO68" l="1"/>
  <c r="GO69" s="1"/>
  <c r="GP6"/>
  <c r="GP54" s="1"/>
  <c r="GP68" l="1"/>
  <c r="GP69" s="1"/>
  <c r="GQ6"/>
  <c r="GQ54" s="1"/>
  <c r="GQ68" l="1"/>
  <c r="GQ69" s="1"/>
  <c r="GR6"/>
  <c r="GR54" s="1"/>
  <c r="GR68" l="1"/>
  <c r="GR69" s="1"/>
  <c r="GS6"/>
  <c r="GS54" s="1"/>
  <c r="GS68" l="1"/>
  <c r="GS69" s="1"/>
  <c r="GT6"/>
  <c r="GT54" s="1"/>
  <c r="GT68" l="1"/>
  <c r="GT69" s="1"/>
  <c r="GU6"/>
  <c r="GU54" s="1"/>
  <c r="GU68" l="1"/>
  <c r="GU71" i="90" s="1"/>
  <c r="GV6" i="87"/>
  <c r="GV54" s="1"/>
  <c r="GU69" l="1"/>
  <c r="GU72" i="90" s="1"/>
  <c r="GV68" i="87"/>
  <c r="GV69" s="1"/>
  <c r="GW6"/>
  <c r="GW54" s="1"/>
  <c r="GW68" l="1"/>
  <c r="GW69" s="1"/>
  <c r="GX6"/>
  <c r="GX54" s="1"/>
  <c r="GX68" l="1"/>
  <c r="GX69" s="1"/>
  <c r="GY6"/>
  <c r="GY54" s="1"/>
  <c r="GY68" l="1"/>
  <c r="GY69" s="1"/>
  <c r="GZ6"/>
  <c r="GZ54" s="1"/>
  <c r="GZ68" l="1"/>
  <c r="GZ69" s="1"/>
  <c r="HA6"/>
  <c r="HA54" s="1"/>
  <c r="HA68" l="1"/>
  <c r="HA69" s="1"/>
  <c r="HB6"/>
  <c r="HB54" s="1"/>
  <c r="HB68" l="1"/>
  <c r="HC6"/>
  <c r="HC54" s="1"/>
  <c r="HB69" l="1"/>
  <c r="T16" i="88"/>
  <c r="HC68" i="87"/>
  <c r="HC69" s="1"/>
  <c r="HD6"/>
  <c r="HD54" s="1"/>
  <c r="P16" i="88" l="1"/>
  <c r="S16" s="1"/>
  <c r="V16" i="91"/>
  <c r="X16" s="1"/>
  <c r="U16" i="88"/>
  <c r="HD68" i="87"/>
  <c r="HD69" s="1"/>
  <c r="HE6"/>
  <c r="HE54" s="1"/>
  <c r="HE68" l="1"/>
  <c r="HE69" s="1"/>
  <c r="HF6"/>
  <c r="HF54" s="1"/>
  <c r="HF68" l="1"/>
  <c r="HF69" s="1"/>
  <c r="HG6"/>
  <c r="HG54" s="1"/>
  <c r="HG68" l="1"/>
  <c r="HG69" s="1"/>
  <c r="HH6"/>
  <c r="HH54" s="1"/>
  <c r="HH68" l="1"/>
  <c r="HH69" s="1"/>
  <c r="HI6"/>
  <c r="HI54" s="1"/>
  <c r="HI68" l="1"/>
  <c r="HI69" s="1"/>
  <c r="HJ6"/>
  <c r="HJ54" s="1"/>
  <c r="HJ68" l="1"/>
  <c r="HJ69" s="1"/>
  <c r="HK6"/>
  <c r="HK54" s="1"/>
  <c r="HK68" l="1"/>
  <c r="HK69" s="1"/>
  <c r="HL6"/>
  <c r="HL54" s="1"/>
  <c r="HL68" l="1"/>
  <c r="HL69" s="1"/>
  <c r="HM6"/>
  <c r="HM54" s="1"/>
  <c r="HM68" l="1"/>
  <c r="HM69" s="1"/>
  <c r="HN6"/>
  <c r="HN54" s="1"/>
  <c r="HN68" l="1"/>
  <c r="HN69" s="1"/>
  <c r="HO6"/>
  <c r="HO54" s="1"/>
  <c r="HO68" l="1"/>
  <c r="HO69" s="1"/>
  <c r="HP6"/>
  <c r="HP54" s="1"/>
  <c r="HP68" l="1"/>
  <c r="HP71" i="90" s="1"/>
  <c r="HQ6" i="87"/>
  <c r="HQ54" s="1"/>
  <c r="HR6" l="1"/>
  <c r="HR54" s="1"/>
  <c r="HQ68"/>
  <c r="HQ69" s="1"/>
  <c r="EJ76"/>
  <c r="HP69"/>
  <c r="HP72" i="90" s="1"/>
  <c r="JH58" i="87" l="1"/>
  <c r="JH66" s="1"/>
  <c r="HR68"/>
  <c r="HR69" s="1"/>
  <c r="HS6"/>
  <c r="HS54" s="1"/>
  <c r="HS68" l="1"/>
  <c r="HT6"/>
  <c r="HT54" s="1"/>
  <c r="HS69" l="1"/>
  <c r="V17" i="91" s="1"/>
  <c r="X17" s="1"/>
  <c r="T17" i="88"/>
  <c r="HT68" i="87"/>
  <c r="HT69" s="1"/>
  <c r="HU6"/>
  <c r="HU54" s="1"/>
  <c r="P17" i="88" l="1"/>
  <c r="S17" s="1"/>
  <c r="U17" s="1"/>
  <c r="HU68" i="87"/>
  <c r="HU69" s="1"/>
  <c r="HV6"/>
  <c r="HV54" s="1"/>
  <c r="HW6" s="1"/>
  <c r="HW54" s="1"/>
  <c r="HX6" l="1"/>
  <c r="HX54" s="1"/>
  <c r="HY6" s="1"/>
  <c r="HW68"/>
  <c r="HW69" s="1"/>
  <c r="HV68"/>
  <c r="HV69" s="1"/>
  <c r="HX68" l="1"/>
  <c r="HX69" s="1"/>
  <c r="HY54"/>
  <c r="HY68" l="1"/>
  <c r="HY69" s="1"/>
  <c r="HZ6"/>
  <c r="HZ54" s="1"/>
  <c r="HZ68" l="1"/>
  <c r="HZ69" s="1"/>
  <c r="IA6"/>
  <c r="IA54" s="1"/>
  <c r="IB6" s="1"/>
  <c r="IB54" s="1"/>
  <c r="IB68" l="1"/>
  <c r="IB69" s="1"/>
  <c r="IC6"/>
  <c r="IC54" s="1"/>
  <c r="IA68"/>
  <c r="IA69" s="1"/>
  <c r="IC68" l="1"/>
  <c r="IC69" s="1"/>
  <c r="ID6"/>
  <c r="ID54" s="1"/>
  <c r="ID68" l="1"/>
  <c r="ID69" s="1"/>
  <c r="IE6"/>
  <c r="IE54" s="1"/>
  <c r="IE68" l="1"/>
  <c r="IE69" s="1"/>
  <c r="IF6"/>
  <c r="IF54" s="1"/>
  <c r="IF68" l="1"/>
  <c r="IF69" s="1"/>
  <c r="IG6"/>
  <c r="IG54" s="1"/>
  <c r="IG68" l="1"/>
  <c r="IG69" s="1"/>
  <c r="IH6"/>
  <c r="IH54" s="1"/>
  <c r="IH68" l="1"/>
  <c r="IH69" s="1"/>
  <c r="II6"/>
  <c r="II54" s="1"/>
  <c r="II68" l="1"/>
  <c r="II69" s="1"/>
  <c r="IJ6"/>
  <c r="IJ54" s="1"/>
  <c r="IJ68" l="1"/>
  <c r="IJ69" s="1"/>
  <c r="IK6"/>
  <c r="IK54" s="1"/>
  <c r="IK68" l="1"/>
  <c r="IK69" s="1"/>
  <c r="IL6"/>
  <c r="IL54" s="1"/>
  <c r="IL68" l="1"/>
  <c r="IL69" s="1"/>
  <c r="IM6"/>
  <c r="IM54" s="1"/>
  <c r="IM68" l="1"/>
  <c r="IM69" s="1"/>
  <c r="IN6"/>
  <c r="IN54" s="1"/>
  <c r="IN68" l="1"/>
  <c r="IN69" s="1"/>
  <c r="IO6"/>
  <c r="IO54" s="1"/>
  <c r="IO68" l="1"/>
  <c r="IO69" s="1"/>
  <c r="IP6"/>
  <c r="J94"/>
  <c r="K94" s="1"/>
  <c r="JI47" l="1"/>
  <c r="J95"/>
  <c r="JI36" l="1"/>
  <c r="IP49"/>
  <c r="IW50" s="1"/>
  <c r="IP53" l="1"/>
  <c r="IP54" s="1"/>
  <c r="JI33"/>
  <c r="JI49" s="1"/>
  <c r="JI53" s="1"/>
  <c r="IW53" l="1"/>
  <c r="IW54" s="1"/>
  <c r="IP68"/>
  <c r="IP69" s="1"/>
  <c r="IQ6"/>
  <c r="IQ54" s="1"/>
  <c r="JH6" l="1"/>
  <c r="JH54" s="1"/>
  <c r="JH68" s="1"/>
  <c r="IW55"/>
  <c r="IQ68"/>
  <c r="IQ69" s="1"/>
  <c r="IR6"/>
  <c r="IR54" s="1"/>
  <c r="IS6" l="1"/>
  <c r="IS54" s="1"/>
  <c r="IR68"/>
  <c r="IR69" s="1"/>
  <c r="IS68" l="1"/>
  <c r="IS69" s="1"/>
  <c r="IT6"/>
  <c r="IT54" s="1"/>
  <c r="IU6" l="1"/>
  <c r="IU54" s="1"/>
  <c r="IT68"/>
  <c r="IT69" s="1"/>
  <c r="IV6" l="1"/>
  <c r="IV54" s="1"/>
  <c r="IU68"/>
  <c r="IU69" s="1"/>
  <c r="IV68" l="1"/>
  <c r="IV69" s="1"/>
</calcChain>
</file>

<file path=xl/comments1.xml><?xml version="1.0" encoding="utf-8"?>
<comments xmlns="http://schemas.openxmlformats.org/spreadsheetml/2006/main">
  <authors>
    <author>Dallas ISD</author>
  </authors>
  <commentList>
    <comment ref="FP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proceeds/closing for $20 million proceeds, MTN's 2008. Funds must be segregated from GF; went directly to MM.</t>
        </r>
      </text>
    </comment>
    <comment ref="FA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Last year was $34,844,677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Dallas ISD: 
FSP = $113,633,309;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GH16" authorId="0">
      <text>
        <r>
          <rPr>
            <b/>
            <sz val="8"/>
            <color indexed="81"/>
            <rFont val="Tahoma"/>
            <family val="2"/>
          </rPr>
          <t>Dallas ISD:
FSP=$88,330,959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EH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in from CAF</t>
        </r>
      </text>
    </comment>
    <comment ref="GU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maturity; plus interest, TBD</t>
        </r>
      </text>
    </comment>
    <comment ref="EG19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 Proceeds, $125,341,750
</t>
        </r>
      </text>
    </comment>
    <comment ref="FZ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purchased from MM</t>
        </r>
      </text>
    </comment>
    <comment ref="HJ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EFT, same day settlement</t>
        </r>
      </text>
    </comment>
    <comment ref="FZ5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$75 million CD, maturity date of 11-14-08. 3.25%
</t>
        </r>
      </text>
    </comment>
    <comment ref="DR6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estimated property tax collections increase
</t>
        </r>
      </text>
    </comment>
  </commentList>
</comments>
</file>

<file path=xl/comments2.xml><?xml version="1.0" encoding="utf-8"?>
<comments xmlns="http://schemas.openxmlformats.org/spreadsheetml/2006/main">
  <authors>
    <author>Dallas ISD</author>
  </authors>
  <commentList>
    <comment ref="FP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proceeds/closing for $20 million proceeds, MTN's 2008. Funds must be segregated from GF; went directly to MM.</t>
        </r>
      </text>
    </comment>
    <comment ref="FA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Last year was $34,844,677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Dallas ISD: 
FSP = $113,633,309;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GH16" authorId="0">
      <text>
        <r>
          <rPr>
            <b/>
            <sz val="8"/>
            <color indexed="81"/>
            <rFont val="Tahoma"/>
            <family val="2"/>
          </rPr>
          <t>Dallas ISD:
FSP=$88,330,959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EH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in from CAF</t>
        </r>
      </text>
    </comment>
    <comment ref="GU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maturity; plus interest, TBD</t>
        </r>
      </text>
    </comment>
    <comment ref="EG19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 Proceeds, $125,341,750
</t>
        </r>
      </text>
    </comment>
    <comment ref="FZ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purchased from MM</t>
        </r>
      </text>
    </comment>
    <comment ref="HJ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EFT, same day settlement</t>
        </r>
      </text>
    </comment>
    <comment ref="FZ5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Includes $75 million CD, maturity date of 11-14-08. 3.25%
</t>
        </r>
      </text>
    </comment>
    <comment ref="EI6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actual property tax collections increase
</t>
        </r>
      </text>
    </comment>
  </commentList>
</comments>
</file>

<file path=xl/comments3.xml><?xml version="1.0" encoding="utf-8"?>
<comments xmlns="http://schemas.openxmlformats.org/spreadsheetml/2006/main">
  <authors>
    <author>Dallas ISD</author>
  </authors>
  <commentList>
    <comment ref="FP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proceeds/closing for $20 million proceeds, MTN's 2008. Funds must be segregated from GF; went directly to MM.</t>
        </r>
      </text>
    </comment>
    <comment ref="FA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Last year was $34,844,677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Dallas ISD: 
FSP = $113,633,309;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FN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Note: Also received 9/25/08; separated for Analysis tab.</t>
        </r>
      </text>
    </comment>
    <comment ref="GH16" authorId="0">
      <text>
        <r>
          <rPr>
            <b/>
            <sz val="8"/>
            <color indexed="81"/>
            <rFont val="Tahoma"/>
            <family val="2"/>
          </rPr>
          <t>Dallas ISD:
FSP=$89,115,955; adjusted from $88,330,959;</t>
        </r>
        <r>
          <rPr>
            <sz val="8"/>
            <color indexed="81"/>
            <rFont val="Tahoma"/>
            <family val="2"/>
          </rPr>
          <t xml:space="preserve">
Last year was $150,335,921</t>
        </r>
      </text>
    </comment>
    <comment ref="GJ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Note:  Received 10/25/08; separated for Analysis tab</t>
        </r>
      </text>
    </comment>
    <comment ref="EH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in from CAF</t>
        </r>
      </text>
    </comment>
    <comment ref="GU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maturity; plus interest, TBD</t>
        </r>
      </text>
    </comment>
    <comment ref="EG19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 Proceeds, $125,341,750
</t>
        </r>
      </text>
    </comment>
    <comment ref="FZ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purchased from MM</t>
        </r>
      </text>
    </comment>
    <comment ref="HJ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EFT, same day settlement</t>
        </r>
      </text>
    </comment>
    <comment ref="FZ5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Includes $75 million CD, maturity date of 11-14-08. 3.25%
</t>
        </r>
      </text>
    </comment>
    <comment ref="EI6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actual property tax collections increase
</t>
        </r>
      </text>
    </comment>
  </commentList>
</comments>
</file>

<file path=xl/comments4.xml><?xml version="1.0" encoding="utf-8"?>
<comments xmlns="http://schemas.openxmlformats.org/spreadsheetml/2006/main">
  <authors>
    <author>Dallas ISD</author>
    <author>Carlton Hobbs</author>
    <author>DISD</author>
  </authors>
  <commentList>
    <comment ref="DJ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OD due to back-dated EFT: sent 7-8-09, dated 6-30-09 for 7-2-09 settlement</t>
        </r>
      </text>
    </comment>
    <comment ref="DN8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City of Dallas-Library Settlement; Communities Foundation of Dallas-BTW donation</t>
        </r>
      </text>
    </comment>
    <comment ref="W11" authorId="0">
      <text>
        <r>
          <rPr>
            <sz val="10"/>
            <color indexed="81"/>
            <rFont val="Tahoma"/>
            <family val="2"/>
          </rPr>
          <t xml:space="preserve">1,467.48 Ap transfer
3.28  Sweep int
</t>
        </r>
      </text>
    </comment>
    <comment ref="CP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Coca Cola bottling</t>
        </r>
      </text>
    </comment>
    <comment ref="EA11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Wire for Bond Fund + Sweep interest</t>
        </r>
      </text>
    </comment>
    <comment ref="EF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$50 million of $85 million received</t>
        </r>
      </text>
    </comment>
    <comment ref="EG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FYI, prior Year TAN Proceeds received, $125,341,750, 8-11-2008</t>
        </r>
      </text>
    </comment>
    <comment ref="EH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Coca-Cola Bottling + TBD</t>
        </r>
      </text>
    </comment>
    <comment ref="EI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DCTO Interest</t>
        </r>
      </text>
    </comment>
    <comment ref="FB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$15 million of $85 million received</t>
        </r>
      </text>
    </comment>
    <comment ref="FM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$9 million due for SOF Recapture refund, Per Leo Lopez, FSP Manager, TEA: 512-463-9242</t>
        </r>
      </text>
    </comment>
    <comment ref="GJ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$20 million of $85 million received</t>
        </r>
      </text>
    </comment>
    <comment ref="EQ12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As of TEA Pymt Report dated 8-10-2009: $66,633,052 FSP &amp; $6,705,778 Per Capita (ASF)</t>
        </r>
      </text>
    </comment>
    <comment ref="EQ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As of TEA Pymt Report dated 8-10-2009: $66,633,052 FSP &amp; $6,705,778 Per Capita (ASF)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Dallas ISD: 2009-2010 FSP = $242,542,811; 45% due 9-25-2009; per TEA 09-10 SOF</t>
        </r>
      </text>
    </comment>
    <comment ref="GG16" authorId="0">
      <text>
        <r>
          <rPr>
            <b/>
            <sz val="8"/>
            <color indexed="81"/>
            <rFont val="Tahoma"/>
            <family val="2"/>
          </rPr>
          <t>Dallas ISD: 2009-2010 FSP = per TEA 09-10 SOF at 10/20/2009</t>
        </r>
      </text>
    </comment>
    <comment ref="S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CAF trf
</t>
        </r>
      </text>
    </comment>
    <comment ref="DI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Credit to Utility Account - Skyline H.S.</t>
        </r>
      </text>
    </comment>
    <comment ref="EB17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From AP</t>
        </r>
      </text>
    </comment>
    <comment ref="EI17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Reimb to GF from MTN 2008, Fund 696, for expenditures</t>
        </r>
      </text>
    </comment>
    <comment ref="GT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maturity; plus interest, TBD</t>
        </r>
      </text>
    </comment>
    <comment ref="S19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Reimb from bond fund</t>
        </r>
      </text>
    </comment>
    <comment ref="EI19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Reimb to GF from TX Class 622 &amp; 628 bond funds, for expenditures</t>
        </r>
      </text>
    </comment>
    <comment ref="GI32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TRS Statutory Minimum repayment due</t>
        </r>
      </text>
    </comment>
    <comment ref="GK3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3rd payroll; no credit union
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$125 million TANs repaid, with interest</t>
        </r>
      </text>
    </comment>
    <comment ref="M3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2008 MTN's, 1st P&amp;I pymt</t>
        </r>
      </text>
    </comment>
    <comment ref="CH4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TWC paid 5/1/2009</t>
        </r>
      </text>
    </comment>
    <comment ref="S45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AP Transfer; same-day EFT</t>
        </r>
      </text>
    </comment>
    <comment ref="DY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North American Title Co. Escrow for land purchase</t>
        </r>
      </text>
    </comment>
    <comment ref="EA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Superintendent's Scholarship</t>
        </r>
      </text>
    </comment>
    <comment ref="EB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Bond Funds</t>
        </r>
      </text>
    </comment>
    <comment ref="EI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Land Purchase- Bond</t>
        </r>
      </text>
    </comment>
    <comment ref="EK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Sales Tax &amp; Food Svc</t>
        </r>
      </text>
    </comment>
    <comment ref="EL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Sulentic Scholarship Fund</t>
        </r>
      </text>
    </comment>
    <comment ref="ES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Land Purchase NATC</t>
        </r>
      </text>
    </comment>
    <comment ref="EU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Bond Fund 628</t>
        </r>
      </text>
    </comment>
    <comment ref="FM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Bond Fund Payments</t>
        </r>
      </text>
    </comment>
    <comment ref="HD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Bond 628</t>
        </r>
      </text>
    </comment>
    <comment ref="EH46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Lincoln</t>
        </r>
      </text>
    </comment>
    <comment ref="BY4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NACHA File sent 5/13/2009</t>
        </r>
      </text>
    </comment>
    <comment ref="BZ4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NACHA File sent 5/13/2009</t>
        </r>
      </text>
    </comment>
    <comment ref="DN60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TANs, cash infusion</t>
        </r>
      </text>
    </comment>
    <comment ref="EJ60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TANs, cash infusion</t>
        </r>
      </text>
    </comment>
  </commentList>
</comments>
</file>

<file path=xl/comments5.xml><?xml version="1.0" encoding="utf-8"?>
<comments xmlns="http://schemas.openxmlformats.org/spreadsheetml/2006/main">
  <authors>
    <author>Dallas ISD</author>
    <author>Carlton Hobbs</author>
    <author>DISD</author>
  </authors>
  <commentList>
    <comment ref="DJ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OD due to back-dated EFT: sent 7-8-09, dated 6-30-09 for 7-2-09 settlement</t>
        </r>
      </text>
    </comment>
    <comment ref="DN8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City of Dallas-Library Settlement; Communities Foundation of Dallas-BTW donation</t>
        </r>
      </text>
    </comment>
    <comment ref="W11" authorId="0">
      <text>
        <r>
          <rPr>
            <sz val="10"/>
            <color indexed="81"/>
            <rFont val="Tahoma"/>
            <family val="2"/>
          </rPr>
          <t xml:space="preserve">1,467.48 Ap transfer
3.28  Sweep int
</t>
        </r>
      </text>
    </comment>
    <comment ref="CP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Coca Cola bottling</t>
        </r>
      </text>
    </comment>
    <comment ref="EA11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Wire for Bond Fund + Sweep interest</t>
        </r>
      </text>
    </comment>
    <comment ref="EF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$50 million of $85 million received</t>
        </r>
      </text>
    </comment>
    <comment ref="EG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FYI, prior Year TAN Proceeds received, $125,341,750, 8-11-2008</t>
        </r>
      </text>
    </comment>
    <comment ref="EH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Coca-Cola Bottling + TBD</t>
        </r>
      </text>
    </comment>
    <comment ref="EI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DCTO Interest</t>
        </r>
      </text>
    </comment>
    <comment ref="FB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$15 million of $85 million received</t>
        </r>
      </text>
    </comment>
    <comment ref="FM11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$9 million due for SOF Recapture refund, Per Leo Lopez, FSP Manager, TEA: 512-463-9242</t>
        </r>
      </text>
    </comment>
    <comment ref="GJ11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TRANs, $20 million of $85 million received</t>
        </r>
      </text>
    </comment>
    <comment ref="EQ12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As of TEA Pymt Report dated 8-10-2009: $66,633,052 FSP &amp; $6,705,778 Per Capita (ASF)</t>
        </r>
      </text>
    </comment>
    <comment ref="EQ16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As of TEA Pymt Report dated 8-10-2009: $66,633,052 FSP &amp; $6,705,778 Per Capita (ASF)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Dallas ISD: 2009-2010 FSP = $242,542,811; 45% due 9-25-2009; per TEA 09-10 SOF</t>
        </r>
      </text>
    </comment>
    <comment ref="GG16" authorId="0">
      <text>
        <r>
          <rPr>
            <b/>
            <sz val="8"/>
            <color indexed="81"/>
            <rFont val="Tahoma"/>
            <family val="2"/>
          </rPr>
          <t>Dallas ISD: 2009-2010 FSP = per TEA 09-10 SOF at 10/20/2009</t>
        </r>
      </text>
    </comment>
    <comment ref="S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CAF trf
</t>
        </r>
      </text>
    </comment>
    <comment ref="DI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Credit to Utility Account - Skyline H.S.</t>
        </r>
      </text>
    </comment>
    <comment ref="EB17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From AP</t>
        </r>
      </text>
    </comment>
    <comment ref="EI17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Reimb to GF from MTN 2008, Fund 696, for expenditures</t>
        </r>
      </text>
    </comment>
    <comment ref="GT1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CD maturity; plus interest, TBD</t>
        </r>
      </text>
    </comment>
    <comment ref="S19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Reimb from bond fund</t>
        </r>
      </text>
    </comment>
    <comment ref="EI19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Reimb to GF from TX Class 622 &amp; 628 bond funds, for expenditures</t>
        </r>
      </text>
    </comment>
    <comment ref="GI32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TRS Statutory Minimum repayment due</t>
        </r>
      </text>
    </comment>
    <comment ref="GK3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3rd payroll; no credit union
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$125 million TANs repaid, with interest</t>
        </r>
      </text>
    </comment>
    <comment ref="M3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2008 MTN's, 1st P&amp;I pymt</t>
        </r>
      </text>
    </comment>
    <comment ref="CH44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TWC paid 5/1/2009</t>
        </r>
      </text>
    </comment>
    <comment ref="S45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AP Transfer; same-day EFT</t>
        </r>
      </text>
    </comment>
    <comment ref="DY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North American Title Co. Escrow for land purchase</t>
        </r>
      </text>
    </comment>
    <comment ref="EA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Superintendent's Scholarship</t>
        </r>
      </text>
    </comment>
    <comment ref="EB45" authorId="1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Bond Funds</t>
        </r>
      </text>
    </comment>
    <comment ref="EI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Land Purchase- Bond</t>
        </r>
      </text>
    </comment>
    <comment ref="EK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Sales Tax &amp; Food Svc</t>
        </r>
      </text>
    </comment>
    <comment ref="EL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Sulentic Scholarship Fund</t>
        </r>
      </text>
    </comment>
    <comment ref="ES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Land Purchase NATC</t>
        </r>
      </text>
    </comment>
    <comment ref="EU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Bond Fund 628</t>
        </r>
      </text>
    </comment>
    <comment ref="FM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Bond Fund Payments</t>
        </r>
      </text>
    </comment>
    <comment ref="HD45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To Bond 628</t>
        </r>
      </text>
    </comment>
    <comment ref="EH46" authorId="2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Lincoln</t>
        </r>
      </text>
    </comment>
    <comment ref="BY4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NACHA File sent 5/13/2009</t>
        </r>
      </text>
    </comment>
    <comment ref="BZ47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NACHA File sent 5/13/2009</t>
        </r>
      </text>
    </comment>
    <comment ref="DN60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TANs, cash infusion</t>
        </r>
      </text>
    </comment>
    <comment ref="EJ60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TANs, cash infusion</t>
        </r>
      </text>
    </comment>
  </commentList>
</comments>
</file>

<file path=xl/comments6.xml><?xml version="1.0" encoding="utf-8"?>
<comments xmlns="http://schemas.openxmlformats.org/spreadsheetml/2006/main">
  <authors>
    <author>DISD</author>
    <author>Dallas ISD</author>
  </authors>
  <commentList>
    <comment ref="G1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Funds needed 12/15/09; 10/30/09 deadline for 2009 TRAN draws.</t>
        </r>
      </text>
    </comment>
    <comment ref="K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For 12/15 overdraft; later funding date of 11/30 requested for 2010 TANs
</t>
        </r>
      </text>
    </comment>
    <comment ref="E43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Note, 10/25/209 is a Sunday</t>
        </r>
      </text>
    </comment>
    <comment ref="P49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Less $312 &amp; $1,093,535 transfers from 2009-2010 SOF ($$ due 09-10)</t>
        </r>
      </text>
    </comment>
  </commentList>
</comments>
</file>

<file path=xl/comments7.xml><?xml version="1.0" encoding="utf-8"?>
<comments xmlns="http://schemas.openxmlformats.org/spreadsheetml/2006/main">
  <authors>
    <author>DISD</author>
    <author>Dallas ISD</author>
    <author>Carlton Hobbs</author>
  </authors>
  <commentList>
    <comment ref="BD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interest from DCTO
</t>
        </r>
      </text>
    </comment>
    <comment ref="EG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2011 TRANs; 2010 TRANs = $30M</t>
        </r>
      </text>
    </comment>
    <comment ref="ER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 ASF Settle-up, as of TEA Pymt Report dated 8-5-2010:  LPE = $4,377,373; DPE = $4,377,373</t>
        </r>
      </text>
    </comment>
    <comment ref="FB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2011 TRANs; 2010 TRANs = $50M</t>
        </r>
      </text>
    </comment>
    <comment ref="FN11" authorId="0">
      <text>
        <r>
          <rPr>
            <b/>
            <sz val="8"/>
            <color indexed="81"/>
            <rFont val="Tahoma"/>
            <family val="2"/>
          </rPr>
          <t xml:space="preserve">DISD:  
</t>
        </r>
        <r>
          <rPr>
            <sz val="8"/>
            <color indexed="81"/>
            <rFont val="Tahoma"/>
            <family val="2"/>
          </rPr>
          <t xml:space="preserve">ASF/Per Capita 2010-2011
</t>
        </r>
      </text>
    </comment>
    <comment ref="GG11" authorId="0">
      <text>
        <r>
          <rPr>
            <b/>
            <sz val="8"/>
            <color indexed="81"/>
            <rFont val="Tahoma"/>
            <family val="2"/>
          </rPr>
          <t xml:space="preserve">DISD:  
</t>
        </r>
        <r>
          <rPr>
            <sz val="8"/>
            <color indexed="81"/>
            <rFont val="Tahoma"/>
            <family val="2"/>
          </rPr>
          <t>ASF/Per Capita 2010-2011</t>
        </r>
      </text>
    </comment>
    <comment ref="GI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Dallas County Schools, PY overcharges reimbursement</t>
        </r>
      </text>
    </comment>
    <comment ref="HC11" authorId="0">
      <text>
        <r>
          <rPr>
            <b/>
            <sz val="8"/>
            <color indexed="81"/>
            <rFont val="Tahoma"/>
            <family val="2"/>
          </rPr>
          <t xml:space="preserve">DISD:  
</t>
        </r>
        <r>
          <rPr>
            <sz val="8"/>
            <color indexed="81"/>
            <rFont val="Tahoma"/>
            <family val="2"/>
          </rPr>
          <t>ASF/Per Capita 2010-2011</t>
        </r>
      </text>
    </comment>
    <comment ref="HX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ASF/Per Capita 2010-11</t>
        </r>
      </text>
    </comment>
    <comment ref="FB1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= Coke $$$ = Other
</t>
        </r>
      </text>
    </comment>
    <comment ref="ER16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As of TEA Pymt Report dated 8-5-2010:  LPE = $45,050,940; DPE = $114,442,620</t>
        </r>
      </text>
    </comment>
    <comment ref="FN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2010-2011 - FSA</t>
        </r>
      </text>
    </comment>
    <comment ref="FO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2009-2010 FSA Settle-up</t>
        </r>
      </text>
    </comment>
    <comment ref="GC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SFSF FY11, September PR, request submitted 10-13-2010
</t>
        </r>
      </text>
    </comment>
    <comment ref="GG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2010-2011 FSA</t>
        </r>
      </text>
    </comment>
    <comment ref="GV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SFSF FY11, October PR
Note:  Funding may be delayed, per Allison Seago, Grants Mgmt
Allison (Seago) Davenport
Grant Accounting
aseago@dallasisd.org
Phone: 214.932.5051
Fax: 214.932.5307
</t>
        </r>
      </text>
    </comment>
    <comment ref="HC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NSLP &amp; SBP - Nat'l School Lunch Program and School Breakfast Program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from CAF</t>
        </r>
      </text>
    </comment>
    <comment ref="S17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CAF trf
</t>
        </r>
      </text>
    </comment>
    <comment ref="S19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Reimb from bond fund</t>
        </r>
      </text>
    </comment>
    <comment ref="DM19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DD's - TX Class</t>
        </r>
      </text>
    </comment>
    <comment ref="DN19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CAF transfer - reversed same day</t>
        </r>
      </text>
    </comment>
    <comment ref="DO19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2008 Bond DD#82, 7/1-7/14/2010</t>
        </r>
      </text>
    </comment>
    <comment ref="DE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June TRS paid at end of fiscal year versus the 5th due date </t>
        </r>
      </text>
    </comment>
    <comment ref="EM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Partial pymt sent to TRS Annually; deducted from 9-5-2010 payment</t>
        </r>
      </text>
    </comment>
    <comment ref="EY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Is less the $2.5 million advance pymt paid 8-18-10</t>
        </r>
      </text>
    </comment>
    <comment ref="GI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Paid Last year, not due this year:  $11,427,385, TRS Statutory Minimum repayment due</t>
        </r>
      </text>
    </comment>
    <comment ref="GK33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3rd PR of the month, no credit union</t>
        </r>
      </text>
    </comment>
    <comment ref="M34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2008 MTN's P&amp;I, and 2009 TRANs P&amp;I, and QZAB 2002 Int. pymts</t>
        </r>
      </text>
    </comment>
    <comment ref="DF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IBM</t>
        </r>
      </text>
    </comment>
    <comment ref="JF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Repay 2010 TRANs</t>
        </r>
      </text>
    </comment>
    <comment ref="DD3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EOY 941 Pymt</t>
        </r>
      </text>
    </comment>
    <comment ref="DN4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CAF transfer - reversal</t>
        </r>
      </text>
    </comment>
    <comment ref="CH44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TWC paid 5/1/2009</t>
        </r>
      </text>
    </comment>
    <comment ref="BA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Republic Title of TX - bond program &amp; deposit 2-day float
</t>
        </r>
      </text>
    </comment>
    <comment ref="BC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$100 dep corr; $2,274 2-days float</t>
        </r>
      </text>
    </comment>
    <comment ref="BD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Bond - purchase of land, Adamson HS
</t>
        </r>
      </text>
    </comment>
    <comment ref="DL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Bond wire transfers</t>
        </r>
      </text>
    </comment>
    <comment ref="DM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BONY Admin fees</t>
        </r>
      </text>
    </comment>
    <comment ref="DN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Allow for same day EFT</t>
        </r>
      </text>
    </comment>
    <comment ref="EA45" authorId="2">
      <text>
        <r>
          <rPr>
            <b/>
            <sz val="10"/>
            <color indexed="81"/>
            <rFont val="Tahoma"/>
            <family val="2"/>
          </rPr>
          <t>Carlton Hobbs:</t>
        </r>
        <r>
          <rPr>
            <sz val="10"/>
            <color indexed="81"/>
            <rFont val="Tahoma"/>
            <family val="2"/>
          </rPr>
          <t xml:space="preserve">
Superintendent's Scholarship</t>
        </r>
      </text>
    </comment>
    <comment ref="EK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Sales Tax &amp; Food Svc</t>
        </r>
      </text>
    </comment>
    <comment ref="BB4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Includes return of EFT pymt # 62647, JEM Resources, $1,935,083.07</t>
        </r>
      </text>
    </comment>
    <comment ref="DM4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Plus $90,411.82 same day settle</t>
        </r>
      </text>
    </comment>
    <comment ref="EH4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Lincoln</t>
        </r>
      </text>
    </comment>
    <comment ref="J8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Includes special awards (BATE) per Maria Perez</t>
        </r>
      </text>
    </comment>
    <comment ref="G8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Includes BW</t>
        </r>
      </text>
    </comment>
    <comment ref="J8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 &amp; BW</t>
        </r>
      </text>
    </comment>
    <comment ref="J90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 &amp; BW</t>
        </r>
      </text>
    </comment>
    <comment ref="G9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3% pay increase; payroll decrease is due to staff reduction</t>
        </r>
      </text>
    </comment>
  </commentList>
</comments>
</file>

<file path=xl/comments8.xml><?xml version="1.0" encoding="utf-8"?>
<comments xmlns="http://schemas.openxmlformats.org/spreadsheetml/2006/main">
  <authors>
    <author>Dallas ISD</author>
  </authors>
  <commentList>
    <comment ref="E43" authorId="0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Note, 10/25/209 is a Sunday</t>
        </r>
      </text>
    </comment>
  </commentList>
</comments>
</file>

<file path=xl/comments9.xml><?xml version="1.0" encoding="utf-8"?>
<comments xmlns="http://schemas.openxmlformats.org/spreadsheetml/2006/main">
  <authors>
    <author>DISD</author>
    <author>Dallas ISD</author>
  </authors>
  <commentList>
    <comment ref="V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Technology Allotment</t>
        </r>
      </text>
    </comment>
    <comment ref="AO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ASF/Per Capita 2010-11</t>
        </r>
      </text>
    </comment>
    <comment ref="BD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interest from DCTO
</t>
        </r>
      </text>
    </comment>
    <comment ref="BJ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ASF/Per Capita 2010-11</t>
        </r>
      </text>
    </comment>
    <comment ref="CF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</t>
        </r>
      </text>
    </comment>
    <comment ref="CQ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Edu Jobs Funding</t>
        </r>
      </text>
    </comment>
    <comment ref="DB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</t>
        </r>
      </text>
    </comment>
    <comment ref="DV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</t>
        </r>
      </text>
    </comment>
    <comment ref="EC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2011 TRANS
</t>
        </r>
      </text>
    </comment>
    <comment ref="ER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</t>
        </r>
      </text>
    </comment>
    <comment ref="FA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2011 TRANS
</t>
        </r>
      </text>
    </comment>
    <comment ref="FM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2011-2012 </t>
        </r>
      </text>
    </comment>
    <comment ref="FN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2010-2011
 </t>
        </r>
      </text>
    </comment>
    <comment ref="FQ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Edujobs funding (remainder); all sb received by 9-30-2011</t>
        </r>
      </text>
    </comment>
    <comment ref="GG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2011-2012 </t>
        </r>
      </text>
    </comment>
    <comment ref="HC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2011-2012 </t>
        </r>
      </text>
    </comment>
    <comment ref="HX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2011-2012 </t>
        </r>
      </text>
    </comment>
    <comment ref="IR11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ASF 2011-2012 </t>
        </r>
      </text>
    </comment>
    <comment ref="CP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Title I, Part A - Improving Basi
</t>
        </r>
      </text>
    </comment>
    <comment ref="ER16" authorId="1">
      <text>
        <r>
          <rPr>
            <b/>
            <sz val="8"/>
            <color indexed="81"/>
            <rFont val="Tahoma"/>
            <family val="2"/>
          </rPr>
          <t>Dallas ISD:</t>
        </r>
        <r>
          <rPr>
            <sz val="8"/>
            <color indexed="81"/>
            <rFont val="Tahoma"/>
            <family val="2"/>
          </rPr>
          <t xml:space="preserve">
8-25-2011 FSP Pymt for 2010-2011; as of 6/1/2011 Payment Report</t>
        </r>
      </text>
    </comment>
    <comment ref="FM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Per SOF template v. 15, and less estimated FSP reduction</t>
        </r>
      </text>
    </comment>
    <comment ref="FN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Est. 2010-11 FSP Settle-up;  was $73,013,543 for 2009-2010</t>
        </r>
      </text>
    </comment>
    <comment ref="GG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Per SOF template v. 15, and less estimated FSP reduction</t>
        </r>
      </text>
    </comment>
    <comment ref="GV1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SFSF FY 2010-11, October PR
Allison (Seago) Davenport
Grant Accounting
aseago@dallasisd.org
Phone: 214.932.5051
Fax: 214.932.5307
</t>
        </r>
      </text>
    </comment>
    <comment ref="CM19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$33,750?</t>
        </r>
      </text>
    </comment>
    <comment ref="DE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June TRS paid at end of fiscal year versus the 5th due date </t>
        </r>
      </text>
    </comment>
    <comment ref="ED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Due on or before the 6th</t>
        </r>
      </text>
    </comment>
    <comment ref="EM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Partial pymt sent to TRS Annually; deducted from 9-5-2010 payment</t>
        </r>
      </text>
    </comment>
    <comment ref="EY3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Is less the $2.5 million advance pymt paid 8-18-10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Repay 2010 TRANs
</t>
        </r>
      </text>
    </comment>
    <comment ref="M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MTN 2008 &amp; QZAB2
</t>
        </r>
      </text>
    </comment>
    <comment ref="BN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QZAB1 &amp; QZAB2 escrow payments</t>
        </r>
      </text>
    </comment>
    <comment ref="DK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IBM</t>
        </r>
      </text>
    </comment>
    <comment ref="EJ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MTN 2008 &amp; QZAB2</t>
        </r>
      </text>
    </comment>
    <comment ref="EM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interim interest on 2011 TRANs</t>
        </r>
      </text>
    </comment>
    <comment ref="FH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interim interest on 2011 TRANs</t>
        </r>
      </text>
    </comment>
    <comment ref="GB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interim interest on 2011 TRANs</t>
        </r>
      </text>
    </comment>
    <comment ref="JE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Repay TRANs</t>
        </r>
      </text>
    </comment>
    <comment ref="JG3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MTN 2008 &amp; QZAB2</t>
        </r>
      </text>
    </comment>
    <comment ref="DD36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EOY Est. 941 Pymt</t>
        </r>
      </text>
    </comment>
    <comment ref="CM4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American Title Company</t>
        </r>
      </text>
    </comment>
    <comment ref="CI60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Est. Interest income (cummulative)
</t>
        </r>
      </text>
    </comment>
    <comment ref="DE60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Est. Interest income (cummulative)
</t>
        </r>
      </text>
    </comment>
    <comment ref="DZ60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Est. Interest income (cummulative)
</t>
        </r>
      </text>
    </comment>
    <comment ref="EV60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Est. Interest income (cummulative)
</t>
        </r>
      </text>
    </comment>
    <comment ref="J82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Includes special awards (BATE) per Maria Perez</t>
        </r>
      </text>
    </comment>
    <comment ref="J84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Monthly &amp; Biweekly</t>
        </r>
      </text>
    </comment>
    <comment ref="G8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Includes BW</t>
        </r>
      </text>
    </comment>
    <comment ref="J8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Monthly &amp; Biweekly</t>
        </r>
      </text>
    </comment>
    <comment ref="G95" authorId="0">
      <text>
        <r>
          <rPr>
            <b/>
            <sz val="8"/>
            <color indexed="81"/>
            <rFont val="Tahoma"/>
            <family val="2"/>
          </rPr>
          <t>DISD:</t>
        </r>
        <r>
          <rPr>
            <sz val="8"/>
            <color indexed="81"/>
            <rFont val="Tahoma"/>
            <family val="2"/>
          </rPr>
          <t xml:space="preserve">
3% pay increase; payroll decrease is due to staff reduction</t>
        </r>
      </text>
    </comment>
  </commentList>
</comments>
</file>

<file path=xl/sharedStrings.xml><?xml version="1.0" encoding="utf-8"?>
<sst xmlns="http://schemas.openxmlformats.org/spreadsheetml/2006/main" count="1956" uniqueCount="273">
  <si>
    <t>CASH RECON</t>
  </si>
  <si>
    <t>&amp; CASHFLOW</t>
  </si>
  <si>
    <t>BEGINNING BALANCE</t>
  </si>
  <si>
    <t>Cash Inflows:</t>
  </si>
  <si>
    <t>Tax Revenue</t>
  </si>
  <si>
    <t>Commercial Deposits</t>
  </si>
  <si>
    <t>JROTC</t>
  </si>
  <si>
    <t>Other</t>
  </si>
  <si>
    <t xml:space="preserve">     Total Cash Inflows</t>
  </si>
  <si>
    <t>Cash Outflows</t>
  </si>
  <si>
    <t>Federal WH Taxes-Form 941</t>
  </si>
  <si>
    <t>Spending Trust</t>
  </si>
  <si>
    <t>TWC Unemployment</t>
  </si>
  <si>
    <t>Bank Fees &amp; Supplies</t>
  </si>
  <si>
    <t>Sweep Out</t>
  </si>
  <si>
    <t>Trans to BOA Genl Fund MM</t>
  </si>
  <si>
    <t>Transfers to/fr BOA MM</t>
  </si>
  <si>
    <t>Genl Fund BOA Money Market</t>
  </si>
  <si>
    <t>Genl Fund MBIA Inv Pool Bal</t>
  </si>
  <si>
    <t>Genl Fund LOGIC Inv Pool Bal</t>
  </si>
  <si>
    <t>Genl Fund Lone Star Inv Pool Bal</t>
  </si>
  <si>
    <t>Total General Fund MMs &amp; IPs</t>
  </si>
  <si>
    <t>Genl Fund Texpool Inv Pool Bal</t>
  </si>
  <si>
    <t>Genl Fund Investments</t>
  </si>
  <si>
    <t xml:space="preserve">         Subtotal Expenditures</t>
  </si>
  <si>
    <t>Investment Purchases</t>
  </si>
  <si>
    <t>Lincoln</t>
  </si>
  <si>
    <t>Credit Union</t>
  </si>
  <si>
    <t>Medicaid</t>
  </si>
  <si>
    <t>Trans fr Non-Genl Fund MM or Pools</t>
  </si>
  <si>
    <t>Trans fr Other Bank Accounts</t>
  </si>
  <si>
    <t>Trans fr BOA GF MM-Genl Fund</t>
  </si>
  <si>
    <t>Trans fr MBIA IP-Genl Fund</t>
  </si>
  <si>
    <t>Trans fr LOGIC IP-Genl Fund</t>
  </si>
  <si>
    <t>Trans fr Lone Star IP-Genl Fund</t>
  </si>
  <si>
    <t>Trans fr TexPool IP-Genl Fund</t>
  </si>
  <si>
    <t>DISD GENL FUND</t>
  </si>
  <si>
    <t>Trans fr Federal Fund</t>
  </si>
  <si>
    <t>Special Revenue</t>
  </si>
  <si>
    <t>Total Outflows</t>
  </si>
  <si>
    <t>Net Change/Ending Balance</t>
  </si>
  <si>
    <t>Other/Corrections</t>
  </si>
  <si>
    <t xml:space="preserve">  </t>
  </si>
  <si>
    <t>CDA - Argus</t>
  </si>
  <si>
    <t>CDA - Accounts Payable</t>
  </si>
  <si>
    <t>CDA - Payroll</t>
  </si>
  <si>
    <t>Date &gt;&gt;&gt;</t>
  </si>
  <si>
    <t>Sweep In (and Fund Balance for forecast)</t>
  </si>
  <si>
    <t>TRS &amp; TRS Active Care &amp; Cigna</t>
  </si>
  <si>
    <t xml:space="preserve"> </t>
  </si>
  <si>
    <t>.</t>
  </si>
  <si>
    <t>Great West</t>
  </si>
  <si>
    <t>CAF Transfers</t>
  </si>
  <si>
    <t>Tax Revenue-WHISD</t>
  </si>
  <si>
    <t>Tristar</t>
  </si>
  <si>
    <t>Returned Checks</t>
  </si>
  <si>
    <t>Genl Fund Texas Term Inv Pooll</t>
  </si>
  <si>
    <t>Trans fr Texas Term</t>
  </si>
  <si>
    <t xml:space="preserve">Highest </t>
  </si>
  <si>
    <t>Overdraft</t>
  </si>
  <si>
    <t>Cash Position</t>
  </si>
  <si>
    <t>First</t>
  </si>
  <si>
    <t>#1</t>
  </si>
  <si>
    <t>#2</t>
  </si>
  <si>
    <t>WITH TANs</t>
  </si>
  <si>
    <t>Fiscal Year</t>
  </si>
  <si>
    <t>Cash Flow</t>
  </si>
  <si>
    <t>TANs</t>
  </si>
  <si>
    <t>Received</t>
  </si>
  <si>
    <t>Genl Fund Securities &amp; CD's</t>
  </si>
  <si>
    <t>Beginning</t>
  </si>
  <si>
    <t>with TAN's</t>
  </si>
  <si>
    <t>2008-2009 &gt;</t>
  </si>
  <si>
    <t>End</t>
  </si>
  <si>
    <t>BW</t>
  </si>
  <si>
    <t>M</t>
  </si>
  <si>
    <t>M &amp; BW</t>
  </si>
  <si>
    <t>Variable Annuity Life Insurance (VALIC)</t>
  </si>
  <si>
    <t>Debt Payments (GF)</t>
  </si>
  <si>
    <t>Revenue =</t>
  </si>
  <si>
    <t>Expenses =</t>
  </si>
  <si>
    <t>Forecast &gt;</t>
  </si>
  <si>
    <t>TEA Including TX Comptroller Spec Rev</t>
  </si>
  <si>
    <t xml:space="preserve">= below desired target level of $25 million </t>
  </si>
  <si>
    <t>Tristar (WC Claims)</t>
  </si>
  <si>
    <t>Great West (457 deposits)</t>
  </si>
  <si>
    <t>Lincoln (403b)</t>
  </si>
  <si>
    <t>Variable Annuity Life Insurance (403b)</t>
  </si>
  <si>
    <t>Monthly PR</t>
  </si>
  <si>
    <t>% to Feb PR</t>
  </si>
  <si>
    <t>PR Date</t>
  </si>
  <si>
    <t>TRS</t>
  </si>
  <si>
    <t>01/15/09</t>
  </si>
  <si>
    <t>02/06/09</t>
  </si>
  <si>
    <t>PR</t>
  </si>
  <si>
    <t>% TRS to PR</t>
  </si>
  <si>
    <t>1st OVRDRFT</t>
  </si>
  <si>
    <t>2nd OVRDRFT</t>
  </si>
  <si>
    <t>08-09 FSP</t>
  </si>
  <si>
    <t>3rd OVRDRFT</t>
  </si>
  <si>
    <t>09-10 FSP</t>
  </si>
  <si>
    <t>4th OVRDRFT</t>
  </si>
  <si>
    <t>DISD Holiday</t>
  </si>
  <si>
    <t>from TANs</t>
  </si>
  <si>
    <t>OVRDRFT</t>
  </si>
  <si>
    <t>HIGHEST</t>
  </si>
  <si>
    <t>Dallas Independent School District</t>
  </si>
  <si>
    <t>Treasury Services</t>
  </si>
  <si>
    <t>Assumptions:</t>
  </si>
  <si>
    <t>(including payroll related expenditures)</t>
  </si>
  <si>
    <t>2008-2009</t>
  </si>
  <si>
    <t>2009-2010</t>
  </si>
  <si>
    <t>n/a</t>
  </si>
  <si>
    <t xml:space="preserve">Projected </t>
  </si>
  <si>
    <t>Ovedraft</t>
  </si>
  <si>
    <t>Actual</t>
  </si>
  <si>
    <t>TANs Rcvd</t>
  </si>
  <si>
    <t>TANs issued/recommended:</t>
  </si>
  <si>
    <t>Cash Flow Overdrafts:</t>
  </si>
  <si>
    <t>(due to current cost cuts, also in response to economic uncertainty)</t>
  </si>
  <si>
    <t>Highest Overdraft Date:</t>
  </si>
  <si>
    <t>Highest Overdraft Amount:</t>
  </si>
  <si>
    <t>TANs Needed</t>
  </si>
  <si>
    <t>FSP for 2008-2009:</t>
  </si>
  <si>
    <t>FSP for 2009-2010:</t>
  </si>
  <si>
    <t>2007-2008</t>
  </si>
  <si>
    <t>FSP for 2007-2008:</t>
  </si>
  <si>
    <t>Total FSP Payments by year:</t>
  </si>
  <si>
    <t>[1]</t>
  </si>
  <si>
    <t>Fiscal Year Totals Received:</t>
  </si>
  <si>
    <t>[2]</t>
  </si>
  <si>
    <t>Cash "Cushion" Allowed:</t>
  </si>
  <si>
    <t>First Overdraft:</t>
  </si>
  <si>
    <t>Second Overdraft:</t>
  </si>
  <si>
    <t>Third Overdraft:</t>
  </si>
  <si>
    <t xml:space="preserve">= overdraft position without TANs </t>
  </si>
  <si>
    <t>Date</t>
  </si>
  <si>
    <t>Utility Transfers</t>
  </si>
  <si>
    <t>start  &gt;&gt;</t>
  </si>
  <si>
    <t>Trans to BOA Genl Fund PMA</t>
  </si>
  <si>
    <t>Genl Fund Premium Managed Acct (PMA)</t>
  </si>
  <si>
    <t>Trans fr BOA GF PMA</t>
  </si>
  <si>
    <t>Acct Opened &gt;</t>
  </si>
  <si>
    <t>&gt;$50 million TANs received, 8-10-2009</t>
  </si>
  <si>
    <t xml:space="preserve">Funding of </t>
  </si>
  <si>
    <t>$15 million,</t>
  </si>
  <si>
    <t>TRAN</t>
  </si>
  <si>
    <t>Monday</t>
  </si>
  <si>
    <t>Tuesday</t>
  </si>
  <si>
    <t>Wednesday</t>
  </si>
  <si>
    <t>Thursday</t>
  </si>
  <si>
    <t>Friday</t>
  </si>
  <si>
    <t>Highest OD</t>
  </si>
  <si>
    <t>1/5/2010</t>
  </si>
  <si>
    <t>Note:  11/11/2010 is Veterans Day Holiday</t>
  </si>
  <si>
    <t>Note:  12/24/2010 is Christmas Holiday</t>
  </si>
  <si>
    <t>Note:  5/31/2010 is Memorial Day Holiday</t>
  </si>
  <si>
    <t>Note:  7/5/2010 is 4th of July Holiday</t>
  </si>
  <si>
    <t>Note:  9/6/2010 is Labor Day Holiday</t>
  </si>
  <si>
    <t>10-11 FSP</t>
  </si>
  <si>
    <t>Note:  2/15/2010 is Presidents Day Holiday (not a District holiday)</t>
  </si>
  <si>
    <t>Repay TRANs</t>
  </si>
  <si>
    <t>Credit Union:</t>
  </si>
  <si>
    <t>IRS 941:</t>
  </si>
  <si>
    <t>4-Month Avg.</t>
  </si>
  <si>
    <t>DISD Holidays &gt;</t>
  </si>
  <si>
    <t>Note:  11/25/2010 is Thanksgiving Holiday (DISD HOL = 24, 25 &amp; 26)</t>
  </si>
  <si>
    <t>N/A</t>
  </si>
  <si>
    <t>Biweekly PR</t>
  </si>
  <si>
    <t>2-Month Avg.</t>
  </si>
  <si>
    <t>Veterans Day</t>
  </si>
  <si>
    <t>Holiday 11/11</t>
  </si>
  <si>
    <t>&amp; GF Debt</t>
  </si>
  <si>
    <t>TRANs</t>
  </si>
  <si>
    <t>$50 million,</t>
  </si>
  <si>
    <t>$20 million,</t>
  </si>
  <si>
    <t>&gt;$15 million TANs received, 9-10-2009</t>
  </si>
  <si>
    <t>ck</t>
  </si>
  <si>
    <t>% to Jan PR</t>
  </si>
  <si>
    <t>OVERDRAFT</t>
  </si>
  <si>
    <t>Proj. Highest Overdraft Date</t>
  </si>
  <si>
    <t>Per TEA SOF:</t>
  </si>
  <si>
    <t>2010-2011</t>
  </si>
  <si>
    <t>Credit Union &gt;</t>
  </si>
  <si>
    <t>IRS &gt;</t>
  </si>
  <si>
    <t>02-10 Monthly</t>
  </si>
  <si>
    <t>02-10 Biweekly</t>
  </si>
  <si>
    <t>BW &gt;</t>
  </si>
  <si>
    <t>&lt; actual</t>
  </si>
  <si>
    <t>Tax Revenue =</t>
  </si>
  <si>
    <t>State Revenue =</t>
  </si>
  <si>
    <t>12/15/2010=</t>
  </si>
  <si>
    <t>12/2009</t>
  </si>
  <si>
    <t>Note:TRAN</t>
  </si>
  <si>
    <t>Last year, wo TANs</t>
  </si>
  <si>
    <t>Last year, w TANs</t>
  </si>
  <si>
    <t>Foundation School Pymts (FSP) :</t>
  </si>
  <si>
    <t>FSP for 2010-2011:</t>
  </si>
  <si>
    <t>Overdraft:</t>
  </si>
  <si>
    <t>Date of:</t>
  </si>
  <si>
    <t>wo TRANs -</t>
  </si>
  <si>
    <t>w TRANS -</t>
  </si>
  <si>
    <t>For Fiscal Years Ending 2010 &amp; 2011</t>
  </si>
  <si>
    <t>Adjusted Cash:</t>
  </si>
  <si>
    <t>Projected, based on current law.</t>
  </si>
  <si>
    <t>Analysis of Cash Flows &amp; Draw Schedule</t>
  </si>
  <si>
    <t>(current year decrease due to current economic conditons and reports from DCAD)</t>
  </si>
  <si>
    <t>2.  Projected local revenues are decreased by 5%; State revenues correspondingly increased 5%.</t>
  </si>
  <si>
    <t>3.  Non-payroll expenditures are held flat - no increase or decrease.</t>
  </si>
  <si>
    <t>Adjusted Allocation:</t>
  </si>
  <si>
    <t>&lt; M &amp; BW</t>
  </si>
  <si>
    <t>check:</t>
  </si>
  <si>
    <t>2009 Tans, proceeds received 8/10/2009, 9/10/2009 &amp; 10/29/2010; bank required five days notice for funding.</t>
  </si>
  <si>
    <t>Paid to date:</t>
  </si>
  <si>
    <t>Remainder:</t>
  </si>
  <si>
    <t>Genl Fund Texas Class Inv Pool Bal</t>
  </si>
  <si>
    <t>$30 million,</t>
  </si>
  <si>
    <t>M&amp;O Accrual 2008-2009</t>
  </si>
  <si>
    <t>"</t>
  </si>
  <si>
    <t>Cash Position Without TRANs</t>
  </si>
  <si>
    <t>Cash Position With TRANs</t>
  </si>
  <si>
    <t>M&amp;O Accrual 2010-2011</t>
  </si>
  <si>
    <t>Exp. Reduction:</t>
  </si>
  <si>
    <t>LPE @ 8-11-2010</t>
  </si>
  <si>
    <t>Highest 1</t>
  </si>
  <si>
    <t>Highest 2</t>
  </si>
  <si>
    <t>Analysis of overdrafts: (without SFSF funding)</t>
  </si>
  <si>
    <t>Pd</t>
  </si>
  <si>
    <t>Foundation:</t>
  </si>
  <si>
    <t>$0 million,</t>
  </si>
  <si>
    <t>5th OD</t>
  </si>
  <si>
    <t>1.  Projected payrolls increased by 1.4% for 2010-2011</t>
  </si>
  <si>
    <t>Trans fr Texas Term Gen Fund</t>
  </si>
  <si>
    <t>Note:  2/21/2011 is Presidents Day Holiday (not a District holiday)</t>
  </si>
  <si>
    <t>Note:  5/30/2011 is Memorial Day Holiday</t>
  </si>
  <si>
    <t>Note:  7/4/2011 is 4th of July Holiday</t>
  </si>
  <si>
    <t>Note:  9/5/2011 is Labor Day Holiday</t>
  </si>
  <si>
    <t>Note:  10/10/2011 is Columbus Day Holiday</t>
  </si>
  <si>
    <t>Note:  11/11/2011 is Veterans Day Holiday</t>
  </si>
  <si>
    <t>Note:  11/24/2010 is Thanksgiving Holiday (DISD HOL = 23, 24 &amp; 25)</t>
  </si>
  <si>
    <t>Note:  12/25/2010 is Christmas Holiday</t>
  </si>
  <si>
    <t>02-11 Biweekly</t>
  </si>
  <si>
    <t>02-11 Monthly</t>
  </si>
  <si>
    <t>2011-2012</t>
  </si>
  <si>
    <t>LPE @ 4-15-2011</t>
  </si>
  <si>
    <t>Adj's to date:</t>
  </si>
  <si>
    <t>For Fiscal Years Ending 2011 &amp; 2012</t>
  </si>
  <si>
    <t>Estimated M&amp;O Accrual 2011-2012</t>
  </si>
  <si>
    <t>Cash Deposits =</t>
  </si>
  <si>
    <t>3/5/2011</t>
  </si>
  <si>
    <t>Feb PR</t>
  </si>
  <si>
    <t>&lt; Retirees</t>
  </si>
  <si>
    <t>% BW, 2010 to 2011:</t>
  </si>
  <si>
    <t>12/16/2011=</t>
  </si>
  <si>
    <t>TRS:</t>
  </si>
  <si>
    <t>Bond Reimbursements =</t>
  </si>
  <si>
    <t>Analysis of overdrafts:</t>
  </si>
  <si>
    <t>2.  Projected local revenues are decreased by 10%; State revenues are decreased by 30%.</t>
  </si>
  <si>
    <t>First TRANs Draw:</t>
  </si>
  <si>
    <t>Second TRANs Draw:</t>
  </si>
  <si>
    <t>FSP for 2011-2012:</t>
  </si>
  <si>
    <t>&lt; PR Reductions begin</t>
  </si>
  <si>
    <t>&lt; New PR Year</t>
  </si>
  <si>
    <t>3.  Non-payroll expenditures are reduced by 20%</t>
  </si>
  <si>
    <t>&lt; Current Law</t>
  </si>
  <si>
    <t>&lt;M &amp; BW</t>
  </si>
  <si>
    <t>11-12 FSP</t>
  </si>
  <si>
    <t>&lt;M &amp; BW &amp; Retirees</t>
  </si>
  <si>
    <t>LPE @ 6-17-2011</t>
  </si>
  <si>
    <t>Region XIII - SOF v.17</t>
  </si>
  <si>
    <t>&lt; HB 1811 estimated reduction to FSP</t>
  </si>
  <si>
    <t>1.  Projected payrolls are decreased by 5% for 2011-2012 (beginning 9-1-2011)</t>
  </si>
  <si>
    <t>(budget cuts, also in response to economic conditions)</t>
  </si>
</sst>
</file>

<file path=xl/styles.xml><?xml version="1.0" encoding="utf-8"?>
<styleSheet xmlns="http://schemas.openxmlformats.org/spreadsheetml/2006/main">
  <numFmts count="8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mm/dd/yy"/>
    <numFmt numFmtId="166" formatCode="0.0%"/>
    <numFmt numFmtId="167" formatCode="&quot;$&quot;#,##0"/>
    <numFmt numFmtId="168" formatCode="mm/dd/yy;@"/>
  </numFmts>
  <fonts count="59">
    <font>
      <sz val="11"/>
      <name val="Arial"/>
    </font>
    <font>
      <sz val="11"/>
      <name val="Arial"/>
      <family val="2"/>
    </font>
    <font>
      <sz val="18"/>
      <name val="Arial Black"/>
      <family val="2"/>
    </font>
    <font>
      <b/>
      <sz val="12"/>
      <name val="Arial Black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 val="singleAccounting"/>
      <sz val="10"/>
      <name val="Arial Narrow"/>
      <family val="2"/>
    </font>
    <font>
      <u val="singleAccounting"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sz val="16"/>
      <name val="Arial Black"/>
      <family val="2"/>
    </font>
    <font>
      <sz val="8"/>
      <name val="Arial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sz val="10"/>
      <name val="Arial Narrow"/>
      <family val="2"/>
    </font>
    <font>
      <sz val="10"/>
      <color indexed="10"/>
      <name val="Arial Narrow"/>
      <family val="2"/>
    </font>
    <font>
      <b/>
      <sz val="10"/>
      <color indexed="10"/>
      <name val="Arial Narrow"/>
      <family val="2"/>
    </font>
    <font>
      <i/>
      <sz val="9"/>
      <name val="Arial"/>
      <family val="2"/>
    </font>
    <font>
      <sz val="11"/>
      <name val="Arial"/>
      <family val="2"/>
    </font>
    <font>
      <i/>
      <sz val="10"/>
      <name val="Arial Narrow"/>
      <family val="2"/>
    </font>
    <font>
      <i/>
      <sz val="11"/>
      <name val="Arial"/>
      <family val="2"/>
    </font>
    <font>
      <b/>
      <sz val="9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u/>
      <sz val="11"/>
      <name val="Arial"/>
      <family val="2"/>
    </font>
    <font>
      <u/>
      <sz val="10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u/>
      <sz val="11"/>
      <name val="Arial Narrow"/>
      <family val="2"/>
    </font>
    <font>
      <sz val="10"/>
      <color rgb="FFFF0000"/>
      <name val="Arial Narrow"/>
      <family val="2"/>
    </font>
    <font>
      <sz val="10"/>
      <color rgb="FFC00000"/>
      <name val="Arial Narrow"/>
      <family val="2"/>
    </font>
    <font>
      <sz val="10"/>
      <color rgb="FF0070C0"/>
      <name val="Arial Narrow"/>
      <family val="2"/>
    </font>
    <font>
      <sz val="9"/>
      <name val="Arial"/>
      <family val="2"/>
    </font>
    <font>
      <sz val="11"/>
      <color rgb="FF0070C0"/>
      <name val="Arial Narrow"/>
      <family val="2"/>
    </font>
    <font>
      <sz val="11"/>
      <color rgb="FF0070C0"/>
      <name val="Arial"/>
      <family val="2"/>
    </font>
    <font>
      <i/>
      <sz val="11"/>
      <color rgb="FF0070C0"/>
      <name val="Arial"/>
      <family val="2"/>
    </font>
    <font>
      <b/>
      <sz val="10"/>
      <color rgb="FFFF0000"/>
      <name val="Arial Narrow"/>
      <family val="2"/>
    </font>
    <font>
      <i/>
      <sz val="10"/>
      <color rgb="FF0070C0"/>
      <name val="Arial Narrow"/>
      <family val="2"/>
    </font>
    <font>
      <sz val="11"/>
      <color rgb="FFFF0000"/>
      <name val="Arial"/>
      <family val="2"/>
    </font>
    <font>
      <b/>
      <sz val="9"/>
      <color rgb="FFFF0000"/>
      <name val="Arial"/>
      <family val="2"/>
    </font>
    <font>
      <sz val="11"/>
      <color rgb="FFC00000"/>
      <name val="Arial"/>
      <family val="2"/>
    </font>
    <font>
      <b/>
      <sz val="10"/>
      <color rgb="FFC00000"/>
      <name val="Arial Narrow"/>
      <family val="2"/>
    </font>
    <font>
      <sz val="10"/>
      <color rgb="FF0070C0"/>
      <name val="Arial"/>
      <family val="2"/>
    </font>
    <font>
      <i/>
      <sz val="10"/>
      <color rgb="FFC00000"/>
      <name val="Arial Narrow"/>
      <family val="2"/>
    </font>
    <font>
      <sz val="11"/>
      <color rgb="FFC00000"/>
      <name val="Arial Narrow"/>
      <family val="2"/>
    </font>
    <font>
      <sz val="9"/>
      <color rgb="FFFF0000"/>
      <name val="Arial"/>
      <family val="2"/>
    </font>
    <font>
      <sz val="10"/>
      <color rgb="FFC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dotted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65">
    <xf numFmtId="0" fontId="0" fillId="0" borderId="0" xfId="0"/>
    <xf numFmtId="38" fontId="4" fillId="0" borderId="1" xfId="1" applyNumberFormat="1" applyFont="1" applyFill="1" applyBorder="1" applyAlignment="1">
      <alignment vertical="center"/>
    </xf>
    <xf numFmtId="38" fontId="5" fillId="0" borderId="2" xfId="1" applyNumberFormat="1" applyFont="1" applyFill="1" applyBorder="1" applyAlignment="1" applyProtection="1">
      <alignment vertical="center"/>
    </xf>
    <xf numFmtId="38" fontId="4" fillId="0" borderId="3" xfId="1" applyNumberFormat="1" applyFont="1" applyFill="1" applyBorder="1" applyAlignment="1" applyProtection="1">
      <alignment vertical="center"/>
    </xf>
    <xf numFmtId="38" fontId="4" fillId="0" borderId="1" xfId="1" applyNumberFormat="1" applyFont="1" applyFill="1" applyBorder="1" applyAlignment="1" applyProtection="1">
      <alignment vertical="center"/>
    </xf>
    <xf numFmtId="38" fontId="4" fillId="0" borderId="4" xfId="1" applyNumberFormat="1" applyFont="1" applyFill="1" applyBorder="1" applyAlignment="1" applyProtection="1">
      <alignment vertical="center"/>
    </xf>
    <xf numFmtId="38" fontId="4" fillId="0" borderId="3" xfId="1" applyNumberFormat="1" applyFont="1" applyFill="1" applyBorder="1" applyAlignment="1">
      <alignment vertical="center"/>
    </xf>
    <xf numFmtId="38" fontId="4" fillId="0" borderId="0" xfId="1" applyNumberFormat="1" applyFont="1" applyFill="1" applyBorder="1" applyAlignment="1" applyProtection="1">
      <alignment vertical="center"/>
    </xf>
    <xf numFmtId="0" fontId="0" fillId="0" borderId="0" xfId="0" applyFill="1"/>
    <xf numFmtId="38" fontId="4" fillId="0" borderId="0" xfId="0" applyNumberFormat="1" applyFont="1" applyFill="1" applyBorder="1" applyAlignment="1">
      <alignment vertical="center"/>
    </xf>
    <xf numFmtId="38" fontId="6" fillId="0" borderId="1" xfId="1" applyNumberFormat="1" applyFont="1" applyFill="1" applyBorder="1" applyAlignment="1" applyProtection="1">
      <alignment vertical="center"/>
    </xf>
    <xf numFmtId="38" fontId="4" fillId="0" borderId="4" xfId="1" applyNumberFormat="1" applyFont="1" applyFill="1" applyBorder="1" applyAlignment="1">
      <alignment vertical="center"/>
    </xf>
    <xf numFmtId="38" fontId="4" fillId="0" borderId="1" xfId="1" quotePrefix="1" applyNumberFormat="1" applyFont="1" applyFill="1" applyBorder="1" applyAlignment="1" applyProtection="1">
      <alignment vertical="center"/>
    </xf>
    <xf numFmtId="38" fontId="4" fillId="0" borderId="4" xfId="1" quotePrefix="1" applyNumberFormat="1" applyFont="1" applyFill="1" applyBorder="1" applyAlignment="1" applyProtection="1">
      <alignment vertical="center"/>
    </xf>
    <xf numFmtId="38" fontId="4" fillId="0" borderId="0" xfId="1" applyNumberFormat="1" applyFont="1" applyFill="1" applyBorder="1" applyAlignment="1">
      <alignment vertical="center"/>
    </xf>
    <xf numFmtId="38" fontId="0" fillId="0" borderId="0" xfId="0" applyNumberFormat="1" applyFill="1" applyBorder="1" applyAlignment="1">
      <alignment vertical="center"/>
    </xf>
    <xf numFmtId="164" fontId="4" fillId="0" borderId="0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38" fontId="5" fillId="0" borderId="3" xfId="1" applyNumberFormat="1" applyFont="1" applyFill="1" applyBorder="1" applyAlignment="1">
      <alignment vertical="center"/>
    </xf>
    <xf numFmtId="38" fontId="5" fillId="0" borderId="0" xfId="1" applyNumberFormat="1" applyFont="1" applyFill="1" applyBorder="1" applyAlignment="1" applyProtection="1">
      <alignment vertical="center"/>
    </xf>
    <xf numFmtId="38" fontId="7" fillId="0" borderId="0" xfId="1" applyNumberFormat="1" applyFont="1" applyFill="1" applyBorder="1" applyAlignment="1">
      <alignment vertical="center"/>
    </xf>
    <xf numFmtId="38" fontId="7" fillId="0" borderId="0" xfId="1" applyNumberFormat="1" applyFont="1" applyFill="1" applyBorder="1" applyAlignment="1" applyProtection="1">
      <alignment vertical="center"/>
    </xf>
    <xf numFmtId="38" fontId="5" fillId="0" borderId="3" xfId="1" applyNumberFormat="1" applyFont="1" applyFill="1" applyBorder="1" applyAlignment="1" applyProtection="1"/>
    <xf numFmtId="38" fontId="4" fillId="0" borderId="3" xfId="1" applyNumberFormat="1" applyFont="1" applyFill="1" applyBorder="1" applyAlignment="1"/>
    <xf numFmtId="38" fontId="4" fillId="0" borderId="3" xfId="1" applyNumberFormat="1" applyFont="1" applyFill="1" applyBorder="1" applyAlignment="1" applyProtection="1"/>
    <xf numFmtId="38" fontId="4" fillId="2" borderId="0" xfId="1" applyNumberFormat="1" applyFont="1" applyFill="1" applyBorder="1" applyAlignment="1">
      <alignment vertical="center"/>
    </xf>
    <xf numFmtId="38" fontId="7" fillId="2" borderId="0" xfId="1" applyNumberFormat="1" applyFont="1" applyFill="1" applyBorder="1" applyAlignment="1" applyProtection="1">
      <alignment vertical="center"/>
    </xf>
    <xf numFmtId="38" fontId="4" fillId="2" borderId="0" xfId="0" applyNumberFormat="1" applyFont="1" applyFill="1" applyBorder="1" applyAlignment="1">
      <alignment vertical="center"/>
    </xf>
    <xf numFmtId="38" fontId="5" fillId="2" borderId="2" xfId="1" applyNumberFormat="1" applyFont="1" applyFill="1" applyBorder="1" applyAlignment="1" applyProtection="1">
      <alignment vertical="center"/>
    </xf>
    <xf numFmtId="38" fontId="4" fillId="2" borderId="3" xfId="1" applyNumberFormat="1" applyFont="1" applyFill="1" applyBorder="1" applyAlignment="1" applyProtection="1"/>
    <xf numFmtId="38" fontId="4" fillId="2" borderId="1" xfId="1" applyNumberFormat="1" applyFont="1" applyFill="1" applyBorder="1" applyAlignment="1" applyProtection="1">
      <alignment vertical="center"/>
    </xf>
    <xf numFmtId="38" fontId="4" fillId="2" borderId="4" xfId="1" applyNumberFormat="1" applyFont="1" applyFill="1" applyBorder="1" applyAlignment="1" applyProtection="1">
      <alignment vertical="center"/>
    </xf>
    <xf numFmtId="38" fontId="4" fillId="2" borderId="0" xfId="1" applyNumberFormat="1" applyFont="1" applyFill="1" applyBorder="1" applyAlignment="1" applyProtection="1">
      <alignment vertical="center"/>
    </xf>
    <xf numFmtId="38" fontId="4" fillId="2" borderId="3" xfId="1" applyNumberFormat="1" applyFont="1" applyFill="1" applyBorder="1" applyAlignment="1" applyProtection="1">
      <alignment vertical="center"/>
    </xf>
    <xf numFmtId="38" fontId="4" fillId="2" borderId="3" xfId="1" applyNumberFormat="1" applyFont="1" applyFill="1" applyBorder="1" applyAlignment="1">
      <alignment vertical="center"/>
    </xf>
    <xf numFmtId="38" fontId="4" fillId="2" borderId="1" xfId="1" applyNumberFormat="1" applyFont="1" applyFill="1" applyBorder="1" applyAlignment="1">
      <alignment vertical="center"/>
    </xf>
    <xf numFmtId="0" fontId="0" fillId="2" borderId="0" xfId="0" applyFill="1"/>
    <xf numFmtId="38" fontId="4" fillId="3" borderId="0" xfId="1" applyNumberFormat="1" applyFont="1" applyFill="1" applyBorder="1" applyAlignment="1">
      <alignment vertical="center"/>
    </xf>
    <xf numFmtId="38" fontId="4" fillId="3" borderId="0" xfId="0" applyNumberFormat="1" applyFont="1" applyFill="1" applyBorder="1" applyAlignment="1">
      <alignment vertical="center"/>
    </xf>
    <xf numFmtId="38" fontId="7" fillId="3" borderId="0" xfId="1" applyNumberFormat="1" applyFont="1" applyFill="1" applyBorder="1" applyAlignment="1" applyProtection="1">
      <alignment vertical="center"/>
    </xf>
    <xf numFmtId="0" fontId="0" fillId="4" borderId="0" xfId="0" applyFill="1"/>
    <xf numFmtId="38" fontId="5" fillId="4" borderId="6" xfId="1" quotePrefix="1" applyNumberFormat="1" applyFont="1" applyFill="1" applyBorder="1" applyAlignment="1">
      <alignment vertical="center"/>
    </xf>
    <xf numFmtId="38" fontId="5" fillId="4" borderId="6" xfId="1" quotePrefix="1" applyNumberFormat="1" applyFont="1" applyFill="1" applyBorder="1" applyAlignment="1" applyProtection="1">
      <alignment vertical="center"/>
    </xf>
    <xf numFmtId="38" fontId="4" fillId="4" borderId="6" xfId="1" applyNumberFormat="1" applyFont="1" applyFill="1" applyBorder="1" applyAlignment="1" applyProtection="1">
      <alignment vertical="center"/>
    </xf>
    <xf numFmtId="38" fontId="5" fillId="4" borderId="6" xfId="1" applyNumberFormat="1" applyFont="1" applyFill="1" applyBorder="1" applyAlignment="1">
      <alignment vertical="center"/>
    </xf>
    <xf numFmtId="16" fontId="5" fillId="0" borderId="0" xfId="1" applyNumberFormat="1" applyFont="1" applyFill="1" applyBorder="1" applyAlignment="1" applyProtection="1">
      <alignment horizontal="right" vertical="center"/>
    </xf>
    <xf numFmtId="165" fontId="5" fillId="0" borderId="0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horizontal="center" vertical="center"/>
    </xf>
    <xf numFmtId="0" fontId="10" fillId="0" borderId="0" xfId="0" applyFont="1"/>
    <xf numFmtId="0" fontId="3" fillId="0" borderId="0" xfId="0" applyFont="1" applyFill="1" applyBorder="1" applyAlignment="1">
      <alignment horizontal="left" vertical="center"/>
    </xf>
    <xf numFmtId="165" fontId="5" fillId="2" borderId="0" xfId="1" applyNumberFormat="1" applyFont="1" applyFill="1" applyBorder="1" applyAlignment="1">
      <alignment vertical="center"/>
    </xf>
    <xf numFmtId="38" fontId="4" fillId="2" borderId="4" xfId="1" applyNumberFormat="1" applyFont="1" applyFill="1" applyBorder="1" applyAlignment="1">
      <alignment vertical="center"/>
    </xf>
    <xf numFmtId="165" fontId="5" fillId="5" borderId="0" xfId="1" applyNumberFormat="1" applyFont="1" applyFill="1" applyBorder="1" applyAlignment="1">
      <alignment vertical="center"/>
    </xf>
    <xf numFmtId="165" fontId="5" fillId="3" borderId="0" xfId="1" applyNumberFormat="1" applyFont="1" applyFill="1" applyBorder="1" applyAlignment="1">
      <alignment vertical="center"/>
    </xf>
    <xf numFmtId="0" fontId="0" fillId="6" borderId="0" xfId="0" applyFill="1"/>
    <xf numFmtId="0" fontId="0" fillId="5" borderId="0" xfId="0" applyFill="1"/>
    <xf numFmtId="38" fontId="4" fillId="5" borderId="1" xfId="1" applyNumberFormat="1" applyFont="1" applyFill="1" applyBorder="1" applyAlignment="1" applyProtection="1">
      <alignment vertical="center"/>
    </xf>
    <xf numFmtId="38" fontId="4" fillId="5" borderId="4" xfId="1" applyNumberFormat="1" applyFont="1" applyFill="1" applyBorder="1" applyAlignment="1" applyProtection="1">
      <alignment vertical="center"/>
    </xf>
    <xf numFmtId="38" fontId="5" fillId="4" borderId="5" xfId="1" applyNumberFormat="1" applyFont="1" applyFill="1" applyBorder="1" applyAlignment="1" applyProtection="1">
      <alignment vertical="center"/>
    </xf>
    <xf numFmtId="38" fontId="13" fillId="5" borderId="0" xfId="0" applyNumberFormat="1" applyFont="1" applyFill="1"/>
    <xf numFmtId="38" fontId="13" fillId="5" borderId="0" xfId="0" applyNumberFormat="1" applyFont="1" applyFill="1" applyBorder="1" applyAlignment="1">
      <alignment vertical="center"/>
    </xf>
    <xf numFmtId="0" fontId="13" fillId="5" borderId="0" xfId="0" applyFont="1" applyFill="1"/>
    <xf numFmtId="38" fontId="5" fillId="4" borderId="5" xfId="1" quotePrefix="1" applyNumberFormat="1" applyFont="1" applyFill="1" applyBorder="1" applyAlignment="1" applyProtection="1">
      <alignment vertical="center"/>
    </xf>
    <xf numFmtId="38" fontId="5" fillId="4" borderId="7" xfId="1" quotePrefix="1" applyNumberFormat="1" applyFont="1" applyFill="1" applyBorder="1" applyAlignment="1">
      <alignment vertical="center"/>
    </xf>
    <xf numFmtId="38" fontId="5" fillId="4" borderId="7" xfId="1" applyNumberFormat="1" applyFont="1" applyFill="1" applyBorder="1" applyAlignment="1">
      <alignment vertical="center"/>
    </xf>
    <xf numFmtId="38" fontId="5" fillId="4" borderId="8" xfId="1" applyNumberFormat="1" applyFont="1" applyFill="1" applyBorder="1" applyAlignment="1" applyProtection="1">
      <alignment vertical="center"/>
    </xf>
    <xf numFmtId="0" fontId="14" fillId="6" borderId="9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165" fontId="5" fillId="6" borderId="10" xfId="1" applyNumberFormat="1" applyFont="1" applyFill="1" applyBorder="1" applyAlignment="1">
      <alignment vertical="center"/>
    </xf>
    <xf numFmtId="0" fontId="0" fillId="6" borderId="10" xfId="0" applyFill="1" applyBorder="1"/>
    <xf numFmtId="38" fontId="5" fillId="6" borderId="11" xfId="1" applyNumberFormat="1" applyFont="1" applyFill="1" applyBorder="1" applyAlignment="1" applyProtection="1">
      <alignment vertical="center"/>
    </xf>
    <xf numFmtId="38" fontId="4" fillId="6" borderId="12" xfId="1" applyNumberFormat="1" applyFont="1" applyFill="1" applyBorder="1" applyAlignment="1" applyProtection="1"/>
    <xf numFmtId="38" fontId="4" fillId="6" borderId="13" xfId="1" applyNumberFormat="1" applyFont="1" applyFill="1" applyBorder="1" applyAlignment="1" applyProtection="1">
      <alignment vertical="center"/>
    </xf>
    <xf numFmtId="38" fontId="4" fillId="6" borderId="13" xfId="1" applyNumberFormat="1" applyFont="1" applyFill="1" applyBorder="1" applyAlignment="1">
      <alignment vertical="center"/>
    </xf>
    <xf numFmtId="38" fontId="4" fillId="6" borderId="14" xfId="1" applyNumberFormat="1" applyFont="1" applyFill="1" applyBorder="1" applyAlignment="1" applyProtection="1">
      <alignment vertical="center"/>
    </xf>
    <xf numFmtId="38" fontId="4" fillId="6" borderId="12" xfId="1" applyNumberFormat="1" applyFont="1" applyFill="1" applyBorder="1" applyAlignment="1" applyProtection="1">
      <alignment vertical="center"/>
    </xf>
    <xf numFmtId="38" fontId="4" fillId="6" borderId="12" xfId="1" applyNumberFormat="1" applyFont="1" applyFill="1" applyBorder="1" applyAlignment="1">
      <alignment vertical="center"/>
    </xf>
    <xf numFmtId="38" fontId="4" fillId="6" borderId="10" xfId="1" applyNumberFormat="1" applyFont="1" applyFill="1" applyBorder="1" applyAlignment="1" applyProtection="1">
      <alignment vertical="center"/>
    </xf>
    <xf numFmtId="38" fontId="4" fillId="6" borderId="10" xfId="1" applyNumberFormat="1" applyFont="1" applyFill="1" applyBorder="1" applyAlignment="1">
      <alignment vertical="center"/>
    </xf>
    <xf numFmtId="38" fontId="7" fillId="6" borderId="10" xfId="1" applyNumberFormat="1" applyFont="1" applyFill="1" applyBorder="1" applyAlignment="1" applyProtection="1">
      <alignment vertical="center"/>
    </xf>
    <xf numFmtId="38" fontId="4" fillId="6" borderId="10" xfId="0" applyNumberFormat="1" applyFont="1" applyFill="1" applyBorder="1" applyAlignment="1">
      <alignment vertical="center"/>
    </xf>
    <xf numFmtId="0" fontId="0" fillId="7" borderId="0" xfId="0" applyFill="1"/>
    <xf numFmtId="165" fontId="5" fillId="7" borderId="0" xfId="1" applyNumberFormat="1" applyFont="1" applyFill="1" applyBorder="1" applyAlignment="1">
      <alignment vertical="center"/>
    </xf>
    <xf numFmtId="38" fontId="5" fillId="7" borderId="2" xfId="1" applyNumberFormat="1" applyFont="1" applyFill="1" applyBorder="1" applyAlignment="1" applyProtection="1">
      <alignment vertical="center"/>
    </xf>
    <xf numFmtId="38" fontId="4" fillId="7" borderId="3" xfId="1" applyNumberFormat="1" applyFont="1" applyFill="1" applyBorder="1" applyAlignment="1" applyProtection="1"/>
    <xf numFmtId="38" fontId="4" fillId="7" borderId="1" xfId="1" applyNumberFormat="1" applyFont="1" applyFill="1" applyBorder="1" applyAlignment="1" applyProtection="1">
      <alignment vertical="center"/>
    </xf>
    <xf numFmtId="38" fontId="4" fillId="7" borderId="1" xfId="1" applyNumberFormat="1" applyFont="1" applyFill="1" applyBorder="1" applyAlignment="1">
      <alignment vertical="center"/>
    </xf>
    <xf numFmtId="38" fontId="4" fillId="7" borderId="4" xfId="1" applyNumberFormat="1" applyFont="1" applyFill="1" applyBorder="1" applyAlignment="1" applyProtection="1">
      <alignment vertical="center"/>
    </xf>
    <xf numFmtId="38" fontId="4" fillId="7" borderId="3" xfId="1" applyNumberFormat="1" applyFont="1" applyFill="1" applyBorder="1" applyAlignment="1" applyProtection="1">
      <alignment vertical="center"/>
    </xf>
    <xf numFmtId="38" fontId="4" fillId="7" borderId="3" xfId="1" applyNumberFormat="1" applyFont="1" applyFill="1" applyBorder="1" applyAlignment="1">
      <alignment vertical="center"/>
    </xf>
    <xf numFmtId="38" fontId="4" fillId="7" borderId="0" xfId="1" applyNumberFormat="1" applyFont="1" applyFill="1" applyBorder="1" applyAlignment="1" applyProtection="1">
      <alignment vertical="center"/>
    </xf>
    <xf numFmtId="38" fontId="4" fillId="7" borderId="0" xfId="1" applyNumberFormat="1" applyFont="1" applyFill="1" applyBorder="1" applyAlignment="1">
      <alignment vertical="center"/>
    </xf>
    <xf numFmtId="38" fontId="7" fillId="7" borderId="0" xfId="1" applyNumberFormat="1" applyFont="1" applyFill="1" applyBorder="1" applyAlignment="1" applyProtection="1">
      <alignment vertical="center"/>
    </xf>
    <xf numFmtId="38" fontId="4" fillId="7" borderId="0" xfId="0" applyNumberFormat="1" applyFont="1" applyFill="1" applyBorder="1" applyAlignment="1">
      <alignment vertical="center"/>
    </xf>
    <xf numFmtId="38" fontId="13" fillId="5" borderId="0" xfId="1" applyNumberFormat="1" applyFont="1" applyFill="1" applyBorder="1" applyAlignment="1">
      <alignment vertical="center"/>
    </xf>
    <xf numFmtId="0" fontId="0" fillId="2" borderId="15" xfId="0" applyFill="1" applyBorder="1"/>
    <xf numFmtId="0" fontId="0" fillId="2" borderId="16" xfId="0" applyFill="1" applyBorder="1"/>
    <xf numFmtId="165" fontId="5" fillId="2" borderId="16" xfId="1" applyNumberFormat="1" applyFont="1" applyFill="1" applyBorder="1" applyAlignment="1">
      <alignment vertical="center"/>
    </xf>
    <xf numFmtId="38" fontId="5" fillId="2" borderId="17" xfId="1" applyNumberFormat="1" applyFont="1" applyFill="1" applyBorder="1" applyAlignment="1" applyProtection="1">
      <alignment vertical="center"/>
    </xf>
    <xf numFmtId="38" fontId="4" fillId="2" borderId="18" xfId="1" applyNumberFormat="1" applyFont="1" applyFill="1" applyBorder="1" applyAlignment="1" applyProtection="1"/>
    <xf numFmtId="38" fontId="4" fillId="2" borderId="19" xfId="1" applyNumberFormat="1" applyFont="1" applyFill="1" applyBorder="1" applyAlignment="1" applyProtection="1">
      <alignment vertical="center"/>
    </xf>
    <xf numFmtId="38" fontId="4" fillId="2" borderId="19" xfId="1" applyNumberFormat="1" applyFont="1" applyFill="1" applyBorder="1" applyAlignment="1">
      <alignment vertical="center"/>
    </xf>
    <xf numFmtId="38" fontId="4" fillId="2" borderId="20" xfId="1" applyNumberFormat="1" applyFont="1" applyFill="1" applyBorder="1" applyAlignment="1" applyProtection="1">
      <alignment vertical="center"/>
    </xf>
    <xf numFmtId="38" fontId="5" fillId="4" borderId="21" xfId="1" quotePrefix="1" applyNumberFormat="1" applyFont="1" applyFill="1" applyBorder="1" applyAlignment="1">
      <alignment vertical="center"/>
    </xf>
    <xf numFmtId="38" fontId="4" fillId="2" borderId="18" xfId="1" applyNumberFormat="1" applyFont="1" applyFill="1" applyBorder="1" applyAlignment="1" applyProtection="1">
      <alignment vertical="center"/>
    </xf>
    <xf numFmtId="38" fontId="5" fillId="4" borderId="21" xfId="1" applyNumberFormat="1" applyFont="1" applyFill="1" applyBorder="1" applyAlignment="1">
      <alignment vertical="center"/>
    </xf>
    <xf numFmtId="38" fontId="4" fillId="2" borderId="18" xfId="1" applyNumberFormat="1" applyFont="1" applyFill="1" applyBorder="1" applyAlignment="1">
      <alignment vertical="center"/>
    </xf>
    <xf numFmtId="38" fontId="4" fillId="0" borderId="19" xfId="1" applyNumberFormat="1" applyFont="1" applyFill="1" applyBorder="1" applyAlignment="1">
      <alignment vertical="center"/>
    </xf>
    <xf numFmtId="38" fontId="5" fillId="4" borderId="22" xfId="1" applyNumberFormat="1" applyFont="1" applyFill="1" applyBorder="1" applyAlignment="1" applyProtection="1">
      <alignment vertical="center"/>
    </xf>
    <xf numFmtId="38" fontId="4" fillId="0" borderId="16" xfId="1" applyNumberFormat="1" applyFont="1" applyFill="1" applyBorder="1" applyAlignment="1" applyProtection="1">
      <alignment vertical="center"/>
    </xf>
    <xf numFmtId="38" fontId="4" fillId="2" borderId="16" xfId="1" applyNumberFormat="1" applyFont="1" applyFill="1" applyBorder="1" applyAlignment="1">
      <alignment vertical="center"/>
    </xf>
    <xf numFmtId="38" fontId="7" fillId="2" borderId="16" xfId="1" applyNumberFormat="1" applyFont="1" applyFill="1" applyBorder="1" applyAlignment="1" applyProtection="1">
      <alignment vertical="center"/>
    </xf>
    <xf numFmtId="38" fontId="4" fillId="2" borderId="16" xfId="0" applyNumberFormat="1" applyFont="1" applyFill="1" applyBorder="1" applyAlignment="1">
      <alignment vertical="center"/>
    </xf>
    <xf numFmtId="38" fontId="5" fillId="2" borderId="23" xfId="1" applyNumberFormat="1" applyFont="1" applyFill="1" applyBorder="1" applyAlignment="1" applyProtection="1">
      <alignment vertical="center"/>
    </xf>
    <xf numFmtId="38" fontId="4" fillId="2" borderId="16" xfId="1" applyNumberFormat="1" applyFont="1" applyFill="1" applyBorder="1" applyAlignment="1" applyProtection="1">
      <alignment vertical="center"/>
    </xf>
    <xf numFmtId="0" fontId="15" fillId="6" borderId="9" xfId="0" applyFont="1" applyFill="1" applyBorder="1" applyAlignment="1">
      <alignment horizontal="center"/>
    </xf>
    <xf numFmtId="0" fontId="15" fillId="6" borderId="1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38" fontId="4" fillId="2" borderId="24" xfId="1" applyNumberFormat="1" applyFont="1" applyFill="1" applyBorder="1" applyAlignment="1">
      <alignment vertical="center"/>
    </xf>
    <xf numFmtId="0" fontId="19" fillId="6" borderId="10" xfId="0" applyFont="1" applyFill="1" applyBorder="1" applyAlignment="1">
      <alignment horizontal="center" vertical="top"/>
    </xf>
    <xf numFmtId="38" fontId="4" fillId="6" borderId="25" xfId="1" applyNumberFormat="1" applyFont="1" applyFill="1" applyBorder="1" applyAlignment="1" applyProtection="1"/>
    <xf numFmtId="38" fontId="4" fillId="2" borderId="13" xfId="1" applyNumberFormat="1" applyFont="1" applyFill="1" applyBorder="1" applyAlignment="1" applyProtection="1">
      <alignment vertical="center"/>
    </xf>
    <xf numFmtId="38" fontId="0" fillId="0" borderId="0" xfId="0" applyNumberFormat="1" applyFill="1"/>
    <xf numFmtId="0" fontId="14" fillId="0" borderId="26" xfId="0" applyFont="1" applyFill="1" applyBorder="1" applyAlignment="1">
      <alignment horizontal="center"/>
    </xf>
    <xf numFmtId="0" fontId="14" fillId="0" borderId="27" xfId="0" applyFont="1" applyFill="1" applyBorder="1" applyAlignment="1">
      <alignment horizontal="center"/>
    </xf>
    <xf numFmtId="0" fontId="0" fillId="0" borderId="27" xfId="0" applyFill="1" applyBorder="1"/>
    <xf numFmtId="38" fontId="5" fillId="0" borderId="28" xfId="1" applyNumberFormat="1" applyFont="1" applyFill="1" applyBorder="1" applyAlignment="1" applyProtection="1">
      <alignment vertical="center"/>
    </xf>
    <xf numFmtId="38" fontId="4" fillId="0" borderId="29" xfId="1" applyNumberFormat="1" applyFont="1" applyFill="1" applyBorder="1" applyAlignment="1" applyProtection="1"/>
    <xf numFmtId="38" fontId="4" fillId="0" borderId="30" xfId="1" applyNumberFormat="1" applyFont="1" applyFill="1" applyBorder="1" applyAlignment="1" applyProtection="1">
      <alignment vertical="center"/>
    </xf>
    <xf numFmtId="38" fontId="4" fillId="0" borderId="30" xfId="1" applyNumberFormat="1" applyFont="1" applyFill="1" applyBorder="1" applyAlignment="1">
      <alignment vertical="center"/>
    </xf>
    <xf numFmtId="38" fontId="4" fillId="0" borderId="31" xfId="1" applyNumberFormat="1" applyFont="1" applyFill="1" applyBorder="1" applyAlignment="1" applyProtection="1">
      <alignment vertical="center"/>
    </xf>
    <xf numFmtId="38" fontId="4" fillId="0" borderId="29" xfId="1" applyNumberFormat="1" applyFont="1" applyFill="1" applyBorder="1" applyAlignment="1" applyProtection="1">
      <alignment vertical="center"/>
    </xf>
    <xf numFmtId="38" fontId="4" fillId="0" borderId="29" xfId="1" applyNumberFormat="1" applyFont="1" applyFill="1" applyBorder="1" applyAlignment="1">
      <alignment vertical="center"/>
    </xf>
    <xf numFmtId="38" fontId="4" fillId="0" borderId="27" xfId="1" applyNumberFormat="1" applyFont="1" applyFill="1" applyBorder="1" applyAlignment="1" applyProtection="1">
      <alignment vertical="center"/>
    </xf>
    <xf numFmtId="38" fontId="4" fillId="0" borderId="27" xfId="1" applyNumberFormat="1" applyFont="1" applyFill="1" applyBorder="1" applyAlignment="1">
      <alignment vertical="center"/>
    </xf>
    <xf numFmtId="38" fontId="7" fillId="0" borderId="27" xfId="1" applyNumberFormat="1" applyFont="1" applyFill="1" applyBorder="1" applyAlignment="1" applyProtection="1">
      <alignment vertical="center"/>
    </xf>
    <xf numFmtId="38" fontId="4" fillId="0" borderId="27" xfId="0" applyNumberFormat="1" applyFont="1" applyFill="1" applyBorder="1" applyAlignment="1">
      <alignment vertical="center"/>
    </xf>
    <xf numFmtId="0" fontId="0" fillId="0" borderId="32" xfId="0" applyFill="1" applyBorder="1"/>
    <xf numFmtId="0" fontId="0" fillId="0" borderId="0" xfId="0" applyFill="1" applyBorder="1"/>
    <xf numFmtId="38" fontId="4" fillId="2" borderId="30" xfId="1" applyNumberFormat="1" applyFont="1" applyFill="1" applyBorder="1" applyAlignment="1" applyProtection="1">
      <alignment vertical="center"/>
    </xf>
    <xf numFmtId="38" fontId="5" fillId="4" borderId="33" xfId="1" applyNumberFormat="1" applyFont="1" applyFill="1" applyBorder="1" applyAlignment="1">
      <alignment vertical="center"/>
    </xf>
    <xf numFmtId="38" fontId="5" fillId="4" borderId="34" xfId="1" applyNumberFormat="1" applyFont="1" applyFill="1" applyBorder="1" applyAlignment="1" applyProtection="1">
      <alignment vertical="center"/>
    </xf>
    <xf numFmtId="38" fontId="5" fillId="4" borderId="33" xfId="1" quotePrefix="1" applyNumberFormat="1" applyFont="1" applyFill="1" applyBorder="1" applyAlignment="1">
      <alignment vertical="center"/>
    </xf>
    <xf numFmtId="38" fontId="4" fillId="6" borderId="31" xfId="1" applyNumberFormat="1" applyFont="1" applyFill="1" applyBorder="1" applyAlignment="1" applyProtection="1">
      <alignment vertical="center"/>
    </xf>
    <xf numFmtId="0" fontId="0" fillId="0" borderId="0" xfId="0" applyFill="1" applyAlignment="1">
      <alignment horizontal="center"/>
    </xf>
    <xf numFmtId="0" fontId="10" fillId="0" borderId="0" xfId="0" applyFont="1" applyFill="1"/>
    <xf numFmtId="14" fontId="0" fillId="0" borderId="0" xfId="0" applyNumberFormat="1" applyFill="1"/>
    <xf numFmtId="0" fontId="13" fillId="0" borderId="0" xfId="0" applyFont="1" applyFill="1"/>
    <xf numFmtId="0" fontId="14" fillId="0" borderId="3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3" borderId="0" xfId="0" applyFill="1"/>
    <xf numFmtId="38" fontId="5" fillId="3" borderId="2" xfId="1" applyNumberFormat="1" applyFont="1" applyFill="1" applyBorder="1" applyAlignment="1" applyProtection="1">
      <alignment vertical="center"/>
    </xf>
    <xf numFmtId="38" fontId="4" fillId="3" borderId="3" xfId="1" applyNumberFormat="1" applyFont="1" applyFill="1" applyBorder="1" applyAlignment="1" applyProtection="1"/>
    <xf numFmtId="38" fontId="4" fillId="3" borderId="1" xfId="1" applyNumberFormat="1" applyFont="1" applyFill="1" applyBorder="1" applyAlignment="1" applyProtection="1">
      <alignment vertical="center"/>
    </xf>
    <xf numFmtId="38" fontId="4" fillId="3" borderId="1" xfId="1" applyNumberFormat="1" applyFont="1" applyFill="1" applyBorder="1" applyAlignment="1">
      <alignment vertical="center"/>
    </xf>
    <xf numFmtId="38" fontId="4" fillId="3" borderId="4" xfId="1" applyNumberFormat="1" applyFont="1" applyFill="1" applyBorder="1" applyAlignment="1" applyProtection="1">
      <alignment vertical="center"/>
    </xf>
    <xf numFmtId="38" fontId="4" fillId="3" borderId="3" xfId="1" applyNumberFormat="1" applyFont="1" applyFill="1" applyBorder="1" applyAlignment="1" applyProtection="1">
      <alignment vertical="center"/>
    </xf>
    <xf numFmtId="38" fontId="4" fillId="3" borderId="3" xfId="1" applyNumberFormat="1" applyFont="1" applyFill="1" applyBorder="1" applyAlignment="1">
      <alignment vertical="center"/>
    </xf>
    <xf numFmtId="38" fontId="4" fillId="3" borderId="0" xfId="1" applyNumberFormat="1" applyFont="1" applyFill="1" applyBorder="1" applyAlignment="1" applyProtection="1">
      <alignment vertical="center"/>
    </xf>
    <xf numFmtId="0" fontId="4" fillId="0" borderId="0" xfId="0" applyFont="1" applyFill="1"/>
    <xf numFmtId="165" fontId="5" fillId="8" borderId="0" xfId="1" applyNumberFormat="1" applyFont="1" applyFill="1" applyBorder="1" applyAlignment="1">
      <alignment vertical="center"/>
    </xf>
    <xf numFmtId="0" fontId="0" fillId="8" borderId="0" xfId="0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20" fillId="7" borderId="0" xfId="0" applyFont="1" applyFill="1" applyAlignment="1">
      <alignment horizontal="left"/>
    </xf>
    <xf numFmtId="16" fontId="16" fillId="0" borderId="0" xfId="1" applyNumberFormat="1" applyFont="1" applyFill="1" applyBorder="1" applyAlignment="1" applyProtection="1">
      <alignment horizontal="center" vertical="center"/>
    </xf>
    <xf numFmtId="164" fontId="21" fillId="0" borderId="0" xfId="1" applyNumberFormat="1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2" fillId="5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38" fontId="4" fillId="2" borderId="1" xfId="1" quotePrefix="1" applyNumberFormat="1" applyFont="1" applyFill="1" applyBorder="1" applyAlignment="1" applyProtection="1">
      <alignment vertical="center"/>
    </xf>
    <xf numFmtId="0" fontId="22" fillId="0" borderId="0" xfId="0" applyFont="1" applyAlignment="1">
      <alignment horizontal="center"/>
    </xf>
    <xf numFmtId="0" fontId="22" fillId="7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2" fillId="6" borderId="10" xfId="0" applyFont="1" applyFill="1" applyBorder="1" applyAlignment="1">
      <alignment horizontal="center"/>
    </xf>
    <xf numFmtId="0" fontId="22" fillId="2" borderId="16" xfId="0" applyFont="1" applyFill="1" applyBorder="1" applyAlignment="1">
      <alignment horizontal="center"/>
    </xf>
    <xf numFmtId="14" fontId="22" fillId="0" borderId="0" xfId="0" applyNumberFormat="1" applyFont="1" applyAlignment="1">
      <alignment horizontal="center"/>
    </xf>
    <xf numFmtId="165" fontId="5" fillId="5" borderId="10" xfId="1" applyNumberFormat="1" applyFont="1" applyFill="1" applyBorder="1" applyAlignment="1">
      <alignment vertical="center"/>
    </xf>
    <xf numFmtId="0" fontId="22" fillId="5" borderId="10" xfId="0" applyFont="1" applyFill="1" applyBorder="1" applyAlignment="1">
      <alignment horizontal="center"/>
    </xf>
    <xf numFmtId="166" fontId="0" fillId="7" borderId="24" xfId="0" applyNumberFormat="1" applyFill="1" applyBorder="1"/>
    <xf numFmtId="165" fontId="5" fillId="5" borderId="16" xfId="1" applyNumberFormat="1" applyFont="1" applyFill="1" applyBorder="1" applyAlignment="1">
      <alignment vertical="center"/>
    </xf>
    <xf numFmtId="0" fontId="22" fillId="5" borderId="16" xfId="0" applyFont="1" applyFill="1" applyBorder="1" applyAlignment="1">
      <alignment horizontal="center"/>
    </xf>
    <xf numFmtId="38" fontId="4" fillId="0" borderId="19" xfId="1" applyNumberFormat="1" applyFont="1" applyFill="1" applyBorder="1" applyAlignment="1" applyProtection="1">
      <alignment vertical="center"/>
    </xf>
    <xf numFmtId="0" fontId="0" fillId="0" borderId="16" xfId="0" applyFill="1" applyBorder="1"/>
    <xf numFmtId="165" fontId="5" fillId="5" borderId="27" xfId="1" applyNumberFormat="1" applyFont="1" applyFill="1" applyBorder="1" applyAlignment="1">
      <alignment vertical="center"/>
    </xf>
    <xf numFmtId="0" fontId="22" fillId="5" borderId="27" xfId="0" applyFont="1" applyFill="1" applyBorder="1" applyAlignment="1">
      <alignment horizontal="center"/>
    </xf>
    <xf numFmtId="38" fontId="4" fillId="0" borderId="13" xfId="1" applyNumberFormat="1" applyFont="1" applyFill="1" applyBorder="1" applyAlignment="1" applyProtection="1">
      <alignment vertical="center"/>
    </xf>
    <xf numFmtId="38" fontId="5" fillId="0" borderId="24" xfId="1" applyNumberFormat="1" applyFont="1" applyFill="1" applyBorder="1" applyAlignment="1" applyProtection="1">
      <alignment vertical="center"/>
    </xf>
    <xf numFmtId="38" fontId="4" fillId="0" borderId="12" xfId="1" applyNumberFormat="1" applyFont="1" applyFill="1" applyBorder="1" applyAlignment="1" applyProtection="1">
      <alignment vertical="center"/>
    </xf>
    <xf numFmtId="38" fontId="4" fillId="0" borderId="36" xfId="1" applyNumberFormat="1" applyFont="1" applyFill="1" applyBorder="1" applyAlignment="1" applyProtection="1"/>
    <xf numFmtId="38" fontId="18" fillId="8" borderId="24" xfId="1" applyNumberFormat="1" applyFont="1" applyFill="1" applyBorder="1" applyAlignment="1" applyProtection="1">
      <alignment vertical="center"/>
    </xf>
    <xf numFmtId="38" fontId="5" fillId="2" borderId="24" xfId="1" applyNumberFormat="1" applyFont="1" applyFill="1" applyBorder="1" applyAlignment="1">
      <alignment vertical="center"/>
    </xf>
    <xf numFmtId="38" fontId="4" fillId="2" borderId="13" xfId="1" applyNumberFormat="1" applyFont="1" applyFill="1" applyBorder="1" applyAlignment="1">
      <alignment vertical="center"/>
    </xf>
    <xf numFmtId="38" fontId="4" fillId="2" borderId="30" xfId="1" applyNumberFormat="1" applyFont="1" applyFill="1" applyBorder="1" applyAlignment="1">
      <alignment vertical="center"/>
    </xf>
    <xf numFmtId="38" fontId="4" fillId="2" borderId="14" xfId="1" applyNumberFormat="1" applyFont="1" applyFill="1" applyBorder="1" applyAlignment="1" applyProtection="1">
      <alignment vertical="center"/>
    </xf>
    <xf numFmtId="38" fontId="4" fillId="2" borderId="31" xfId="1" applyNumberFormat="1" applyFont="1" applyFill="1" applyBorder="1" applyAlignment="1" applyProtection="1">
      <alignment vertical="center"/>
    </xf>
    <xf numFmtId="0" fontId="0" fillId="0" borderId="36" xfId="0" applyFill="1" applyBorder="1"/>
    <xf numFmtId="0" fontId="0" fillId="0" borderId="1" xfId="0" applyFill="1" applyBorder="1"/>
    <xf numFmtId="0" fontId="0" fillId="2" borderId="1" xfId="0" applyFill="1" applyBorder="1"/>
    <xf numFmtId="38" fontId="4" fillId="2" borderId="37" xfId="1" applyNumberFormat="1" applyFont="1" applyFill="1" applyBorder="1" applyAlignment="1" applyProtection="1">
      <alignment vertical="center"/>
    </xf>
    <xf numFmtId="9" fontId="0" fillId="0" borderId="24" xfId="0" applyNumberFormat="1" applyFill="1" applyBorder="1"/>
    <xf numFmtId="38" fontId="4" fillId="9" borderId="1" xfId="1" applyNumberFormat="1" applyFont="1" applyFill="1" applyBorder="1" applyAlignment="1" applyProtection="1">
      <alignment vertical="center"/>
    </xf>
    <xf numFmtId="38" fontId="6" fillId="9" borderId="1" xfId="1" applyNumberFormat="1" applyFont="1" applyFill="1" applyBorder="1" applyAlignment="1" applyProtection="1">
      <alignment vertical="center"/>
    </xf>
    <xf numFmtId="38" fontId="17" fillId="9" borderId="1" xfId="1" applyNumberFormat="1" applyFont="1" applyFill="1" applyBorder="1" applyAlignment="1" applyProtection="1">
      <alignment vertical="center"/>
    </xf>
    <xf numFmtId="38" fontId="18" fillId="9" borderId="24" xfId="1" applyNumberFormat="1" applyFont="1" applyFill="1" applyBorder="1" applyAlignment="1" applyProtection="1">
      <alignment vertical="center"/>
    </xf>
    <xf numFmtId="38" fontId="18" fillId="9" borderId="38" xfId="1" applyNumberFormat="1" applyFont="1" applyFill="1" applyBorder="1" applyAlignment="1" applyProtection="1">
      <alignment vertical="center"/>
    </xf>
    <xf numFmtId="0" fontId="0" fillId="9" borderId="0" xfId="0" applyFill="1"/>
    <xf numFmtId="38" fontId="6" fillId="5" borderId="1" xfId="1" applyNumberFormat="1" applyFont="1" applyFill="1" applyBorder="1" applyAlignment="1" applyProtection="1">
      <alignment vertical="center"/>
    </xf>
    <xf numFmtId="38" fontId="4" fillId="9" borderId="1" xfId="1" quotePrefix="1" applyNumberFormat="1" applyFont="1" applyFill="1" applyBorder="1" applyAlignment="1" applyProtection="1">
      <alignment vertical="center"/>
    </xf>
    <xf numFmtId="0" fontId="0" fillId="0" borderId="39" xfId="0" applyFill="1" applyBorder="1"/>
    <xf numFmtId="0" fontId="0" fillId="0" borderId="10" xfId="0" applyFill="1" applyBorder="1"/>
    <xf numFmtId="0" fontId="22" fillId="8" borderId="0" xfId="0" applyFont="1" applyFill="1" applyBorder="1" applyAlignment="1">
      <alignment horizontal="center"/>
    </xf>
    <xf numFmtId="0" fontId="22" fillId="8" borderId="0" xfId="0" applyFont="1" applyFill="1" applyAlignment="1">
      <alignment horizontal="center"/>
    </xf>
    <xf numFmtId="38" fontId="4" fillId="9" borderId="13" xfId="1" applyNumberFormat="1" applyFont="1" applyFill="1" applyBorder="1" applyAlignment="1" applyProtection="1">
      <alignment vertical="center"/>
    </xf>
    <xf numFmtId="38" fontId="4" fillId="9" borderId="19" xfId="1" applyNumberFormat="1" applyFont="1" applyFill="1" applyBorder="1" applyAlignment="1" applyProtection="1">
      <alignment vertical="center"/>
    </xf>
    <xf numFmtId="38" fontId="4" fillId="9" borderId="30" xfId="1" applyNumberFormat="1" applyFont="1" applyFill="1" applyBorder="1" applyAlignment="1" applyProtection="1">
      <alignment vertical="center"/>
    </xf>
    <xf numFmtId="166" fontId="0" fillId="0" borderId="0" xfId="0" applyNumberFormat="1" applyFill="1" applyBorder="1"/>
    <xf numFmtId="165" fontId="5" fillId="5" borderId="9" xfId="1" applyNumberFormat="1" applyFont="1" applyFill="1" applyBorder="1" applyAlignment="1">
      <alignment vertical="center"/>
    </xf>
    <xf numFmtId="38" fontId="5" fillId="0" borderId="11" xfId="1" applyNumberFormat="1" applyFont="1" applyFill="1" applyBorder="1" applyAlignment="1" applyProtection="1">
      <alignment vertical="center"/>
    </xf>
    <xf numFmtId="38" fontId="4" fillId="0" borderId="25" xfId="1" applyNumberFormat="1" applyFont="1" applyFill="1" applyBorder="1" applyAlignment="1" applyProtection="1"/>
    <xf numFmtId="38" fontId="4" fillId="2" borderId="40" xfId="1" applyNumberFormat="1" applyFont="1" applyFill="1" applyBorder="1" applyAlignment="1" applyProtection="1">
      <alignment vertical="center"/>
    </xf>
    <xf numFmtId="0" fontId="0" fillId="0" borderId="41" xfId="0" applyFill="1" applyBorder="1"/>
    <xf numFmtId="38" fontId="4" fillId="5" borderId="13" xfId="1" applyNumberFormat="1" applyFont="1" applyFill="1" applyBorder="1" applyAlignment="1" applyProtection="1">
      <alignment vertical="center"/>
    </xf>
    <xf numFmtId="38" fontId="4" fillId="0" borderId="12" xfId="1" applyNumberFormat="1" applyFont="1" applyFill="1" applyBorder="1" applyAlignment="1">
      <alignment vertical="center"/>
    </xf>
    <xf numFmtId="38" fontId="4" fillId="0" borderId="13" xfId="1" applyNumberFormat="1" applyFont="1" applyFill="1" applyBorder="1" applyAlignment="1">
      <alignment vertical="center"/>
    </xf>
    <xf numFmtId="38" fontId="4" fillId="0" borderId="14" xfId="1" applyNumberFormat="1" applyFont="1" applyFill="1" applyBorder="1" applyAlignment="1" applyProtection="1">
      <alignment vertical="center"/>
    </xf>
    <xf numFmtId="38" fontId="4" fillId="0" borderId="10" xfId="1" applyNumberFormat="1" applyFont="1" applyFill="1" applyBorder="1" applyAlignment="1" applyProtection="1">
      <alignment vertical="center"/>
    </xf>
    <xf numFmtId="38" fontId="4" fillId="0" borderId="10" xfId="1" applyNumberFormat="1" applyFont="1" applyFill="1" applyBorder="1" applyAlignment="1">
      <alignment vertical="center"/>
    </xf>
    <xf numFmtId="38" fontId="7" fillId="0" borderId="10" xfId="1" applyNumberFormat="1" applyFont="1" applyFill="1" applyBorder="1" applyAlignment="1" applyProtection="1">
      <alignment vertical="center"/>
    </xf>
    <xf numFmtId="38" fontId="4" fillId="0" borderId="10" xfId="0" applyNumberFormat="1" applyFont="1" applyFill="1" applyBorder="1" applyAlignment="1">
      <alignment vertical="center"/>
    </xf>
    <xf numFmtId="38" fontId="13" fillId="5" borderId="10" xfId="0" applyNumberFormat="1" applyFont="1" applyFill="1" applyBorder="1"/>
    <xf numFmtId="38" fontId="4" fillId="0" borderId="12" xfId="1" applyNumberFormat="1" applyFont="1" applyFill="1" applyBorder="1" applyAlignment="1" applyProtection="1"/>
    <xf numFmtId="38" fontId="5" fillId="0" borderId="9" xfId="1" applyNumberFormat="1" applyFont="1" applyFill="1" applyBorder="1" applyAlignment="1" applyProtection="1">
      <alignment vertical="center"/>
    </xf>
    <xf numFmtId="38" fontId="4" fillId="2" borderId="25" xfId="1" applyNumberFormat="1" applyFont="1" applyFill="1" applyBorder="1" applyAlignment="1" applyProtection="1"/>
    <xf numFmtId="0" fontId="0" fillId="0" borderId="42" xfId="0" applyFill="1" applyBorder="1"/>
    <xf numFmtId="38" fontId="4" fillId="3" borderId="13" xfId="1" applyNumberFormat="1" applyFont="1" applyFill="1" applyBorder="1" applyAlignment="1" applyProtection="1">
      <alignment vertical="center"/>
    </xf>
    <xf numFmtId="38" fontId="4" fillId="2" borderId="12" xfId="1" applyNumberFormat="1" applyFont="1" applyFill="1" applyBorder="1" applyAlignment="1" applyProtection="1"/>
    <xf numFmtId="0" fontId="0" fillId="2" borderId="10" xfId="0" applyFill="1" applyBorder="1"/>
    <xf numFmtId="38" fontId="4" fillId="2" borderId="12" xfId="1" applyNumberFormat="1" applyFont="1" applyFill="1" applyBorder="1" applyAlignment="1" applyProtection="1">
      <alignment vertical="center"/>
    </xf>
    <xf numFmtId="38" fontId="4" fillId="2" borderId="12" xfId="1" applyNumberFormat="1" applyFont="1" applyFill="1" applyBorder="1" applyAlignment="1">
      <alignment vertical="center"/>
    </xf>
    <xf numFmtId="38" fontId="4" fillId="2" borderId="10" xfId="1" applyNumberFormat="1" applyFont="1" applyFill="1" applyBorder="1" applyAlignment="1">
      <alignment vertical="center"/>
    </xf>
    <xf numFmtId="38" fontId="7" fillId="2" borderId="10" xfId="1" applyNumberFormat="1" applyFont="1" applyFill="1" applyBorder="1" applyAlignment="1" applyProtection="1">
      <alignment vertical="center"/>
    </xf>
    <xf numFmtId="38" fontId="4" fillId="2" borderId="10" xfId="0" applyNumberFormat="1" applyFont="1" applyFill="1" applyBorder="1" applyAlignment="1">
      <alignment vertical="center"/>
    </xf>
    <xf numFmtId="0" fontId="0" fillId="2" borderId="42" xfId="0" applyFill="1" applyBorder="1"/>
    <xf numFmtId="0" fontId="0" fillId="0" borderId="15" xfId="0" applyFill="1" applyBorder="1"/>
    <xf numFmtId="38" fontId="13" fillId="5" borderId="0" xfId="0" applyNumberFormat="1" applyFont="1" applyFill="1" applyBorder="1"/>
    <xf numFmtId="38" fontId="5" fillId="2" borderId="43" xfId="1" applyNumberFormat="1" applyFont="1" applyFill="1" applyBorder="1" applyAlignment="1" applyProtection="1">
      <alignment vertical="center"/>
    </xf>
    <xf numFmtId="38" fontId="4" fillId="2" borderId="10" xfId="1" applyNumberFormat="1" applyFont="1" applyFill="1" applyBorder="1" applyAlignment="1" applyProtection="1">
      <alignment vertical="center"/>
    </xf>
    <xf numFmtId="38" fontId="18" fillId="8" borderId="38" xfId="1" applyNumberFormat="1" applyFont="1" applyFill="1" applyBorder="1" applyAlignment="1" applyProtection="1">
      <alignment vertical="center"/>
    </xf>
    <xf numFmtId="38" fontId="4" fillId="3" borderId="12" xfId="1" applyNumberFormat="1" applyFont="1" applyFill="1" applyBorder="1" applyAlignment="1" applyProtection="1">
      <alignment vertical="center"/>
    </xf>
    <xf numFmtId="0" fontId="0" fillId="0" borderId="0" xfId="0" quotePrefix="1" applyFill="1"/>
    <xf numFmtId="9" fontId="14" fillId="0" borderId="24" xfId="0" applyNumberFormat="1" applyFont="1" applyFill="1" applyBorder="1"/>
    <xf numFmtId="38" fontId="4" fillId="5" borderId="14" xfId="1" applyNumberFormat="1" applyFont="1" applyFill="1" applyBorder="1" applyAlignment="1" applyProtection="1">
      <alignment vertical="center"/>
    </xf>
    <xf numFmtId="0" fontId="0" fillId="0" borderId="10" xfId="0" applyBorder="1"/>
    <xf numFmtId="0" fontId="0" fillId="0" borderId="42" xfId="0" applyBorder="1"/>
    <xf numFmtId="167" fontId="0" fillId="0" borderId="0" xfId="0" applyNumberFormat="1" applyFill="1"/>
    <xf numFmtId="0" fontId="0" fillId="0" borderId="23" xfId="0" quotePrefix="1" applyFill="1" applyBorder="1" applyAlignment="1">
      <alignment horizontal="center"/>
    </xf>
    <xf numFmtId="167" fontId="0" fillId="0" borderId="0" xfId="0" applyNumberFormat="1" applyFill="1" applyBorder="1"/>
    <xf numFmtId="167" fontId="0" fillId="0" borderId="44" xfId="0" applyNumberFormat="1" applyFill="1" applyBorder="1"/>
    <xf numFmtId="0" fontId="0" fillId="0" borderId="23" xfId="0" applyFill="1" applyBorder="1" applyAlignment="1">
      <alignment horizontal="center"/>
    </xf>
    <xf numFmtId="167" fontId="0" fillId="0" borderId="23" xfId="0" applyNumberFormat="1" applyFill="1" applyBorder="1"/>
    <xf numFmtId="0" fontId="0" fillId="3" borderId="23" xfId="0" quotePrefix="1" applyFill="1" applyBorder="1" applyAlignment="1">
      <alignment horizontal="center"/>
    </xf>
    <xf numFmtId="10" fontId="0" fillId="3" borderId="23" xfId="0" applyNumberFormat="1" applyFill="1" applyBorder="1"/>
    <xf numFmtId="0" fontId="23" fillId="4" borderId="4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167" fontId="0" fillId="2" borderId="9" xfId="0" applyNumberFormat="1" applyFill="1" applyBorder="1"/>
    <xf numFmtId="0" fontId="25" fillId="0" borderId="0" xfId="0" applyFont="1" applyFill="1" applyAlignment="1">
      <alignment horizontal="center"/>
    </xf>
    <xf numFmtId="0" fontId="0" fillId="2" borderId="23" xfId="0" applyFill="1" applyBorder="1"/>
    <xf numFmtId="0" fontId="27" fillId="0" borderId="0" xfId="0" applyFont="1"/>
    <xf numFmtId="0" fontId="0" fillId="4" borderId="0" xfId="0" applyFill="1" applyBorder="1" applyAlignment="1">
      <alignment horizontal="center"/>
    </xf>
    <xf numFmtId="0" fontId="14" fillId="0" borderId="0" xfId="0" applyFont="1" applyAlignment="1">
      <alignment horizontal="center"/>
    </xf>
    <xf numFmtId="38" fontId="5" fillId="6" borderId="7" xfId="1" quotePrefix="1" applyNumberFormat="1" applyFont="1" applyFill="1" applyBorder="1" applyAlignment="1">
      <alignment vertical="center"/>
    </xf>
    <xf numFmtId="38" fontId="5" fillId="6" borderId="7" xfId="1" applyNumberFormat="1" applyFont="1" applyFill="1" applyBorder="1" applyAlignment="1">
      <alignment vertical="center"/>
    </xf>
    <xf numFmtId="38" fontId="5" fillId="6" borderId="8" xfId="1" applyNumberFormat="1" applyFont="1" applyFill="1" applyBorder="1" applyAlignment="1" applyProtection="1">
      <alignment vertical="center"/>
    </xf>
    <xf numFmtId="38" fontId="13" fillId="6" borderId="10" xfId="0" applyNumberFormat="1" applyFont="1" applyFill="1" applyBorder="1"/>
    <xf numFmtId="0" fontId="0" fillId="6" borderId="42" xfId="0" applyFill="1" applyBorder="1"/>
    <xf numFmtId="0" fontId="0" fillId="6" borderId="42" xfId="0" applyFill="1" applyBorder="1" applyAlignment="1">
      <alignment horizontal="center"/>
    </xf>
    <xf numFmtId="0" fontId="26" fillId="6" borderId="10" xfId="0" applyFont="1" applyFill="1" applyBorder="1" applyAlignment="1">
      <alignment horizontal="center"/>
    </xf>
    <xf numFmtId="0" fontId="26" fillId="6" borderId="42" xfId="0" applyFont="1" applyFill="1" applyBorder="1" applyAlignment="1">
      <alignment horizontal="center"/>
    </xf>
    <xf numFmtId="0" fontId="15" fillId="0" borderId="0" xfId="0" applyFont="1"/>
    <xf numFmtId="0" fontId="28" fillId="0" borderId="0" xfId="0" applyFont="1"/>
    <xf numFmtId="0" fontId="29" fillId="0" borderId="0" xfId="0" applyFont="1"/>
    <xf numFmtId="0" fontId="31" fillId="0" borderId="0" xfId="0" applyFont="1"/>
    <xf numFmtId="0" fontId="20" fillId="0" borderId="0" xfId="0" applyFont="1"/>
    <xf numFmtId="5" fontId="20" fillId="0" borderId="0" xfId="0" applyNumberFormat="1" applyFont="1"/>
    <xf numFmtId="0" fontId="32" fillId="0" borderId="0" xfId="0" applyFont="1" applyAlignment="1">
      <alignment horizontal="center"/>
    </xf>
    <xf numFmtId="5" fontId="32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14" fontId="20" fillId="0" borderId="0" xfId="0" applyNumberFormat="1" applyFont="1" applyAlignment="1">
      <alignment horizontal="right"/>
    </xf>
    <xf numFmtId="5" fontId="20" fillId="0" borderId="0" xfId="0" applyNumberFormat="1" applyFont="1" applyBorder="1"/>
    <xf numFmtId="5" fontId="20" fillId="0" borderId="6" xfId="0" applyNumberFormat="1" applyFont="1" applyBorder="1"/>
    <xf numFmtId="14" fontId="20" fillId="0" borderId="0" xfId="0" applyNumberFormat="1" applyFont="1"/>
    <xf numFmtId="5" fontId="20" fillId="0" borderId="0" xfId="0" applyNumberFormat="1" applyFont="1" applyBorder="1" applyAlignment="1">
      <alignment horizontal="right"/>
    </xf>
    <xf numFmtId="0" fontId="31" fillId="0" borderId="0" xfId="0" applyFont="1" applyBorder="1"/>
    <xf numFmtId="9" fontId="12" fillId="0" borderId="0" xfId="0" applyNumberFormat="1" applyFont="1"/>
    <xf numFmtId="0" fontId="12" fillId="0" borderId="0" xfId="0" applyFont="1"/>
    <xf numFmtId="0" fontId="32" fillId="0" borderId="0" xfId="0" applyFont="1" applyAlignment="1">
      <alignment horizontal="left"/>
    </xf>
    <xf numFmtId="5" fontId="20" fillId="2" borderId="51" xfId="0" applyNumberFormat="1" applyFont="1" applyFill="1" applyBorder="1"/>
    <xf numFmtId="5" fontId="20" fillId="2" borderId="32" xfId="0" applyNumberFormat="1" applyFont="1" applyFill="1" applyBorder="1"/>
    <xf numFmtId="5" fontId="20" fillId="2" borderId="48" xfId="0" applyNumberFormat="1" applyFont="1" applyFill="1" applyBorder="1"/>
    <xf numFmtId="5" fontId="20" fillId="2" borderId="46" xfId="0" applyNumberFormat="1" applyFont="1" applyFill="1" applyBorder="1"/>
    <xf numFmtId="5" fontId="20" fillId="2" borderId="0" xfId="0" applyNumberFormat="1" applyFont="1" applyFill="1" applyBorder="1"/>
    <xf numFmtId="5" fontId="20" fillId="2" borderId="49" xfId="0" applyNumberFormat="1" applyFont="1" applyFill="1" applyBorder="1"/>
    <xf numFmtId="5" fontId="20" fillId="2" borderId="47" xfId="0" applyNumberFormat="1" applyFont="1" applyFill="1" applyBorder="1"/>
    <xf numFmtId="5" fontId="20" fillId="2" borderId="44" xfId="0" applyNumberFormat="1" applyFont="1" applyFill="1" applyBorder="1"/>
    <xf numFmtId="5" fontId="20" fillId="2" borderId="50" xfId="0" applyNumberFormat="1" applyFont="1" applyFill="1" applyBorder="1"/>
    <xf numFmtId="5" fontId="20" fillId="2" borderId="23" xfId="0" applyNumberFormat="1" applyFont="1" applyFill="1" applyBorder="1"/>
    <xf numFmtId="5" fontId="20" fillId="5" borderId="51" xfId="0" applyNumberFormat="1" applyFont="1" applyFill="1" applyBorder="1"/>
    <xf numFmtId="5" fontId="20" fillId="5" borderId="32" xfId="0" applyNumberFormat="1" applyFont="1" applyFill="1" applyBorder="1"/>
    <xf numFmtId="5" fontId="20" fillId="5" borderId="48" xfId="0" applyNumberFormat="1" applyFont="1" applyFill="1" applyBorder="1"/>
    <xf numFmtId="5" fontId="20" fillId="5" borderId="46" xfId="0" applyNumberFormat="1" applyFont="1" applyFill="1" applyBorder="1"/>
    <xf numFmtId="5" fontId="20" fillId="5" borderId="0" xfId="0" applyNumberFormat="1" applyFont="1" applyFill="1" applyBorder="1"/>
    <xf numFmtId="5" fontId="20" fillId="5" borderId="49" xfId="0" applyNumberFormat="1" applyFont="1" applyFill="1" applyBorder="1"/>
    <xf numFmtId="5" fontId="20" fillId="5" borderId="47" xfId="0" applyNumberFormat="1" applyFont="1" applyFill="1" applyBorder="1"/>
    <xf numFmtId="5" fontId="20" fillId="5" borderId="44" xfId="0" applyNumberFormat="1" applyFont="1" applyFill="1" applyBorder="1"/>
    <xf numFmtId="5" fontId="20" fillId="5" borderId="50" xfId="0" applyNumberFormat="1" applyFont="1" applyFill="1" applyBorder="1"/>
    <xf numFmtId="5" fontId="20" fillId="5" borderId="23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right"/>
    </xf>
    <xf numFmtId="5" fontId="20" fillId="0" borderId="0" xfId="0" applyNumberFormat="1" applyFont="1" applyFill="1"/>
    <xf numFmtId="5" fontId="20" fillId="0" borderId="0" xfId="0" applyNumberFormat="1" applyFont="1" applyFill="1" applyBorder="1"/>
    <xf numFmtId="0" fontId="12" fillId="0" borderId="0" xfId="0" applyFont="1" applyAlignment="1">
      <alignment horizontal="left"/>
    </xf>
    <xf numFmtId="5" fontId="20" fillId="0" borderId="48" xfId="0" applyNumberFormat="1" applyFont="1" applyBorder="1" applyAlignment="1">
      <alignment horizontal="right"/>
    </xf>
    <xf numFmtId="5" fontId="33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38" fontId="5" fillId="5" borderId="2" xfId="1" applyNumberFormat="1" applyFont="1" applyFill="1" applyBorder="1" applyAlignment="1" applyProtection="1">
      <alignment vertical="center"/>
    </xf>
    <xf numFmtId="38" fontId="4" fillId="0" borderId="52" xfId="1" applyNumberFormat="1" applyFont="1" applyFill="1" applyBorder="1" applyAlignment="1" applyProtection="1">
      <alignment vertical="center"/>
    </xf>
    <xf numFmtId="38" fontId="4" fillId="2" borderId="52" xfId="1" applyNumberFormat="1" applyFont="1" applyFill="1" applyBorder="1" applyAlignment="1" applyProtection="1">
      <alignment vertical="center"/>
    </xf>
    <xf numFmtId="38" fontId="4" fillId="2" borderId="53" xfId="1" applyNumberFormat="1" applyFont="1" applyFill="1" applyBorder="1" applyAlignment="1" applyProtection="1">
      <alignment vertical="center"/>
    </xf>
    <xf numFmtId="38" fontId="5" fillId="4" borderId="54" xfId="1" quotePrefix="1" applyNumberFormat="1" applyFont="1" applyFill="1" applyBorder="1" applyAlignment="1">
      <alignment vertical="center"/>
    </xf>
    <xf numFmtId="38" fontId="4" fillId="3" borderId="52" xfId="1" applyNumberFormat="1" applyFont="1" applyFill="1" applyBorder="1" applyAlignment="1" applyProtection="1">
      <alignment vertical="center"/>
    </xf>
    <xf numFmtId="38" fontId="4" fillId="9" borderId="52" xfId="1" applyNumberFormat="1" applyFont="1" applyFill="1" applyBorder="1" applyAlignment="1" applyProtection="1">
      <alignment vertical="center"/>
    </xf>
    <xf numFmtId="38" fontId="4" fillId="5" borderId="52" xfId="1" applyNumberFormat="1" applyFont="1" applyFill="1" applyBorder="1" applyAlignment="1" applyProtection="1">
      <alignment vertical="center"/>
    </xf>
    <xf numFmtId="38" fontId="5" fillId="4" borderId="54" xfId="1" applyNumberFormat="1" applyFont="1" applyFill="1" applyBorder="1" applyAlignment="1">
      <alignment vertical="center"/>
    </xf>
    <xf numFmtId="38" fontId="4" fillId="0" borderId="52" xfId="1" applyNumberFormat="1" applyFont="1" applyFill="1" applyBorder="1" applyAlignment="1">
      <alignment vertical="center"/>
    </xf>
    <xf numFmtId="38" fontId="4" fillId="0" borderId="0" xfId="1" applyNumberFormat="1" applyFont="1" applyFill="1" applyBorder="1" applyAlignment="1" applyProtection="1"/>
    <xf numFmtId="38" fontId="4" fillId="6" borderId="10" xfId="1" applyNumberFormat="1" applyFont="1" applyFill="1" applyBorder="1" applyAlignment="1" applyProtection="1"/>
    <xf numFmtId="38" fontId="6" fillId="7" borderId="1" xfId="1" applyNumberFormat="1" applyFont="1" applyFill="1" applyBorder="1" applyAlignment="1" applyProtection="1">
      <alignment vertical="center"/>
    </xf>
    <xf numFmtId="38" fontId="4" fillId="7" borderId="13" xfId="1" applyNumberFormat="1" applyFont="1" applyFill="1" applyBorder="1" applyAlignment="1" applyProtection="1">
      <alignment vertical="center"/>
    </xf>
    <xf numFmtId="38" fontId="4" fillId="3" borderId="10" xfId="1" applyNumberFormat="1" applyFont="1" applyFill="1" applyBorder="1" applyAlignment="1" applyProtection="1">
      <alignment vertical="center"/>
    </xf>
    <xf numFmtId="38" fontId="5" fillId="4" borderId="10" xfId="1" quotePrefix="1" applyNumberFormat="1" applyFont="1" applyFill="1" applyBorder="1" applyAlignment="1">
      <alignment vertical="center"/>
    </xf>
    <xf numFmtId="38" fontId="4" fillId="9" borderId="10" xfId="1" applyNumberFormat="1" applyFont="1" applyFill="1" applyBorder="1" applyAlignment="1" applyProtection="1">
      <alignment vertical="center"/>
    </xf>
    <xf numFmtId="38" fontId="4" fillId="5" borderId="10" xfId="1" applyNumberFormat="1" applyFont="1" applyFill="1" applyBorder="1" applyAlignment="1" applyProtection="1">
      <alignment vertical="center"/>
    </xf>
    <xf numFmtId="38" fontId="5" fillId="4" borderId="10" xfId="1" applyNumberFormat="1" applyFont="1" applyFill="1" applyBorder="1" applyAlignment="1">
      <alignment vertical="center"/>
    </xf>
    <xf numFmtId="38" fontId="5" fillId="4" borderId="10" xfId="1" applyNumberFormat="1" applyFont="1" applyFill="1" applyBorder="1" applyAlignment="1" applyProtection="1">
      <alignment vertical="center"/>
    </xf>
    <xf numFmtId="38" fontId="4" fillId="2" borderId="52" xfId="1" applyNumberFormat="1" applyFont="1" applyFill="1" applyBorder="1" applyAlignment="1">
      <alignment vertical="center"/>
    </xf>
    <xf numFmtId="38" fontId="4" fillId="5" borderId="53" xfId="1" applyNumberFormat="1" applyFont="1" applyFill="1" applyBorder="1" applyAlignment="1" applyProtection="1">
      <alignment vertical="center"/>
    </xf>
    <xf numFmtId="38" fontId="5" fillId="4" borderId="54" xfId="1" applyNumberFormat="1" applyFont="1" applyFill="1" applyBorder="1" applyAlignment="1" applyProtection="1">
      <alignment vertical="center"/>
    </xf>
    <xf numFmtId="38" fontId="4" fillId="0" borderId="9" xfId="1" applyNumberFormat="1" applyFont="1" applyFill="1" applyBorder="1" applyAlignment="1" applyProtection="1">
      <alignment vertical="center"/>
    </xf>
    <xf numFmtId="38" fontId="5" fillId="7" borderId="24" xfId="1" applyNumberFormat="1" applyFont="1" applyFill="1" applyBorder="1" applyAlignment="1" applyProtection="1">
      <alignment vertical="center"/>
    </xf>
    <xf numFmtId="0" fontId="23" fillId="2" borderId="42" xfId="0" applyFont="1" applyFill="1" applyBorder="1"/>
    <xf numFmtId="0" fontId="24" fillId="2" borderId="0" xfId="0" applyFont="1" applyFill="1" applyAlignment="1">
      <alignment horizontal="center"/>
    </xf>
    <xf numFmtId="0" fontId="23" fillId="0" borderId="42" xfId="0" applyFont="1" applyFill="1" applyBorder="1" applyAlignment="1">
      <alignment horizontal="center"/>
    </xf>
    <xf numFmtId="0" fontId="0" fillId="4" borderId="23" xfId="0" applyFill="1" applyBorder="1"/>
    <xf numFmtId="5" fontId="14" fillId="0" borderId="0" xfId="0" applyNumberFormat="1" applyFont="1" applyAlignment="1">
      <alignment horizontal="center"/>
    </xf>
    <xf numFmtId="38" fontId="0" fillId="2" borderId="0" xfId="0" applyNumberFormat="1" applyFill="1"/>
    <xf numFmtId="38" fontId="5" fillId="8" borderId="24" xfId="1" applyNumberFormat="1" applyFont="1" applyFill="1" applyBorder="1" applyAlignment="1" applyProtection="1">
      <alignment vertical="center"/>
    </xf>
    <xf numFmtId="38" fontId="5" fillId="8" borderId="38" xfId="1" applyNumberFormat="1" applyFont="1" applyFill="1" applyBorder="1" applyAlignment="1" applyProtection="1">
      <alignment vertical="center"/>
    </xf>
    <xf numFmtId="38" fontId="5" fillId="6" borderId="9" xfId="1" applyNumberFormat="1" applyFont="1" applyFill="1" applyBorder="1" applyAlignment="1" applyProtection="1">
      <alignment vertical="center"/>
    </xf>
    <xf numFmtId="0" fontId="26" fillId="4" borderId="0" xfId="0" applyFont="1" applyFill="1" applyBorder="1" applyAlignment="1">
      <alignment horizontal="center"/>
    </xf>
    <xf numFmtId="38" fontId="4" fillId="0" borderId="1" xfId="1" applyNumberFormat="1" applyFont="1" applyFill="1" applyBorder="1" applyAlignment="1" applyProtection="1">
      <alignment horizontal="right" vertical="center"/>
    </xf>
    <xf numFmtId="38" fontId="17" fillId="0" borderId="3" xfId="1" applyNumberFormat="1" applyFont="1" applyFill="1" applyBorder="1" applyAlignment="1">
      <alignment vertical="center"/>
    </xf>
    <xf numFmtId="38" fontId="4" fillId="7" borderId="52" xfId="1" applyNumberFormat="1" applyFont="1" applyFill="1" applyBorder="1" applyAlignment="1" applyProtection="1">
      <alignment vertical="center"/>
    </xf>
    <xf numFmtId="38" fontId="4" fillId="7" borderId="10" xfId="1" applyNumberFormat="1" applyFont="1" applyFill="1" applyBorder="1" applyAlignment="1" applyProtection="1">
      <alignment vertical="center"/>
    </xf>
    <xf numFmtId="38" fontId="4" fillId="3" borderId="4" xfId="1" applyNumberFormat="1" applyFont="1" applyFill="1" applyBorder="1" applyAlignment="1">
      <alignment vertical="center"/>
    </xf>
    <xf numFmtId="38" fontId="4" fillId="0" borderId="14" xfId="1" applyNumberFormat="1" applyFont="1" applyFill="1" applyBorder="1" applyAlignment="1">
      <alignment vertical="center"/>
    </xf>
    <xf numFmtId="38" fontId="4" fillId="0" borderId="53" xfId="1" applyNumberFormat="1" applyFont="1" applyFill="1" applyBorder="1" applyAlignment="1">
      <alignment vertical="center"/>
    </xf>
    <xf numFmtId="38" fontId="4" fillId="3" borderId="1" xfId="1" applyNumberFormat="1" applyFont="1" applyFill="1" applyBorder="1" applyAlignment="1" applyProtection="1">
      <alignment horizontal="right" vertical="center"/>
    </xf>
    <xf numFmtId="38" fontId="4" fillId="0" borderId="40" xfId="1" applyNumberFormat="1" applyFont="1" applyFill="1" applyBorder="1" applyAlignment="1" applyProtection="1">
      <alignment vertical="center"/>
    </xf>
    <xf numFmtId="0" fontId="1" fillId="7" borderId="1" xfId="0" applyFont="1" applyFill="1" applyBorder="1"/>
    <xf numFmtId="0" fontId="1" fillId="7" borderId="0" xfId="0" applyFont="1" applyFill="1"/>
    <xf numFmtId="38" fontId="17" fillId="2" borderId="1" xfId="1" applyNumberFormat="1" applyFont="1" applyFill="1" applyBorder="1" applyAlignment="1" applyProtection="1">
      <alignment vertical="center"/>
    </xf>
    <xf numFmtId="38" fontId="17" fillId="5" borderId="1" xfId="1" applyNumberFormat="1" applyFont="1" applyFill="1" applyBorder="1" applyAlignment="1" applyProtection="1">
      <alignment vertical="center"/>
    </xf>
    <xf numFmtId="38" fontId="41" fillId="2" borderId="1" xfId="1" applyNumberFormat="1" applyFont="1" applyFill="1" applyBorder="1" applyAlignment="1" applyProtection="1">
      <alignment vertical="center"/>
    </xf>
    <xf numFmtId="38" fontId="5" fillId="0" borderId="1" xfId="1" applyNumberFormat="1" applyFont="1" applyFill="1" applyBorder="1" applyAlignment="1" applyProtection="1">
      <alignment vertical="center"/>
    </xf>
    <xf numFmtId="0" fontId="26" fillId="0" borderId="0" xfId="0" applyFont="1" applyFill="1" applyBorder="1" applyAlignment="1">
      <alignment horizontal="left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14" fontId="0" fillId="0" borderId="0" xfId="0" applyNumberFormat="1" applyFill="1" applyAlignment="1">
      <alignment horizontal="center"/>
    </xf>
    <xf numFmtId="38" fontId="41" fillId="10" borderId="1" xfId="1" applyNumberFormat="1" applyFont="1" applyFill="1" applyBorder="1" applyAlignment="1" applyProtection="1">
      <alignment vertical="center"/>
    </xf>
    <xf numFmtId="38" fontId="41" fillId="11" borderId="1" xfId="1" applyNumberFormat="1" applyFont="1" applyFill="1" applyBorder="1" applyAlignment="1" applyProtection="1">
      <alignment vertical="center"/>
    </xf>
    <xf numFmtId="38" fontId="42" fillId="0" borderId="1" xfId="1" applyNumberFormat="1" applyFont="1" applyFill="1" applyBorder="1" applyAlignment="1" applyProtection="1">
      <alignment vertical="center"/>
    </xf>
    <xf numFmtId="38" fontId="42" fillId="3" borderId="13" xfId="1" applyNumberFormat="1" applyFont="1" applyFill="1" applyBorder="1" applyAlignment="1" applyProtection="1">
      <alignment vertical="center"/>
    </xf>
    <xf numFmtId="0" fontId="10" fillId="0" borderId="0" xfId="0" applyFont="1" applyAlignment="1">
      <alignment horizontal="center"/>
    </xf>
    <xf numFmtId="5" fontId="10" fillId="0" borderId="45" xfId="0" applyNumberFormat="1" applyFont="1" applyBorder="1"/>
    <xf numFmtId="14" fontId="0" fillId="12" borderId="15" xfId="0" applyNumberFormat="1" applyFill="1" applyBorder="1"/>
    <xf numFmtId="167" fontId="0" fillId="12" borderId="15" xfId="0" applyNumberFormat="1" applyFill="1" applyBorder="1"/>
    <xf numFmtId="0" fontId="0" fillId="12" borderId="49" xfId="0" applyFill="1" applyBorder="1"/>
    <xf numFmtId="10" fontId="0" fillId="12" borderId="49" xfId="0" applyNumberFormat="1" applyFill="1" applyBorder="1"/>
    <xf numFmtId="14" fontId="0" fillId="12" borderId="16" xfId="0" applyNumberFormat="1" applyFill="1" applyBorder="1"/>
    <xf numFmtId="167" fontId="0" fillId="12" borderId="16" xfId="0" applyNumberFormat="1" applyFill="1" applyBorder="1"/>
    <xf numFmtId="167" fontId="0" fillId="13" borderId="16" xfId="0" applyNumberFormat="1" applyFill="1" applyBorder="1"/>
    <xf numFmtId="14" fontId="0" fillId="13" borderId="16" xfId="0" applyNumberFormat="1" applyFill="1" applyBorder="1"/>
    <xf numFmtId="10" fontId="0" fillId="13" borderId="49" xfId="0" applyNumberFormat="1" applyFill="1" applyBorder="1"/>
    <xf numFmtId="38" fontId="4" fillId="5" borderId="12" xfId="1" applyNumberFormat="1" applyFont="1" applyFill="1" applyBorder="1" applyAlignment="1" applyProtection="1">
      <alignment vertical="center"/>
    </xf>
    <xf numFmtId="38" fontId="4" fillId="12" borderId="1" xfId="1" applyNumberFormat="1" applyFont="1" applyFill="1" applyBorder="1" applyAlignment="1" applyProtection="1">
      <alignment vertical="center"/>
    </xf>
    <xf numFmtId="38" fontId="4" fillId="12" borderId="13" xfId="1" applyNumberFormat="1" applyFont="1" applyFill="1" applyBorder="1" applyAlignment="1" applyProtection="1">
      <alignment vertical="center"/>
    </xf>
    <xf numFmtId="14" fontId="0" fillId="12" borderId="55" xfId="0" applyNumberFormat="1" applyFill="1" applyBorder="1"/>
    <xf numFmtId="167" fontId="0" fillId="12" borderId="55" xfId="0" applyNumberFormat="1" applyFill="1" applyBorder="1"/>
    <xf numFmtId="10" fontId="0" fillId="12" borderId="55" xfId="0" applyNumberFormat="1" applyFill="1" applyBorder="1"/>
    <xf numFmtId="38" fontId="4" fillId="14" borderId="1" xfId="1" applyNumberFormat="1" applyFont="1" applyFill="1" applyBorder="1" applyAlignment="1" applyProtection="1">
      <alignment vertical="center"/>
    </xf>
    <xf numFmtId="38" fontId="4" fillId="15" borderId="1" xfId="1" applyNumberFormat="1" applyFont="1" applyFill="1" applyBorder="1" applyAlignment="1" applyProtection="1">
      <alignment vertical="center"/>
    </xf>
    <xf numFmtId="38" fontId="4" fillId="16" borderId="1" xfId="1" applyNumberFormat="1" applyFont="1" applyFill="1" applyBorder="1" applyAlignment="1" applyProtection="1">
      <alignment vertical="center"/>
    </xf>
    <xf numFmtId="38" fontId="5" fillId="16" borderId="24" xfId="1" applyNumberFormat="1" applyFont="1" applyFill="1" applyBorder="1" applyAlignment="1" applyProtection="1">
      <alignment vertical="center"/>
    </xf>
    <xf numFmtId="167" fontId="0" fillId="0" borderId="24" xfId="0" applyNumberFormat="1" applyFill="1" applyBorder="1"/>
    <xf numFmtId="167" fontId="20" fillId="0" borderId="0" xfId="0" quotePrefix="1" applyNumberFormat="1" applyFont="1" applyFill="1" applyAlignment="1">
      <alignment horizontal="right"/>
    </xf>
    <xf numFmtId="38" fontId="4" fillId="5" borderId="40" xfId="1" applyNumberFormat="1" applyFont="1" applyFill="1" applyBorder="1" applyAlignment="1" applyProtection="1">
      <alignment vertical="center"/>
    </xf>
    <xf numFmtId="38" fontId="4" fillId="17" borderId="13" xfId="1" applyNumberFormat="1" applyFont="1" applyFill="1" applyBorder="1" applyAlignment="1" applyProtection="1">
      <alignment vertical="center"/>
    </xf>
    <xf numFmtId="38" fontId="4" fillId="11" borderId="1" xfId="1" applyNumberFormat="1" applyFont="1" applyFill="1" applyBorder="1" applyAlignment="1" applyProtection="1">
      <alignment vertical="center"/>
    </xf>
    <xf numFmtId="38" fontId="4" fillId="13" borderId="13" xfId="1" applyNumberFormat="1" applyFont="1" applyFill="1" applyBorder="1" applyAlignment="1" applyProtection="1">
      <alignment vertical="center"/>
    </xf>
    <xf numFmtId="38" fontId="4" fillId="13" borderId="1" xfId="1" applyNumberFormat="1" applyFont="1" applyFill="1" applyBorder="1" applyAlignment="1" applyProtection="1">
      <alignment vertical="center"/>
    </xf>
    <xf numFmtId="0" fontId="20" fillId="0" borderId="0" xfId="0" applyFont="1" applyFill="1" applyAlignment="1">
      <alignment horizontal="center"/>
    </xf>
    <xf numFmtId="0" fontId="0" fillId="13" borderId="0" xfId="0" applyFill="1"/>
    <xf numFmtId="165" fontId="5" fillId="13" borderId="0" xfId="1" applyNumberFormat="1" applyFont="1" applyFill="1" applyBorder="1" applyAlignment="1">
      <alignment vertical="center"/>
    </xf>
    <xf numFmtId="0" fontId="22" fillId="13" borderId="0" xfId="0" applyFont="1" applyFill="1" applyAlignment="1">
      <alignment horizontal="center"/>
    </xf>
    <xf numFmtId="38" fontId="4" fillId="13" borderId="0" xfId="1" applyNumberFormat="1" applyFont="1" applyFill="1" applyBorder="1" applyAlignment="1">
      <alignment vertical="center"/>
    </xf>
    <xf numFmtId="38" fontId="7" fillId="13" borderId="0" xfId="1" applyNumberFormat="1" applyFont="1" applyFill="1" applyBorder="1" applyAlignment="1" applyProtection="1">
      <alignment vertical="center"/>
    </xf>
    <xf numFmtId="38" fontId="4" fillId="13" borderId="0" xfId="0" applyNumberFormat="1" applyFont="1" applyFill="1" applyBorder="1" applyAlignment="1">
      <alignment vertical="center"/>
    </xf>
    <xf numFmtId="38" fontId="6" fillId="18" borderId="1" xfId="1" applyNumberFormat="1" applyFont="1" applyFill="1" applyBorder="1" applyAlignment="1" applyProtection="1">
      <alignment vertical="center"/>
    </xf>
    <xf numFmtId="38" fontId="4" fillId="14" borderId="1" xfId="1" applyNumberFormat="1" applyFont="1" applyFill="1" applyBorder="1" applyAlignment="1">
      <alignment vertical="center"/>
    </xf>
    <xf numFmtId="38" fontId="4" fillId="14" borderId="4" xfId="1" applyNumberFormat="1" applyFont="1" applyFill="1" applyBorder="1" applyAlignment="1" applyProtection="1">
      <alignment vertical="center"/>
    </xf>
    <xf numFmtId="38" fontId="4" fillId="15" borderId="13" xfId="1" applyNumberFormat="1" applyFont="1" applyFill="1" applyBorder="1" applyAlignment="1" applyProtection="1">
      <alignment vertical="center"/>
    </xf>
    <xf numFmtId="0" fontId="0" fillId="15" borderId="0" xfId="0" applyFill="1"/>
    <xf numFmtId="0" fontId="0" fillId="15" borderId="1" xfId="0" applyFill="1" applyBorder="1"/>
    <xf numFmtId="38" fontId="6" fillId="15" borderId="1" xfId="1" applyNumberFormat="1" applyFont="1" applyFill="1" applyBorder="1" applyAlignment="1" applyProtection="1">
      <alignment vertical="center"/>
    </xf>
    <xf numFmtId="38" fontId="4" fillId="15" borderId="4" xfId="1" applyNumberFormat="1" applyFont="1" applyFill="1" applyBorder="1" applyAlignment="1" applyProtection="1">
      <alignment vertical="center"/>
    </xf>
    <xf numFmtId="38" fontId="4" fillId="18" borderId="1" xfId="1" applyNumberFormat="1" applyFont="1" applyFill="1" applyBorder="1" applyAlignment="1" applyProtection="1">
      <alignment vertical="center"/>
    </xf>
    <xf numFmtId="38" fontId="4" fillId="18" borderId="13" xfId="1" applyNumberFormat="1" applyFont="1" applyFill="1" applyBorder="1" applyAlignment="1" applyProtection="1">
      <alignment vertical="center"/>
    </xf>
    <xf numFmtId="38" fontId="4" fillId="18" borderId="4" xfId="1" applyNumberFormat="1" applyFont="1" applyFill="1" applyBorder="1" applyAlignment="1" applyProtection="1">
      <alignment vertical="center"/>
    </xf>
    <xf numFmtId="0" fontId="1" fillId="18" borderId="0" xfId="0" applyFont="1" applyFill="1"/>
    <xf numFmtId="38" fontId="4" fillId="14" borderId="13" xfId="1" applyNumberFormat="1" applyFont="1" applyFill="1" applyBorder="1" applyAlignment="1" applyProtection="1">
      <alignment vertical="center"/>
    </xf>
    <xf numFmtId="38" fontId="4" fillId="14" borderId="3" xfId="1" applyNumberFormat="1" applyFont="1" applyFill="1" applyBorder="1" applyAlignment="1" applyProtection="1">
      <alignment vertical="center"/>
    </xf>
    <xf numFmtId="0" fontId="0" fillId="14" borderId="0" xfId="0" applyFill="1"/>
    <xf numFmtId="38" fontId="4" fillId="14" borderId="14" xfId="1" applyNumberFormat="1" applyFont="1" applyFill="1" applyBorder="1" applyAlignment="1" applyProtection="1">
      <alignment vertical="center"/>
    </xf>
    <xf numFmtId="38" fontId="4" fillId="14" borderId="13" xfId="1" applyNumberFormat="1" applyFont="1" applyFill="1" applyBorder="1" applyAlignment="1">
      <alignment vertical="center"/>
    </xf>
    <xf numFmtId="38" fontId="4" fillId="13" borderId="3" xfId="1" applyNumberFormat="1" applyFont="1" applyFill="1" applyBorder="1" applyAlignment="1" applyProtection="1">
      <alignment vertical="center"/>
    </xf>
    <xf numFmtId="38" fontId="4" fillId="13" borderId="1" xfId="1" applyNumberFormat="1" applyFont="1" applyFill="1" applyBorder="1" applyAlignment="1">
      <alignment vertical="center"/>
    </xf>
    <xf numFmtId="38" fontId="4" fillId="13" borderId="12" xfId="1" applyNumberFormat="1" applyFont="1" applyFill="1" applyBorder="1" applyAlignment="1" applyProtection="1">
      <alignment vertical="center"/>
    </xf>
    <xf numFmtId="38" fontId="4" fillId="13" borderId="3" xfId="1" applyNumberFormat="1" applyFont="1" applyFill="1" applyBorder="1" applyAlignment="1">
      <alignment vertical="center"/>
    </xf>
    <xf numFmtId="38" fontId="4" fillId="13" borderId="1" xfId="1" applyNumberFormat="1" applyFont="1" applyFill="1" applyBorder="1" applyAlignment="1" applyProtection="1">
      <alignment horizontal="right" vertical="center"/>
    </xf>
    <xf numFmtId="38" fontId="4" fillId="14" borderId="4" xfId="1" applyNumberFormat="1" applyFont="1" applyFill="1" applyBorder="1" applyAlignment="1">
      <alignment vertical="center"/>
    </xf>
    <xf numFmtId="38" fontId="4" fillId="14" borderId="37" xfId="1" applyNumberFormat="1" applyFont="1" applyFill="1" applyBorder="1" applyAlignment="1" applyProtection="1">
      <alignment vertical="center"/>
    </xf>
    <xf numFmtId="38" fontId="4" fillId="14" borderId="40" xfId="1" applyNumberFormat="1" applyFont="1" applyFill="1" applyBorder="1" applyAlignment="1" applyProtection="1">
      <alignment vertical="center"/>
    </xf>
    <xf numFmtId="0" fontId="22" fillId="11" borderId="0" xfId="0" applyFont="1" applyFill="1" applyAlignment="1">
      <alignment horizontal="center"/>
    </xf>
    <xf numFmtId="38" fontId="5" fillId="19" borderId="24" xfId="1" applyNumberFormat="1" applyFont="1" applyFill="1" applyBorder="1" applyAlignment="1">
      <alignment vertical="center"/>
    </xf>
    <xf numFmtId="38" fontId="5" fillId="19" borderId="56" xfId="1" applyNumberFormat="1" applyFont="1" applyFill="1" applyBorder="1" applyAlignment="1">
      <alignment vertical="center"/>
    </xf>
    <xf numFmtId="38" fontId="5" fillId="0" borderId="57" xfId="1" applyNumberFormat="1" applyFont="1" applyFill="1" applyBorder="1" applyAlignment="1" applyProtection="1">
      <alignment vertical="center"/>
    </xf>
    <xf numFmtId="0" fontId="0" fillId="20" borderId="0" xfId="0" applyFill="1"/>
    <xf numFmtId="165" fontId="5" fillId="20" borderId="0" xfId="1" applyNumberFormat="1" applyFont="1" applyFill="1" applyBorder="1" applyAlignment="1">
      <alignment vertical="center"/>
    </xf>
    <xf numFmtId="0" fontId="22" fillId="19" borderId="0" xfId="0" applyFont="1" applyFill="1" applyAlignment="1">
      <alignment horizontal="center"/>
    </xf>
    <xf numFmtId="0" fontId="31" fillId="0" borderId="0" xfId="0" applyFont="1" applyFill="1"/>
    <xf numFmtId="0" fontId="0" fillId="0" borderId="0" xfId="0" applyFill="1" applyBorder="1" applyAlignment="1">
      <alignment horizontal="center"/>
    </xf>
    <xf numFmtId="10" fontId="0" fillId="0" borderId="0" xfId="0" applyNumberFormat="1" applyFill="1"/>
    <xf numFmtId="0" fontId="4" fillId="0" borderId="0" xfId="0" applyFont="1" applyFill="1" applyAlignment="1">
      <alignment horizontal="right"/>
    </xf>
    <xf numFmtId="10" fontId="4" fillId="0" borderId="23" xfId="0" applyNumberFormat="1" applyFont="1" applyFill="1" applyBorder="1"/>
    <xf numFmtId="0" fontId="4" fillId="0" borderId="0" xfId="0" applyFont="1" applyFill="1" applyAlignment="1">
      <alignment horizontal="center"/>
    </xf>
    <xf numFmtId="10" fontId="4" fillId="13" borderId="23" xfId="0" applyNumberFormat="1" applyFont="1" applyFill="1" applyBorder="1"/>
    <xf numFmtId="10" fontId="0" fillId="16" borderId="23" xfId="0" applyNumberFormat="1" applyFill="1" applyBorder="1"/>
    <xf numFmtId="10" fontId="4" fillId="15" borderId="23" xfId="0" applyNumberFormat="1" applyFont="1" applyFill="1" applyBorder="1"/>
    <xf numFmtId="0" fontId="21" fillId="0" borderId="0" xfId="0" applyFont="1" applyFill="1" applyAlignment="1">
      <alignment horizontal="center"/>
    </xf>
    <xf numFmtId="0" fontId="0" fillId="0" borderId="49" xfId="0" quotePrefix="1" applyFill="1" applyBorder="1" applyAlignment="1">
      <alignment horizontal="center"/>
    </xf>
    <xf numFmtId="9" fontId="0" fillId="0" borderId="0" xfId="0" applyNumberFormat="1" applyFill="1" applyBorder="1"/>
    <xf numFmtId="14" fontId="0" fillId="0" borderId="16" xfId="0" applyNumberFormat="1" applyFill="1" applyBorder="1"/>
    <xf numFmtId="14" fontId="0" fillId="0" borderId="23" xfId="0" applyNumberFormat="1" applyFill="1" applyBorder="1" applyAlignment="1">
      <alignment horizontal="right"/>
    </xf>
    <xf numFmtId="167" fontId="0" fillId="0" borderId="23" xfId="0" applyNumberFormat="1" applyFill="1" applyBorder="1" applyAlignment="1">
      <alignment horizontal="right"/>
    </xf>
    <xf numFmtId="0" fontId="0" fillId="0" borderId="16" xfId="0" quotePrefix="1" applyFill="1" applyBorder="1" applyAlignment="1">
      <alignment horizontal="center"/>
    </xf>
    <xf numFmtId="14" fontId="0" fillId="0" borderId="23" xfId="0" applyNumberFormat="1" applyFill="1" applyBorder="1"/>
    <xf numFmtId="167" fontId="0" fillId="13" borderId="23" xfId="0" applyNumberFormat="1" applyFill="1" applyBorder="1"/>
    <xf numFmtId="167" fontId="0" fillId="0" borderId="16" xfId="0" applyNumberFormat="1" applyFill="1" applyBorder="1" applyAlignment="1">
      <alignment horizontal="right"/>
    </xf>
    <xf numFmtId="14" fontId="0" fillId="0" borderId="16" xfId="0" applyNumberFormat="1" applyFill="1" applyBorder="1" applyAlignment="1">
      <alignment horizontal="right"/>
    </xf>
    <xf numFmtId="0" fontId="20" fillId="0" borderId="58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165" fontId="5" fillId="15" borderId="0" xfId="1" applyNumberFormat="1" applyFont="1" applyFill="1" applyBorder="1" applyAlignment="1">
      <alignment vertical="center"/>
    </xf>
    <xf numFmtId="0" fontId="37" fillId="0" borderId="0" xfId="0" applyFont="1" applyFill="1" applyAlignment="1">
      <alignment horizontal="center"/>
    </xf>
    <xf numFmtId="38" fontId="4" fillId="0" borderId="10" xfId="1" applyNumberFormat="1" applyFont="1" applyFill="1" applyBorder="1" applyAlignment="1" applyProtection="1"/>
    <xf numFmtId="16" fontId="22" fillId="0" borderId="0" xfId="0" quotePrefix="1" applyNumberFormat="1" applyFont="1" applyFill="1" applyBorder="1" applyAlignment="1">
      <alignment horizontal="center"/>
    </xf>
    <xf numFmtId="38" fontId="4" fillId="14" borderId="0" xfId="1" applyNumberFormat="1" applyFont="1" applyFill="1" applyBorder="1" applyAlignment="1" applyProtection="1">
      <alignment vertical="center"/>
    </xf>
    <xf numFmtId="38" fontId="4" fillId="5" borderId="0" xfId="1" applyNumberFormat="1" applyFont="1" applyFill="1" applyBorder="1" applyAlignment="1" applyProtection="1">
      <alignment vertical="center"/>
    </xf>
    <xf numFmtId="38" fontId="4" fillId="0" borderId="37" xfId="1" applyNumberFormat="1" applyFont="1" applyFill="1" applyBorder="1" applyAlignment="1" applyProtection="1">
      <alignment vertical="center"/>
    </xf>
    <xf numFmtId="38" fontId="5" fillId="4" borderId="6" xfId="1" applyNumberFormat="1" applyFont="1" applyFill="1" applyBorder="1" applyAlignment="1" applyProtection="1">
      <alignment vertical="center"/>
    </xf>
    <xf numFmtId="0" fontId="26" fillId="0" borderId="0" xfId="0" applyFont="1" applyFill="1" applyBorder="1" applyAlignment="1">
      <alignment horizontal="center"/>
    </xf>
    <xf numFmtId="0" fontId="26" fillId="10" borderId="0" xfId="0" applyFont="1" applyFill="1" applyBorder="1" applyAlignment="1">
      <alignment horizontal="center"/>
    </xf>
    <xf numFmtId="9" fontId="0" fillId="21" borderId="24" xfId="0" applyNumberFormat="1" applyFill="1" applyBorder="1"/>
    <xf numFmtId="38" fontId="4" fillId="22" borderId="13" xfId="1" applyNumberFormat="1" applyFont="1" applyFill="1" applyBorder="1" applyAlignment="1" applyProtection="1">
      <alignment vertical="center"/>
    </xf>
    <xf numFmtId="38" fontId="4" fillId="22" borderId="1" xfId="1" applyNumberFormat="1" applyFont="1" applyFill="1" applyBorder="1" applyAlignment="1" applyProtection="1">
      <alignment vertical="center"/>
    </xf>
    <xf numFmtId="38" fontId="5" fillId="16" borderId="27" xfId="1" applyNumberFormat="1" applyFont="1" applyFill="1" applyBorder="1" applyAlignment="1" applyProtection="1">
      <alignment vertical="center"/>
    </xf>
    <xf numFmtId="0" fontId="0" fillId="14" borderId="0" xfId="0" applyFill="1" applyAlignment="1">
      <alignment horizontal="center"/>
    </xf>
    <xf numFmtId="38" fontId="4" fillId="14" borderId="10" xfId="1" applyNumberFormat="1" applyFont="1" applyFill="1" applyBorder="1" applyAlignment="1">
      <alignment vertical="center"/>
    </xf>
    <xf numFmtId="0" fontId="0" fillId="10" borderId="0" xfId="0" applyFill="1"/>
    <xf numFmtId="0" fontId="22" fillId="0" borderId="0" xfId="0" applyFont="1" applyFill="1"/>
    <xf numFmtId="38" fontId="5" fillId="0" borderId="23" xfId="1" applyNumberFormat="1" applyFont="1" applyFill="1" applyBorder="1" applyAlignment="1">
      <alignment vertical="center"/>
    </xf>
    <xf numFmtId="38" fontId="5" fillId="0" borderId="59" xfId="1" applyNumberFormat="1" applyFont="1" applyFill="1" applyBorder="1" applyAlignment="1" applyProtection="1">
      <alignment vertical="center"/>
    </xf>
    <xf numFmtId="38" fontId="5" fillId="2" borderId="13" xfId="1" applyNumberFormat="1" applyFont="1" applyFill="1" applyBorder="1" applyAlignment="1">
      <alignment vertical="center"/>
    </xf>
    <xf numFmtId="38" fontId="0" fillId="0" borderId="0" xfId="0" applyNumberFormat="1" applyFill="1" applyBorder="1" applyAlignment="1">
      <alignment horizontal="center"/>
    </xf>
    <xf numFmtId="0" fontId="22" fillId="15" borderId="0" xfId="0" applyFont="1" applyFill="1" applyAlignment="1">
      <alignment horizontal="center"/>
    </xf>
    <xf numFmtId="0" fontId="10" fillId="6" borderId="42" xfId="0" applyFont="1" applyFill="1" applyBorder="1" applyAlignment="1">
      <alignment horizontal="center"/>
    </xf>
    <xf numFmtId="38" fontId="13" fillId="0" borderId="0" xfId="0" applyNumberFormat="1" applyFont="1" applyFill="1"/>
    <xf numFmtId="167" fontId="0" fillId="22" borderId="23" xfId="0" applyNumberFormat="1" applyFill="1" applyBorder="1"/>
    <xf numFmtId="14" fontId="0" fillId="15" borderId="15" xfId="0" applyNumberFormat="1" applyFill="1" applyBorder="1"/>
    <xf numFmtId="167" fontId="0" fillId="15" borderId="15" xfId="0" applyNumberFormat="1" applyFill="1" applyBorder="1"/>
    <xf numFmtId="10" fontId="0" fillId="15" borderId="15" xfId="0" applyNumberFormat="1" applyFill="1" applyBorder="1"/>
    <xf numFmtId="0" fontId="20" fillId="0" borderId="23" xfId="0" quotePrefix="1" applyFont="1" applyFill="1" applyBorder="1" applyAlignment="1">
      <alignment horizontal="center"/>
    </xf>
    <xf numFmtId="10" fontId="2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26" fillId="6" borderId="15" xfId="0" applyFont="1" applyFill="1" applyBorder="1" applyAlignment="1">
      <alignment horizontal="center"/>
    </xf>
    <xf numFmtId="0" fontId="26" fillId="6" borderId="55" xfId="0" applyFont="1" applyFill="1" applyBorder="1" applyAlignment="1">
      <alignment horizontal="center"/>
    </xf>
    <xf numFmtId="165" fontId="5" fillId="0" borderId="10" xfId="1" applyNumberFormat="1" applyFont="1" applyFill="1" applyBorder="1" applyAlignment="1">
      <alignment vertical="center"/>
    </xf>
    <xf numFmtId="0" fontId="22" fillId="0" borderId="10" xfId="0" applyFont="1" applyFill="1" applyBorder="1" applyAlignment="1">
      <alignment horizontal="center"/>
    </xf>
    <xf numFmtId="38" fontId="4" fillId="0" borderId="60" xfId="1" applyNumberFormat="1" applyFont="1" applyFill="1" applyBorder="1" applyAlignment="1">
      <alignment vertical="center"/>
    </xf>
    <xf numFmtId="0" fontId="14" fillId="10" borderId="10" xfId="0" applyFont="1" applyFill="1" applyBorder="1" applyAlignment="1">
      <alignment horizontal="center"/>
    </xf>
    <xf numFmtId="5" fontId="40" fillId="0" borderId="9" xfId="0" applyNumberFormat="1" applyFont="1" applyBorder="1" applyAlignment="1">
      <alignment horizontal="right"/>
    </xf>
    <xf numFmtId="0" fontId="38" fillId="0" borderId="10" xfId="0" applyFont="1" applyBorder="1" applyAlignment="1">
      <alignment horizontal="right"/>
    </xf>
    <xf numFmtId="5" fontId="38" fillId="0" borderId="10" xfId="0" applyNumberFormat="1" applyFont="1" applyBorder="1" applyAlignment="1">
      <alignment horizontal="right"/>
    </xf>
    <xf numFmtId="167" fontId="38" fillId="0" borderId="10" xfId="0" applyNumberFormat="1" applyFont="1" applyBorder="1" applyAlignment="1">
      <alignment horizontal="right"/>
    </xf>
    <xf numFmtId="38" fontId="5" fillId="20" borderId="24" xfId="1" applyNumberFormat="1" applyFont="1" applyFill="1" applyBorder="1" applyAlignment="1" applyProtection="1">
      <alignment vertical="center"/>
    </xf>
    <xf numFmtId="9" fontId="20" fillId="21" borderId="24" xfId="0" applyNumberFormat="1" applyFont="1" applyFill="1" applyBorder="1"/>
    <xf numFmtId="0" fontId="0" fillId="0" borderId="0" xfId="0" applyFill="1" applyAlignment="1">
      <alignment horizontal="right"/>
    </xf>
    <xf numFmtId="10" fontId="38" fillId="0" borderId="9" xfId="0" applyNumberFormat="1" applyFont="1" applyFill="1" applyBorder="1"/>
    <xf numFmtId="10" fontId="38" fillId="0" borderId="42" xfId="0" applyNumberFormat="1" applyFont="1" applyFill="1" applyBorder="1"/>
    <xf numFmtId="0" fontId="38" fillId="0" borderId="0" xfId="0" applyFont="1" applyFill="1" applyAlignment="1">
      <alignment horizontal="right"/>
    </xf>
    <xf numFmtId="0" fontId="39" fillId="0" borderId="0" xfId="0" applyFont="1" applyFill="1" applyAlignment="1">
      <alignment horizontal="center"/>
    </xf>
    <xf numFmtId="38" fontId="38" fillId="0" borderId="0" xfId="0" applyNumberFormat="1" applyFont="1" applyFill="1"/>
    <xf numFmtId="38" fontId="4" fillId="0" borderId="0" xfId="0" applyNumberFormat="1" applyFont="1" applyFill="1"/>
    <xf numFmtId="10" fontId="0" fillId="13" borderId="16" xfId="0" applyNumberFormat="1" applyFill="1" applyBorder="1"/>
    <xf numFmtId="14" fontId="0" fillId="13" borderId="15" xfId="0" applyNumberFormat="1" applyFill="1" applyBorder="1"/>
    <xf numFmtId="167" fontId="0" fillId="13" borderId="15" xfId="0" applyNumberFormat="1" applyFill="1" applyBorder="1"/>
    <xf numFmtId="10" fontId="0" fillId="13" borderId="15" xfId="0" applyNumberFormat="1" applyFill="1" applyBorder="1"/>
    <xf numFmtId="38" fontId="4" fillId="13" borderId="14" xfId="1" applyNumberFormat="1" applyFont="1" applyFill="1" applyBorder="1" applyAlignment="1" applyProtection="1">
      <alignment vertical="center"/>
    </xf>
    <xf numFmtId="10" fontId="38" fillId="0" borderId="0" xfId="0" applyNumberFormat="1" applyFont="1" applyFill="1" applyBorder="1"/>
    <xf numFmtId="38" fontId="13" fillId="15" borderId="10" xfId="0" applyNumberFormat="1" applyFont="1" applyFill="1" applyBorder="1"/>
    <xf numFmtId="0" fontId="23" fillId="10" borderId="42" xfId="0" applyFont="1" applyFill="1" applyBorder="1" applyAlignment="1">
      <alignment horizontal="center"/>
    </xf>
    <xf numFmtId="0" fontId="20" fillId="19" borderId="0" xfId="0" applyFont="1" applyFill="1" applyAlignment="1">
      <alignment horizontal="center"/>
    </xf>
    <xf numFmtId="0" fontId="31" fillId="0" borderId="0" xfId="0" applyFont="1" applyFill="1" applyAlignment="1">
      <alignment horizontal="right"/>
    </xf>
    <xf numFmtId="0" fontId="22" fillId="5" borderId="24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38" fontId="4" fillId="18" borderId="14" xfId="1" applyNumberFormat="1" applyFont="1" applyFill="1" applyBorder="1" applyAlignment="1" applyProtection="1">
      <alignment vertical="center"/>
    </xf>
    <xf numFmtId="10" fontId="0" fillId="0" borderId="0" xfId="0" applyNumberFormat="1" applyFill="1" applyBorder="1"/>
    <xf numFmtId="38" fontId="13" fillId="15" borderId="0" xfId="0" applyNumberFormat="1" applyFont="1" applyFill="1"/>
    <xf numFmtId="38" fontId="19" fillId="0" borderId="0" xfId="0" applyNumberFormat="1" applyFont="1" applyFill="1"/>
    <xf numFmtId="0" fontId="19" fillId="0" borderId="0" xfId="0" applyFont="1" applyFill="1" applyBorder="1"/>
    <xf numFmtId="38" fontId="19" fillId="0" borderId="35" xfId="0" applyNumberFormat="1" applyFont="1" applyFill="1" applyBorder="1" applyAlignment="1">
      <alignment horizontal="right"/>
    </xf>
    <xf numFmtId="38" fontId="19" fillId="0" borderId="0" xfId="0" applyNumberFormat="1" applyFont="1" applyFill="1" applyBorder="1" applyAlignment="1">
      <alignment horizontal="right"/>
    </xf>
    <xf numFmtId="38" fontId="19" fillId="0" borderId="0" xfId="0" applyNumberFormat="1" applyFont="1" applyFill="1" applyAlignment="1">
      <alignment horizontal="right"/>
    </xf>
    <xf numFmtId="3" fontId="20" fillId="0" borderId="0" xfId="0" applyNumberFormat="1" applyFont="1"/>
    <xf numFmtId="3" fontId="20" fillId="0" borderId="0" xfId="0" applyNumberFormat="1" applyFont="1" applyFill="1"/>
    <xf numFmtId="3" fontId="31" fillId="0" borderId="0" xfId="0" applyNumberFormat="1" applyFont="1"/>
    <xf numFmtId="5" fontId="20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5" fontId="20" fillId="12" borderId="51" xfId="0" applyNumberFormat="1" applyFont="1" applyFill="1" applyBorder="1"/>
    <xf numFmtId="0" fontId="20" fillId="12" borderId="48" xfId="0" applyFont="1" applyFill="1" applyBorder="1"/>
    <xf numFmtId="5" fontId="20" fillId="12" borderId="46" xfId="0" applyNumberFormat="1" applyFont="1" applyFill="1" applyBorder="1"/>
    <xf numFmtId="0" fontId="20" fillId="12" borderId="49" xfId="0" applyFont="1" applyFill="1" applyBorder="1"/>
    <xf numFmtId="5" fontId="20" fillId="12" borderId="47" xfId="0" applyNumberFormat="1" applyFont="1" applyFill="1" applyBorder="1"/>
    <xf numFmtId="0" fontId="12" fillId="0" borderId="0" xfId="0" applyFont="1" applyFill="1"/>
    <xf numFmtId="167" fontId="20" fillId="12" borderId="23" xfId="0" applyNumberFormat="1" applyFont="1" applyFill="1" applyBorder="1"/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65" fontId="5" fillId="0" borderId="0" xfId="1" applyNumberFormat="1" applyFont="1" applyFill="1" applyBorder="1" applyAlignment="1" applyProtection="1">
      <alignment vertical="center"/>
      <protection locked="0"/>
    </xf>
    <xf numFmtId="0" fontId="22" fillId="0" borderId="0" xfId="0" applyFont="1" applyFill="1" applyAlignment="1" applyProtection="1">
      <alignment horizontal="center"/>
      <protection locked="0"/>
    </xf>
    <xf numFmtId="38" fontId="5" fillId="0" borderId="2" xfId="1" applyNumberFormat="1" applyFont="1" applyFill="1" applyBorder="1" applyAlignment="1" applyProtection="1">
      <alignment vertical="center"/>
      <protection locked="0"/>
    </xf>
    <xf numFmtId="38" fontId="4" fillId="0" borderId="3" xfId="1" applyNumberFormat="1" applyFont="1" applyFill="1" applyBorder="1" applyAlignment="1" applyProtection="1">
      <protection locked="0"/>
    </xf>
    <xf numFmtId="38" fontId="4" fillId="15" borderId="1" xfId="1" applyNumberFormat="1" applyFont="1" applyFill="1" applyBorder="1" applyAlignment="1" applyProtection="1">
      <alignment vertical="center"/>
      <protection locked="0"/>
    </xf>
    <xf numFmtId="38" fontId="4" fillId="2" borderId="1" xfId="1" applyNumberFormat="1" applyFont="1" applyFill="1" applyBorder="1" applyAlignment="1" applyProtection="1">
      <alignment vertical="center"/>
      <protection locked="0"/>
    </xf>
    <xf numFmtId="38" fontId="4" fillId="18" borderId="4" xfId="1" applyNumberFormat="1" applyFont="1" applyFill="1" applyBorder="1" applyAlignment="1" applyProtection="1">
      <alignment vertical="center"/>
      <protection locked="0"/>
    </xf>
    <xf numFmtId="38" fontId="4" fillId="14" borderId="1" xfId="1" applyNumberFormat="1" applyFont="1" applyFill="1" applyBorder="1" applyAlignment="1" applyProtection="1">
      <alignment vertical="center"/>
      <protection locked="0"/>
    </xf>
    <xf numFmtId="38" fontId="4" fillId="13" borderId="1" xfId="1" applyNumberFormat="1" applyFont="1" applyFill="1" applyBorder="1" applyAlignment="1" applyProtection="1">
      <alignment vertical="center"/>
      <protection locked="0"/>
    </xf>
    <xf numFmtId="38" fontId="4" fillId="14" borderId="4" xfId="1" applyNumberFormat="1" applyFont="1" applyFill="1" applyBorder="1" applyAlignment="1" applyProtection="1">
      <alignment vertical="center"/>
      <protection locked="0"/>
    </xf>
    <xf numFmtId="38" fontId="5" fillId="4" borderId="6" xfId="1" quotePrefix="1" applyNumberFormat="1" applyFont="1" applyFill="1" applyBorder="1" applyAlignment="1" applyProtection="1">
      <alignment vertical="center"/>
      <protection locked="0"/>
    </xf>
    <xf numFmtId="38" fontId="4" fillId="0" borderId="3" xfId="1" applyNumberFormat="1" applyFont="1" applyFill="1" applyBorder="1" applyAlignment="1" applyProtection="1">
      <alignment vertical="center"/>
      <protection locked="0"/>
    </xf>
    <xf numFmtId="38" fontId="4" fillId="0" borderId="1" xfId="1" applyNumberFormat="1" applyFont="1" applyFill="1" applyBorder="1" applyAlignment="1" applyProtection="1">
      <alignment vertical="center"/>
      <protection locked="0"/>
    </xf>
    <xf numFmtId="38" fontId="4" fillId="9" borderId="1" xfId="1" applyNumberFormat="1" applyFont="1" applyFill="1" applyBorder="1" applyAlignment="1" applyProtection="1">
      <alignment vertical="center"/>
      <protection locked="0"/>
    </xf>
    <xf numFmtId="38" fontId="5" fillId="4" borderId="6" xfId="1" applyNumberFormat="1" applyFont="1" applyFill="1" applyBorder="1" applyAlignment="1" applyProtection="1">
      <alignment vertical="center"/>
      <protection locked="0"/>
    </xf>
    <xf numFmtId="38" fontId="4" fillId="0" borderId="4" xfId="1" applyNumberFormat="1" applyFont="1" applyFill="1" applyBorder="1" applyAlignment="1" applyProtection="1">
      <alignment vertical="center"/>
      <protection locked="0"/>
    </xf>
    <xf numFmtId="38" fontId="5" fillId="4" borderId="5" xfId="1" applyNumberFormat="1" applyFont="1" applyFill="1" applyBorder="1" applyAlignment="1" applyProtection="1">
      <alignment vertical="center"/>
      <protection locked="0"/>
    </xf>
    <xf numFmtId="38" fontId="4" fillId="0" borderId="0" xfId="1" applyNumberFormat="1" applyFont="1" applyFill="1" applyBorder="1" applyAlignment="1" applyProtection="1">
      <alignment vertical="center"/>
      <protection locked="0"/>
    </xf>
    <xf numFmtId="38" fontId="7" fillId="0" borderId="0" xfId="1" applyNumberFormat="1" applyFont="1" applyFill="1" applyBorder="1" applyAlignment="1" applyProtection="1">
      <alignment vertical="center"/>
      <protection locked="0"/>
    </xf>
    <xf numFmtId="38" fontId="4" fillId="0" borderId="0" xfId="0" applyNumberFormat="1" applyFont="1" applyFill="1" applyBorder="1" applyAlignment="1" applyProtection="1">
      <alignment vertical="center"/>
      <protection locked="0"/>
    </xf>
    <xf numFmtId="38" fontId="13" fillId="5" borderId="0" xfId="0" applyNumberFormat="1" applyFont="1" applyFill="1" applyProtection="1">
      <protection locked="0"/>
    </xf>
    <xf numFmtId="38" fontId="37" fillId="0" borderId="0" xfId="1" applyNumberFormat="1" applyFont="1" applyFill="1" applyBorder="1" applyAlignment="1">
      <alignment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20" fillId="0" borderId="10" xfId="0" applyFont="1" applyFill="1" applyBorder="1"/>
    <xf numFmtId="0" fontId="20" fillId="0" borderId="10" xfId="0" applyFont="1" applyBorder="1"/>
    <xf numFmtId="0" fontId="1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0" fontId="12" fillId="12" borderId="32" xfId="0" applyFont="1" applyFill="1" applyBorder="1" applyAlignment="1">
      <alignment horizontal="left"/>
    </xf>
    <xf numFmtId="0" fontId="20" fillId="12" borderId="0" xfId="0" applyFont="1" applyFill="1" applyBorder="1" applyAlignment="1">
      <alignment horizontal="left"/>
    </xf>
    <xf numFmtId="0" fontId="20" fillId="12" borderId="44" xfId="0" applyFont="1" applyFill="1" applyBorder="1" applyAlignment="1">
      <alignment horizontal="left"/>
    </xf>
    <xf numFmtId="0" fontId="31" fillId="0" borderId="0" xfId="0" applyFont="1" applyAlignment="1">
      <alignment horizontal="left"/>
    </xf>
    <xf numFmtId="5" fontId="31" fillId="0" borderId="0" xfId="0" applyNumberFormat="1" applyFont="1" applyBorder="1"/>
    <xf numFmtId="0" fontId="31" fillId="0" borderId="59" xfId="0" applyFont="1" applyBorder="1" applyAlignment="1">
      <alignment horizontal="left"/>
    </xf>
    <xf numFmtId="0" fontId="31" fillId="0" borderId="61" xfId="0" applyFont="1" applyBorder="1" applyAlignment="1">
      <alignment horizontal="left"/>
    </xf>
    <xf numFmtId="0" fontId="31" fillId="0" borderId="61" xfId="0" applyFont="1" applyBorder="1"/>
    <xf numFmtId="0" fontId="30" fillId="0" borderId="61" xfId="0" quotePrefix="1" applyFont="1" applyBorder="1" applyAlignment="1">
      <alignment horizontal="left" vertical="top" indent="1"/>
    </xf>
    <xf numFmtId="0" fontId="30" fillId="0" borderId="61" xfId="0" applyFont="1" applyBorder="1" applyAlignment="1">
      <alignment horizontal="left" vertical="top" indent="1"/>
    </xf>
    <xf numFmtId="0" fontId="1" fillId="0" borderId="0" xfId="0" applyFont="1" applyFill="1"/>
    <xf numFmtId="5" fontId="1" fillId="12" borderId="49" xfId="0" applyNumberFormat="1" applyFont="1" applyFill="1" applyBorder="1"/>
    <xf numFmtId="0" fontId="1" fillId="12" borderId="49" xfId="0" applyFont="1" applyFill="1" applyBorder="1"/>
    <xf numFmtId="0" fontId="1" fillId="0" borderId="0" xfId="0" applyFont="1" applyAlignment="1">
      <alignment horizontal="left"/>
    </xf>
    <xf numFmtId="5" fontId="1" fillId="0" borderId="0" xfId="0" applyNumberFormat="1" applyFont="1"/>
    <xf numFmtId="0" fontId="44" fillId="0" borderId="35" xfId="0" applyFont="1" applyBorder="1"/>
    <xf numFmtId="5" fontId="44" fillId="0" borderId="35" xfId="0" applyNumberFormat="1" applyFont="1" applyBorder="1"/>
    <xf numFmtId="0" fontId="44" fillId="0" borderId="26" xfId="0" applyFont="1" applyBorder="1"/>
    <xf numFmtId="0" fontId="44" fillId="0" borderId="0" xfId="0" applyFont="1" applyBorder="1"/>
    <xf numFmtId="5" fontId="44" fillId="0" borderId="0" xfId="0" applyNumberFormat="1" applyFont="1" applyBorder="1"/>
    <xf numFmtId="0" fontId="44" fillId="0" borderId="27" xfId="0" applyFont="1" applyBorder="1"/>
    <xf numFmtId="0" fontId="44" fillId="0" borderId="64" xfId="0" applyFont="1" applyBorder="1"/>
    <xf numFmtId="5" fontId="44" fillId="0" borderId="64" xfId="0" applyNumberFormat="1" applyFont="1" applyBorder="1"/>
    <xf numFmtId="0" fontId="44" fillId="0" borderId="65" xfId="0" applyFont="1" applyBorder="1"/>
    <xf numFmtId="0" fontId="40" fillId="0" borderId="10" xfId="0" applyFont="1" applyFill="1" applyBorder="1" applyAlignment="1">
      <alignment horizontal="left"/>
    </xf>
    <xf numFmtId="0" fontId="40" fillId="0" borderId="10" xfId="0" applyFont="1" applyBorder="1" applyAlignment="1">
      <alignment horizontal="left"/>
    </xf>
    <xf numFmtId="0" fontId="21" fillId="0" borderId="10" xfId="0" applyFont="1" applyBorder="1" applyAlignment="1">
      <alignment horizontal="right"/>
    </xf>
    <xf numFmtId="0" fontId="31" fillId="0" borderId="63" xfId="0" applyFont="1" applyBorder="1"/>
    <xf numFmtId="14" fontId="0" fillId="15" borderId="16" xfId="0" applyNumberFormat="1" applyFill="1" applyBorder="1"/>
    <xf numFmtId="167" fontId="0" fillId="15" borderId="16" xfId="0" applyNumberFormat="1" applyFill="1" applyBorder="1"/>
    <xf numFmtId="10" fontId="0" fillId="15" borderId="16" xfId="0" applyNumberFormat="1" applyFill="1" applyBorder="1"/>
    <xf numFmtId="0" fontId="1" fillId="3" borderId="23" xfId="0" quotePrefix="1" applyFont="1" applyFill="1" applyBorder="1" applyAlignment="1">
      <alignment horizontal="center"/>
    </xf>
    <xf numFmtId="38" fontId="43" fillId="22" borderId="1" xfId="1" applyNumberFormat="1" applyFont="1" applyFill="1" applyBorder="1" applyAlignment="1" applyProtection="1">
      <alignment vertical="center"/>
    </xf>
    <xf numFmtId="38" fontId="43" fillId="12" borderId="1" xfId="1" applyNumberFormat="1" applyFont="1" applyFill="1" applyBorder="1" applyAlignment="1" applyProtection="1">
      <alignment vertical="center"/>
    </xf>
    <xf numFmtId="10" fontId="1" fillId="0" borderId="0" xfId="0" applyNumberFormat="1" applyFont="1" applyFill="1"/>
    <xf numFmtId="0" fontId="36" fillId="0" borderId="59" xfId="0" applyFont="1" applyBorder="1"/>
    <xf numFmtId="0" fontId="20" fillId="0" borderId="35" xfId="0" applyFont="1" applyBorder="1"/>
    <xf numFmtId="0" fontId="20" fillId="0" borderId="26" xfId="0" applyFont="1" applyBorder="1" applyAlignment="1">
      <alignment horizontal="right"/>
    </xf>
    <xf numFmtId="0" fontId="36" fillId="0" borderId="61" xfId="0" applyFont="1" applyBorder="1"/>
    <xf numFmtId="0" fontId="20" fillId="0" borderId="0" xfId="0" applyFont="1" applyBorder="1"/>
    <xf numFmtId="0" fontId="20" fillId="0" borderId="27" xfId="0" applyFont="1" applyBorder="1" applyAlignment="1">
      <alignment horizontal="right"/>
    </xf>
    <xf numFmtId="0" fontId="20" fillId="0" borderId="61" xfId="0" applyFont="1" applyBorder="1"/>
    <xf numFmtId="0" fontId="20" fillId="0" borderId="6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3" fontId="20" fillId="0" borderId="27" xfId="0" applyNumberFormat="1" applyFont="1" applyBorder="1" applyAlignment="1">
      <alignment horizontal="center"/>
    </xf>
    <xf numFmtId="0" fontId="36" fillId="0" borderId="61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3" fontId="36" fillId="0" borderId="27" xfId="0" applyNumberFormat="1" applyFont="1" applyBorder="1" applyAlignment="1">
      <alignment horizontal="center"/>
    </xf>
    <xf numFmtId="0" fontId="20" fillId="0" borderId="0" xfId="0" applyFont="1" applyBorder="1" applyAlignment="1">
      <alignment horizontal="right"/>
    </xf>
    <xf numFmtId="3" fontId="20" fillId="0" borderId="27" xfId="0" applyNumberFormat="1" applyFont="1" applyBorder="1"/>
    <xf numFmtId="6" fontId="20" fillId="0" borderId="61" xfId="0" applyNumberFormat="1" applyFont="1" applyBorder="1"/>
    <xf numFmtId="14" fontId="20" fillId="0" borderId="0" xfId="0" applyNumberFormat="1" applyFont="1" applyBorder="1" applyAlignment="1">
      <alignment horizontal="right"/>
    </xf>
    <xf numFmtId="6" fontId="20" fillId="0" borderId="27" xfId="0" applyNumberFormat="1" applyFont="1" applyBorder="1"/>
    <xf numFmtId="0" fontId="20" fillId="0" borderId="63" xfId="0" applyFont="1" applyBorder="1"/>
    <xf numFmtId="0" fontId="20" fillId="0" borderId="64" xfId="0" applyFont="1" applyBorder="1"/>
    <xf numFmtId="0" fontId="20" fillId="0" borderId="65" xfId="0" applyFont="1" applyBorder="1" applyAlignment="1">
      <alignment horizontal="right"/>
    </xf>
    <xf numFmtId="6" fontId="20" fillId="0" borderId="27" xfId="0" applyNumberFormat="1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38" fontId="4" fillId="20" borderId="24" xfId="1" applyNumberFormat="1" applyFont="1" applyFill="1" applyBorder="1" applyAlignment="1" applyProtection="1">
      <alignment vertical="center"/>
    </xf>
    <xf numFmtId="5" fontId="38" fillId="0" borderId="42" xfId="0" applyNumberFormat="1" applyFont="1" applyBorder="1"/>
    <xf numFmtId="167" fontId="45" fillId="0" borderId="10" xfId="0" applyNumberFormat="1" applyFont="1" applyBorder="1" applyAlignment="1">
      <alignment horizontal="right"/>
    </xf>
    <xf numFmtId="0" fontId="46" fillId="0" borderId="0" xfId="0" applyFont="1" applyAlignment="1">
      <alignment horizontal="left"/>
    </xf>
    <xf numFmtId="5" fontId="46" fillId="0" borderId="0" xfId="0" applyNumberFormat="1" applyFont="1" applyFill="1"/>
    <xf numFmtId="5" fontId="46" fillId="0" borderId="0" xfId="0" applyNumberFormat="1" applyFont="1" applyAlignment="1">
      <alignment horizontal="right"/>
    </xf>
    <xf numFmtId="0" fontId="36" fillId="0" borderId="35" xfId="0" applyFont="1" applyBorder="1"/>
    <xf numFmtId="0" fontId="36" fillId="0" borderId="0" xfId="0" applyFont="1" applyBorder="1"/>
    <xf numFmtId="0" fontId="20" fillId="0" borderId="0" xfId="0" applyFont="1" applyBorder="1" applyAlignment="1">
      <alignment horizontal="center"/>
    </xf>
    <xf numFmtId="6" fontId="20" fillId="0" borderId="0" xfId="0" applyNumberFormat="1" applyFont="1" applyBorder="1"/>
    <xf numFmtId="5" fontId="40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0" fontId="38" fillId="0" borderId="0" xfId="0" applyFont="1" applyBorder="1" applyAlignment="1">
      <alignment horizontal="right"/>
    </xf>
    <xf numFmtId="0" fontId="40" fillId="0" borderId="0" xfId="0" applyFont="1" applyFill="1" applyBorder="1" applyAlignment="1">
      <alignment horizontal="left"/>
    </xf>
    <xf numFmtId="167" fontId="38" fillId="0" borderId="0" xfId="0" applyNumberFormat="1" applyFont="1" applyBorder="1" applyAlignment="1">
      <alignment horizontal="right"/>
    </xf>
    <xf numFmtId="0" fontId="20" fillId="0" borderId="0" xfId="0" applyFont="1" applyFill="1" applyBorder="1"/>
    <xf numFmtId="0" fontId="40" fillId="0" borderId="0" xfId="0" applyFont="1" applyBorder="1" applyAlignment="1">
      <alignment horizontal="left"/>
    </xf>
    <xf numFmtId="5" fontId="38" fillId="0" borderId="0" xfId="0" applyNumberFormat="1" applyFont="1" applyBorder="1" applyAlignment="1">
      <alignment horizontal="right"/>
    </xf>
    <xf numFmtId="5" fontId="38" fillId="0" borderId="0" xfId="0" applyNumberFormat="1" applyFont="1" applyBorder="1"/>
    <xf numFmtId="167" fontId="45" fillId="0" borderId="0" xfId="0" applyNumberFormat="1" applyFont="1" applyBorder="1" applyAlignment="1">
      <alignment horizontal="right"/>
    </xf>
    <xf numFmtId="39" fontId="4" fillId="0" borderId="0" xfId="0" applyNumberFormat="1" applyFont="1" applyFill="1"/>
    <xf numFmtId="38" fontId="41" fillId="0" borderId="13" xfId="1" applyNumberFormat="1" applyFont="1" applyFill="1" applyBorder="1" applyAlignment="1" applyProtection="1">
      <alignment vertical="center"/>
    </xf>
    <xf numFmtId="38" fontId="41" fillId="13" borderId="13" xfId="1" applyNumberFormat="1" applyFont="1" applyFill="1" applyBorder="1" applyAlignment="1" applyProtection="1">
      <alignment vertical="center"/>
    </xf>
    <xf numFmtId="14" fontId="46" fillId="0" borderId="55" xfId="0" applyNumberFormat="1" applyFont="1" applyFill="1" applyBorder="1"/>
    <xf numFmtId="0" fontId="47" fillId="0" borderId="15" xfId="0" applyFont="1" applyFill="1" applyBorder="1"/>
    <xf numFmtId="14" fontId="46" fillId="0" borderId="55" xfId="0" applyNumberFormat="1" applyFont="1" applyFill="1" applyBorder="1" applyAlignment="1">
      <alignment horizontal="right"/>
    </xf>
    <xf numFmtId="38" fontId="0" fillId="0" borderId="24" xfId="0" applyNumberFormat="1" applyFill="1" applyBorder="1"/>
    <xf numFmtId="10" fontId="1" fillId="0" borderId="0" xfId="0" applyNumberFormat="1" applyFont="1" applyFill="1" applyAlignment="1">
      <alignment horizontal="center"/>
    </xf>
    <xf numFmtId="38" fontId="4" fillId="2" borderId="1" xfId="1" applyNumberFormat="1" applyFont="1" applyFill="1" applyBorder="1" applyAlignment="1" applyProtection="1">
      <alignment horizontal="center" vertical="center"/>
    </xf>
    <xf numFmtId="38" fontId="4" fillId="11" borderId="13" xfId="1" applyNumberFormat="1" applyFont="1" applyFill="1" applyBorder="1" applyAlignment="1" applyProtection="1">
      <alignment vertical="center"/>
    </xf>
    <xf numFmtId="38" fontId="4" fillId="17" borderId="1" xfId="1" applyNumberFormat="1" applyFont="1" applyFill="1" applyBorder="1" applyAlignment="1" applyProtection="1">
      <alignment vertical="center"/>
    </xf>
    <xf numFmtId="9" fontId="4" fillId="0" borderId="65" xfId="1" applyNumberFormat="1" applyFont="1" applyFill="1" applyBorder="1" applyAlignment="1">
      <alignment vertical="center"/>
    </xf>
    <xf numFmtId="38" fontId="4" fillId="0" borderId="26" xfId="0" applyNumberFormat="1" applyFont="1" applyFill="1" applyBorder="1"/>
    <xf numFmtId="0" fontId="1" fillId="19" borderId="0" xfId="0" applyFont="1" applyFill="1" applyBorder="1" applyAlignment="1">
      <alignment horizontal="center"/>
    </xf>
    <xf numFmtId="0" fontId="1" fillId="19" borderId="0" xfId="0" applyFont="1" applyFill="1" applyAlignment="1">
      <alignment horizontal="center"/>
    </xf>
    <xf numFmtId="38" fontId="41" fillId="15" borderId="1" xfId="1" applyNumberFormat="1" applyFont="1" applyFill="1" applyBorder="1" applyAlignment="1" applyProtection="1">
      <alignment vertical="center"/>
    </xf>
    <xf numFmtId="38" fontId="41" fillId="5" borderId="1" xfId="1" applyNumberFormat="1" applyFont="1" applyFill="1" applyBorder="1" applyAlignment="1" applyProtection="1">
      <alignment vertical="center"/>
    </xf>
    <xf numFmtId="0" fontId="0" fillId="10" borderId="0" xfId="0" applyFill="1" applyAlignment="1">
      <alignment horizontal="center"/>
    </xf>
    <xf numFmtId="0" fontId="23" fillId="10" borderId="62" xfId="0" applyFont="1" applyFill="1" applyBorder="1" applyAlignment="1">
      <alignment horizontal="center"/>
    </xf>
    <xf numFmtId="0" fontId="0" fillId="14" borderId="0" xfId="0" applyFill="1" applyBorder="1"/>
    <xf numFmtId="38" fontId="13" fillId="5" borderId="9" xfId="0" applyNumberFormat="1" applyFont="1" applyFill="1" applyBorder="1"/>
    <xf numFmtId="0" fontId="1" fillId="4" borderId="42" xfId="0" applyFont="1" applyFill="1" applyBorder="1" applyAlignment="1">
      <alignment horizontal="center"/>
    </xf>
    <xf numFmtId="0" fontId="1" fillId="10" borderId="42" xfId="0" applyFont="1" applyFill="1" applyBorder="1" applyAlignment="1">
      <alignment horizontal="center"/>
    </xf>
    <xf numFmtId="3" fontId="36" fillId="0" borderId="0" xfId="0" applyNumberFormat="1" applyFont="1" applyAlignment="1">
      <alignment horizontal="right"/>
    </xf>
    <xf numFmtId="0" fontId="1" fillId="10" borderId="0" xfId="0" applyFont="1" applyFill="1"/>
    <xf numFmtId="10" fontId="0" fillId="12" borderId="16" xfId="0" applyNumberFormat="1" applyFill="1" applyBorder="1"/>
    <xf numFmtId="0" fontId="1" fillId="4" borderId="0" xfId="0" applyFont="1" applyFill="1" applyBorder="1" applyAlignment="1">
      <alignment horizontal="center"/>
    </xf>
    <xf numFmtId="167" fontId="0" fillId="20" borderId="0" xfId="0" applyNumberFormat="1" applyFill="1"/>
    <xf numFmtId="38" fontId="4" fillId="15" borderId="3" xfId="1" applyNumberFormat="1" applyFont="1" applyFill="1" applyBorder="1" applyAlignment="1" applyProtection="1">
      <alignment vertical="center"/>
    </xf>
    <xf numFmtId="38" fontId="20" fillId="0" borderId="45" xfId="0" applyNumberFormat="1" applyFont="1" applyBorder="1" applyAlignment="1">
      <alignment horizontal="right"/>
    </xf>
    <xf numFmtId="38" fontId="20" fillId="0" borderId="0" xfId="0" applyNumberFormat="1" applyFont="1" applyBorder="1" applyAlignment="1">
      <alignment horizontal="right"/>
    </xf>
    <xf numFmtId="38" fontId="20" fillId="0" borderId="0" xfId="0" applyNumberFormat="1" applyFont="1"/>
    <xf numFmtId="0" fontId="1" fillId="0" borderId="42" xfId="0" applyFont="1" applyFill="1" applyBorder="1" applyAlignment="1">
      <alignment horizontal="center"/>
    </xf>
    <xf numFmtId="0" fontId="1" fillId="8" borderId="0" xfId="0" applyFont="1" applyFill="1"/>
    <xf numFmtId="0" fontId="1" fillId="0" borderId="0" xfId="0" applyFont="1" applyFill="1" applyAlignment="1">
      <alignment horizontal="right"/>
    </xf>
    <xf numFmtId="5" fontId="46" fillId="0" borderId="0" xfId="0" applyNumberFormat="1" applyFont="1"/>
    <xf numFmtId="0" fontId="10" fillId="19" borderId="9" xfId="0" applyFont="1" applyFill="1" applyBorder="1" applyAlignment="1">
      <alignment horizontal="center"/>
    </xf>
    <xf numFmtId="0" fontId="10" fillId="21" borderId="42" xfId="0" applyFont="1" applyFill="1" applyBorder="1" applyAlignment="1">
      <alignment horizontal="center"/>
    </xf>
    <xf numFmtId="0" fontId="10" fillId="21" borderId="9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167" fontId="20" fillId="0" borderId="0" xfId="0" applyNumberFormat="1" applyFont="1" applyFill="1" applyBorder="1" applyAlignment="1">
      <alignment horizontal="right"/>
    </xf>
    <xf numFmtId="37" fontId="1" fillId="0" borderId="0" xfId="0" applyNumberFormat="1" applyFont="1" applyBorder="1" applyAlignment="1">
      <alignment horizontal="right"/>
    </xf>
    <xf numFmtId="5" fontId="20" fillId="0" borderId="0" xfId="0" applyNumberFormat="1" applyFont="1" applyFill="1" applyBorder="1" applyAlignment="1">
      <alignment horizontal="right"/>
    </xf>
    <xf numFmtId="16" fontId="1" fillId="0" borderId="0" xfId="0" quotePrefix="1" applyNumberFormat="1" applyFont="1" applyBorder="1"/>
    <xf numFmtId="3" fontId="20" fillId="0" borderId="0" xfId="0" applyNumberFormat="1" applyFont="1" applyFill="1" applyBorder="1" applyAlignment="1">
      <alignment horizontal="right"/>
    </xf>
    <xf numFmtId="37" fontId="20" fillId="0" borderId="0" xfId="0" applyNumberFormat="1" applyFont="1" applyBorder="1" applyAlignment="1">
      <alignment horizontal="right"/>
    </xf>
    <xf numFmtId="0" fontId="1" fillId="0" borderId="0" xfId="0" applyFont="1" applyBorder="1"/>
    <xf numFmtId="3" fontId="20" fillId="0" borderId="0" xfId="0" applyNumberFormat="1" applyFont="1" applyBorder="1" applyAlignment="1">
      <alignment horizontal="right"/>
    </xf>
    <xf numFmtId="17" fontId="1" fillId="0" borderId="0" xfId="0" quotePrefix="1" applyNumberFormat="1" applyFont="1" applyBorder="1"/>
    <xf numFmtId="0" fontId="1" fillId="0" borderId="0" xfId="0" applyFont="1" applyBorder="1" applyAlignment="1">
      <alignment horizontal="left"/>
    </xf>
    <xf numFmtId="3" fontId="20" fillId="0" borderId="0" xfId="0" applyNumberFormat="1" applyFont="1" applyBorder="1"/>
    <xf numFmtId="38" fontId="4" fillId="21" borderId="24" xfId="1" applyNumberFormat="1" applyFont="1" applyFill="1" applyBorder="1" applyAlignment="1" applyProtection="1">
      <alignment vertical="center"/>
    </xf>
    <xf numFmtId="5" fontId="1" fillId="12" borderId="50" xfId="0" applyNumberFormat="1" applyFont="1" applyFill="1" applyBorder="1"/>
    <xf numFmtId="0" fontId="49" fillId="0" borderId="10" xfId="0" applyFont="1" applyBorder="1" applyAlignment="1">
      <alignment horizontal="right"/>
    </xf>
    <xf numFmtId="0" fontId="20" fillId="0" borderId="51" xfId="0" applyFont="1" applyFill="1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38" fontId="4" fillId="15" borderId="0" xfId="1" applyNumberFormat="1" applyFont="1" applyFill="1" applyBorder="1" applyAlignment="1" applyProtection="1">
      <alignment vertical="center"/>
    </xf>
    <xf numFmtId="0" fontId="20" fillId="0" borderId="32" xfId="0" applyFont="1" applyFill="1" applyBorder="1" applyAlignment="1">
      <alignment vertical="center" wrapText="1"/>
    </xf>
    <xf numFmtId="0" fontId="0" fillId="0" borderId="44" xfId="0" applyBorder="1" applyAlignment="1">
      <alignment vertical="center" wrapText="1"/>
    </xf>
    <xf numFmtId="37" fontId="12" fillId="0" borderId="0" xfId="0" applyNumberFormat="1" applyFont="1" applyAlignment="1">
      <alignment vertical="top"/>
    </xf>
    <xf numFmtId="14" fontId="1" fillId="12" borderId="16" xfId="0" applyNumberFormat="1" applyFont="1" applyFill="1" applyBorder="1"/>
    <xf numFmtId="167" fontId="1" fillId="12" borderId="16" xfId="0" applyNumberFormat="1" applyFont="1" applyFill="1" applyBorder="1"/>
    <xf numFmtId="10" fontId="1" fillId="12" borderId="16" xfId="0" applyNumberFormat="1" applyFont="1" applyFill="1" applyBorder="1"/>
    <xf numFmtId="14" fontId="0" fillId="15" borderId="55" xfId="0" applyNumberFormat="1" applyFill="1" applyBorder="1"/>
    <xf numFmtId="167" fontId="0" fillId="15" borderId="55" xfId="0" applyNumberFormat="1" applyFill="1" applyBorder="1"/>
    <xf numFmtId="10" fontId="0" fillId="15" borderId="55" xfId="0" applyNumberFormat="1" applyFill="1" applyBorder="1"/>
    <xf numFmtId="0" fontId="20" fillId="0" borderId="51" xfId="0" applyFont="1" applyFill="1" applyBorder="1" applyAlignment="1">
      <alignment vertical="center" wrapText="1"/>
    </xf>
    <xf numFmtId="0" fontId="20" fillId="0" borderId="32" xfId="0" applyFont="1" applyFill="1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167" fontId="1" fillId="0" borderId="0" xfId="0" quotePrefix="1" applyNumberFormat="1" applyFont="1" applyFill="1" applyAlignment="1">
      <alignment horizontal="right"/>
    </xf>
    <xf numFmtId="0" fontId="0" fillId="18" borderId="0" xfId="0" applyFill="1" applyAlignment="1">
      <alignment horizontal="left"/>
    </xf>
    <xf numFmtId="0" fontId="0" fillId="18" borderId="0" xfId="0" applyFill="1"/>
    <xf numFmtId="165" fontId="5" fillId="18" borderId="0" xfId="1" applyNumberFormat="1" applyFont="1" applyFill="1" applyBorder="1" applyAlignment="1">
      <alignment vertical="center"/>
    </xf>
    <xf numFmtId="168" fontId="12" fillId="0" borderId="0" xfId="0" applyNumberFormat="1" applyFont="1"/>
    <xf numFmtId="168" fontId="20" fillId="0" borderId="0" xfId="0" applyNumberFormat="1" applyFont="1"/>
    <xf numFmtId="14" fontId="1" fillId="0" borderId="0" xfId="0" applyNumberFormat="1" applyFont="1" applyAlignment="1">
      <alignment horizontal="right"/>
    </xf>
    <xf numFmtId="38" fontId="41" fillId="0" borderId="0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 applyProtection="1">
      <alignment vertical="center"/>
    </xf>
    <xf numFmtId="0" fontId="40" fillId="0" borderId="10" xfId="0" applyFont="1" applyBorder="1"/>
    <xf numFmtId="5" fontId="45" fillId="0" borderId="10" xfId="0" applyNumberFormat="1" applyFont="1" applyBorder="1"/>
    <xf numFmtId="38" fontId="48" fillId="10" borderId="24" xfId="1" applyNumberFormat="1" applyFont="1" applyFill="1" applyBorder="1" applyAlignment="1" applyProtection="1">
      <alignment vertical="center"/>
    </xf>
    <xf numFmtId="0" fontId="4" fillId="0" borderId="26" xfId="0" applyFont="1" applyFill="1" applyBorder="1" applyAlignment="1">
      <alignment horizontal="right"/>
    </xf>
    <xf numFmtId="9" fontId="4" fillId="0" borderId="65" xfId="0" applyNumberFormat="1" applyFont="1" applyFill="1" applyBorder="1"/>
    <xf numFmtId="0" fontId="1" fillId="0" borderId="1" xfId="0" applyFont="1" applyFill="1" applyBorder="1"/>
    <xf numFmtId="38" fontId="5" fillId="0" borderId="0" xfId="1" quotePrefix="1" applyNumberFormat="1" applyFont="1" applyFill="1" applyBorder="1" applyAlignment="1">
      <alignment vertical="center"/>
    </xf>
    <xf numFmtId="38" fontId="5" fillId="0" borderId="6" xfId="1" quotePrefix="1" applyNumberFormat="1" applyFont="1" applyFill="1" applyBorder="1" applyAlignment="1">
      <alignment vertical="center"/>
    </xf>
    <xf numFmtId="38" fontId="5" fillId="0" borderId="0" xfId="1" applyNumberFormat="1" applyFont="1" applyFill="1" applyBorder="1" applyAlignment="1">
      <alignment vertical="center"/>
    </xf>
    <xf numFmtId="38" fontId="5" fillId="0" borderId="6" xfId="1" applyNumberFormat="1" applyFont="1" applyFill="1" applyBorder="1" applyAlignment="1">
      <alignment vertical="center"/>
    </xf>
    <xf numFmtId="38" fontId="5" fillId="0" borderId="5" xfId="1" applyNumberFormat="1" applyFont="1" applyFill="1" applyBorder="1" applyAlignment="1" applyProtection="1">
      <alignment vertical="center"/>
    </xf>
    <xf numFmtId="38" fontId="13" fillId="0" borderId="0" xfId="0" applyNumberFormat="1" applyFont="1" applyFill="1" applyBorder="1"/>
    <xf numFmtId="38" fontId="13" fillId="0" borderId="0" xfId="1" applyNumberFormat="1" applyFont="1" applyFill="1" applyBorder="1" applyAlignment="1">
      <alignment vertical="center"/>
    </xf>
    <xf numFmtId="0" fontId="22" fillId="23" borderId="0" xfId="0" applyFont="1" applyFill="1" applyAlignment="1">
      <alignment horizontal="center"/>
    </xf>
    <xf numFmtId="38" fontId="5" fillId="23" borderId="24" xfId="1" applyNumberFormat="1" applyFont="1" applyFill="1" applyBorder="1" applyAlignment="1">
      <alignment vertical="center"/>
    </xf>
    <xf numFmtId="38" fontId="5" fillId="23" borderId="24" xfId="1" applyNumberFormat="1" applyFont="1" applyFill="1" applyBorder="1" applyAlignment="1" applyProtection="1">
      <alignment vertical="center"/>
    </xf>
    <xf numFmtId="38" fontId="5" fillId="21" borderId="24" xfId="1" applyNumberFormat="1" applyFont="1" applyFill="1" applyBorder="1" applyAlignment="1" applyProtection="1">
      <alignment vertical="center"/>
    </xf>
    <xf numFmtId="38" fontId="4" fillId="23" borderId="24" xfId="1" applyNumberFormat="1" applyFont="1" applyFill="1" applyBorder="1" applyAlignment="1" applyProtection="1">
      <alignment vertical="center"/>
    </xf>
    <xf numFmtId="0" fontId="31" fillId="0" borderId="0" xfId="0" applyFont="1" applyFill="1" applyBorder="1"/>
    <xf numFmtId="0" fontId="30" fillId="0" borderId="0" xfId="0" applyFont="1" applyFill="1" applyBorder="1" applyAlignment="1">
      <alignment horizontal="center"/>
    </xf>
    <xf numFmtId="38" fontId="5" fillId="0" borderId="0" xfId="0" applyNumberFormat="1" applyFont="1" applyFill="1" applyBorder="1"/>
    <xf numFmtId="37" fontId="12" fillId="0" borderId="0" xfId="0" applyNumberFormat="1" applyFont="1" applyBorder="1" applyAlignment="1">
      <alignment vertical="top"/>
    </xf>
    <xf numFmtId="38" fontId="1" fillId="8" borderId="0" xfId="0" applyNumberFormat="1" applyFont="1" applyFill="1"/>
    <xf numFmtId="38" fontId="4" fillId="25" borderId="24" xfId="1" applyNumberFormat="1" applyFont="1" applyFill="1" applyBorder="1" applyAlignment="1" applyProtection="1">
      <alignment vertical="center"/>
    </xf>
    <xf numFmtId="38" fontId="4" fillId="15" borderId="4" xfId="1" applyNumberFormat="1" applyFont="1" applyFill="1" applyBorder="1" applyAlignment="1" applyProtection="1">
      <alignment vertical="center"/>
      <protection locked="0"/>
    </xf>
    <xf numFmtId="38" fontId="0" fillId="0" borderId="0" xfId="0" applyNumberFormat="1" applyFill="1" applyAlignment="1" applyProtection="1">
      <alignment horizontal="left"/>
      <protection locked="0"/>
    </xf>
    <xf numFmtId="38" fontId="5" fillId="21" borderId="24" xfId="1" applyNumberFormat="1" applyFont="1" applyFill="1" applyBorder="1" applyAlignment="1" applyProtection="1">
      <alignment vertical="center"/>
      <protection locked="0"/>
    </xf>
    <xf numFmtId="6" fontId="20" fillId="0" borderId="45" xfId="0" applyNumberFormat="1" applyFont="1" applyBorder="1" applyAlignment="1">
      <alignment horizontal="right"/>
    </xf>
    <xf numFmtId="6" fontId="20" fillId="0" borderId="0" xfId="0" applyNumberFormat="1" applyFont="1" applyBorder="1" applyAlignment="1">
      <alignment horizontal="right"/>
    </xf>
    <xf numFmtId="6" fontId="20" fillId="0" borderId="0" xfId="0" applyNumberFormat="1" applyFont="1"/>
    <xf numFmtId="6" fontId="0" fillId="0" borderId="24" xfId="0" applyNumberFormat="1" applyFill="1" applyBorder="1"/>
    <xf numFmtId="0" fontId="24" fillId="0" borderId="0" xfId="0" applyFont="1" applyFill="1" applyBorder="1" applyAlignment="1">
      <alignment horizontal="center"/>
    </xf>
    <xf numFmtId="0" fontId="47" fillId="0" borderId="0" xfId="0" applyFont="1" applyFill="1" applyBorder="1"/>
    <xf numFmtId="14" fontId="46" fillId="0" borderId="0" xfId="0" applyNumberFormat="1" applyFont="1" applyFill="1" applyBorder="1"/>
    <xf numFmtId="14" fontId="46" fillId="0" borderId="0" xfId="0" applyNumberFormat="1" applyFont="1" applyFill="1" applyBorder="1" applyAlignment="1">
      <alignment horizontal="right"/>
    </xf>
    <xf numFmtId="0" fontId="0" fillId="13" borderId="9" xfId="0" applyFill="1" applyBorder="1"/>
    <xf numFmtId="165" fontId="5" fillId="13" borderId="10" xfId="1" applyNumberFormat="1" applyFont="1" applyFill="1" applyBorder="1" applyAlignment="1">
      <alignment vertical="center"/>
    </xf>
    <xf numFmtId="0" fontId="22" fillId="3" borderId="10" xfId="0" applyFont="1" applyFill="1" applyBorder="1" applyAlignment="1">
      <alignment horizontal="center"/>
    </xf>
    <xf numFmtId="38" fontId="5" fillId="3" borderId="11" xfId="1" applyNumberFormat="1" applyFont="1" applyFill="1" applyBorder="1" applyAlignment="1" applyProtection="1">
      <alignment vertical="center"/>
    </xf>
    <xf numFmtId="38" fontId="4" fillId="3" borderId="10" xfId="1" applyNumberFormat="1" applyFont="1" applyFill="1" applyBorder="1" applyAlignment="1">
      <alignment vertical="center"/>
    </xf>
    <xf numFmtId="38" fontId="4" fillId="3" borderId="10" xfId="0" applyNumberFormat="1" applyFont="1" applyFill="1" applyBorder="1" applyAlignment="1">
      <alignment vertical="center"/>
    </xf>
    <xf numFmtId="0" fontId="0" fillId="3" borderId="10" xfId="0" applyFill="1" applyBorder="1"/>
    <xf numFmtId="38" fontId="13" fillId="5" borderId="42" xfId="0" applyNumberFormat="1" applyFont="1" applyFill="1" applyBorder="1"/>
    <xf numFmtId="10" fontId="1" fillId="0" borderId="0" xfId="0" applyNumberFormat="1" applyFont="1" applyFill="1" applyAlignment="1">
      <alignment horizontal="left"/>
    </xf>
    <xf numFmtId="14" fontId="0" fillId="24" borderId="16" xfId="0" applyNumberFormat="1" applyFill="1" applyBorder="1"/>
    <xf numFmtId="167" fontId="0" fillId="24" borderId="16" xfId="0" applyNumberFormat="1" applyFill="1" applyBorder="1"/>
    <xf numFmtId="10" fontId="0" fillId="24" borderId="16" xfId="0" applyNumberFormat="1" applyFill="1" applyBorder="1"/>
    <xf numFmtId="14" fontId="1" fillId="24" borderId="16" xfId="0" applyNumberFormat="1" applyFont="1" applyFill="1" applyBorder="1"/>
    <xf numFmtId="14" fontId="0" fillId="24" borderId="55" xfId="0" applyNumberFormat="1" applyFill="1" applyBorder="1"/>
    <xf numFmtId="0" fontId="41" fillId="0" borderId="0" xfId="0" applyFont="1" applyFill="1" applyBorder="1" applyAlignment="1">
      <alignment horizontal="right"/>
    </xf>
    <xf numFmtId="38" fontId="41" fillId="0" borderId="0" xfId="0" applyNumberFormat="1" applyFont="1" applyFill="1" applyBorder="1"/>
    <xf numFmtId="0" fontId="41" fillId="0" borderId="0" xfId="0" quotePrefix="1" applyFont="1" applyFill="1" applyBorder="1" applyAlignment="1">
      <alignment horizontal="right"/>
    </xf>
    <xf numFmtId="9" fontId="41" fillId="0" borderId="0" xfId="1" applyNumberFormat="1" applyFont="1" applyFill="1" applyBorder="1" applyAlignment="1">
      <alignment vertical="center"/>
    </xf>
    <xf numFmtId="9" fontId="41" fillId="0" borderId="0" xfId="0" applyNumberFormat="1" applyFont="1" applyFill="1" applyBorder="1"/>
    <xf numFmtId="167" fontId="0" fillId="0" borderId="15" xfId="0" applyNumberFormat="1" applyFill="1" applyBorder="1"/>
    <xf numFmtId="167" fontId="0" fillId="0" borderId="55" xfId="0" applyNumberFormat="1" applyFill="1" applyBorder="1"/>
    <xf numFmtId="167" fontId="1" fillId="0" borderId="0" xfId="0" applyNumberFormat="1" applyFont="1" applyFill="1" applyAlignment="1">
      <alignment horizontal="right"/>
    </xf>
    <xf numFmtId="10" fontId="0" fillId="0" borderId="23" xfId="0" applyNumberFormat="1" applyFill="1" applyBorder="1"/>
    <xf numFmtId="38" fontId="4" fillId="12" borderId="23" xfId="1" applyNumberFormat="1" applyFont="1" applyFill="1" applyBorder="1" applyAlignment="1" applyProtection="1">
      <alignment vertical="center"/>
    </xf>
    <xf numFmtId="38" fontId="4" fillId="9" borderId="3" xfId="1" applyNumberFormat="1" applyFont="1" applyFill="1" applyBorder="1" applyAlignment="1" applyProtection="1">
      <alignment vertical="center"/>
    </xf>
    <xf numFmtId="38" fontId="4" fillId="22" borderId="23" xfId="1" applyNumberFormat="1" applyFont="1" applyFill="1" applyBorder="1" applyAlignment="1" applyProtection="1">
      <alignment vertical="center"/>
    </xf>
    <xf numFmtId="38" fontId="4" fillId="9" borderId="12" xfId="1" applyNumberFormat="1" applyFont="1" applyFill="1" applyBorder="1" applyAlignment="1" applyProtection="1">
      <alignment vertical="center"/>
    </xf>
    <xf numFmtId="38" fontId="4" fillId="3" borderId="23" xfId="1" applyNumberFormat="1" applyFont="1" applyFill="1" applyBorder="1" applyAlignment="1" applyProtection="1">
      <alignment vertical="center"/>
    </xf>
    <xf numFmtId="38" fontId="4" fillId="15" borderId="12" xfId="1" applyNumberFormat="1" applyFont="1" applyFill="1" applyBorder="1" applyAlignment="1" applyProtection="1">
      <alignment vertical="center"/>
    </xf>
    <xf numFmtId="38" fontId="4" fillId="13" borderId="23" xfId="1" applyNumberFormat="1" applyFont="1" applyFill="1" applyBorder="1" applyAlignment="1" applyProtection="1">
      <alignment vertical="center"/>
    </xf>
    <xf numFmtId="38" fontId="4" fillId="16" borderId="3" xfId="1" applyNumberFormat="1" applyFont="1" applyFill="1" applyBorder="1" applyAlignment="1" applyProtection="1">
      <alignment vertical="center"/>
    </xf>
    <xf numFmtId="38" fontId="4" fillId="16" borderId="12" xfId="1" applyNumberFormat="1" applyFont="1" applyFill="1" applyBorder="1" applyAlignment="1" applyProtection="1">
      <alignment vertical="center"/>
    </xf>
    <xf numFmtId="38" fontId="4" fillId="12" borderId="58" xfId="1" applyNumberFormat="1" applyFont="1" applyFill="1" applyBorder="1" applyAlignment="1" applyProtection="1">
      <alignment vertical="center"/>
    </xf>
    <xf numFmtId="38" fontId="4" fillId="13" borderId="58" xfId="1" applyNumberFormat="1" applyFont="1" applyFill="1" applyBorder="1" applyAlignment="1" applyProtection="1">
      <alignment vertical="center"/>
    </xf>
    <xf numFmtId="38" fontId="4" fillId="3" borderId="43" xfId="1" applyNumberFormat="1" applyFont="1" applyFill="1" applyBorder="1" applyAlignment="1" applyProtection="1">
      <alignment vertical="center"/>
    </xf>
    <xf numFmtId="38" fontId="4" fillId="12" borderId="24" xfId="1" applyNumberFormat="1" applyFont="1" applyFill="1" applyBorder="1" applyAlignment="1" applyProtection="1">
      <alignment vertical="center"/>
    </xf>
    <xf numFmtId="38" fontId="4" fillId="12" borderId="43" xfId="1" applyNumberFormat="1" applyFont="1" applyFill="1" applyBorder="1" applyAlignment="1" applyProtection="1">
      <alignment vertical="center"/>
    </xf>
    <xf numFmtId="38" fontId="4" fillId="22" borderId="43" xfId="1" applyNumberFormat="1" applyFont="1" applyFill="1" applyBorder="1" applyAlignment="1" applyProtection="1">
      <alignment vertical="center"/>
    </xf>
    <xf numFmtId="0" fontId="51" fillId="10" borderId="42" xfId="0" applyFont="1" applyFill="1" applyBorder="1" applyAlignment="1">
      <alignment horizontal="center"/>
    </xf>
    <xf numFmtId="38" fontId="4" fillId="13" borderId="43" xfId="1" applyNumberFormat="1" applyFont="1" applyFill="1" applyBorder="1" applyAlignment="1" applyProtection="1">
      <alignment vertical="center"/>
    </xf>
    <xf numFmtId="38" fontId="4" fillId="5" borderId="3" xfId="1" applyNumberFormat="1" applyFont="1" applyFill="1" applyBorder="1" applyAlignment="1" applyProtection="1">
      <alignment vertical="center"/>
    </xf>
    <xf numFmtId="38" fontId="4" fillId="0" borderId="67" xfId="1" applyNumberFormat="1" applyFont="1" applyFill="1" applyBorder="1" applyAlignment="1" applyProtection="1">
      <alignment vertical="center"/>
    </xf>
    <xf numFmtId="38" fontId="4" fillId="5" borderId="66" xfId="1" applyNumberFormat="1" applyFont="1" applyFill="1" applyBorder="1" applyAlignment="1" applyProtection="1">
      <alignment vertical="center"/>
    </xf>
    <xf numFmtId="38" fontId="4" fillId="17" borderId="23" xfId="1" applyNumberFormat="1" applyFont="1" applyFill="1" applyBorder="1" applyAlignment="1" applyProtection="1">
      <alignment vertical="center"/>
    </xf>
    <xf numFmtId="38" fontId="41" fillId="13" borderId="23" xfId="1" applyNumberFormat="1" applyFont="1" applyFill="1" applyBorder="1" applyAlignment="1" applyProtection="1">
      <alignment vertical="center"/>
    </xf>
    <xf numFmtId="38" fontId="4" fillId="24" borderId="1" xfId="1" applyNumberFormat="1" applyFont="1" applyFill="1" applyBorder="1" applyAlignment="1" applyProtection="1">
      <alignment vertical="center"/>
    </xf>
    <xf numFmtId="38" fontId="6" fillId="24" borderId="1" xfId="1" applyNumberFormat="1" applyFont="1" applyFill="1" applyBorder="1" applyAlignment="1" applyProtection="1">
      <alignment vertical="center"/>
    </xf>
    <xf numFmtId="38" fontId="4" fillId="24" borderId="13" xfId="1" applyNumberFormat="1" applyFont="1" applyFill="1" applyBorder="1" applyAlignment="1" applyProtection="1">
      <alignment vertical="center"/>
    </xf>
    <xf numFmtId="38" fontId="4" fillId="24" borderId="3" xfId="1" applyNumberFormat="1" applyFont="1" applyFill="1" applyBorder="1" applyAlignment="1" applyProtection="1">
      <alignment vertical="center"/>
      <protection locked="0"/>
    </xf>
    <xf numFmtId="38" fontId="4" fillId="24" borderId="3" xfId="1" applyNumberFormat="1" applyFont="1" applyFill="1" applyBorder="1" applyAlignment="1" applyProtection="1">
      <alignment vertical="center"/>
    </xf>
    <xf numFmtId="0" fontId="0" fillId="24" borderId="0" xfId="0" applyFill="1"/>
    <xf numFmtId="38" fontId="4" fillId="24" borderId="4" xfId="1" applyNumberFormat="1" applyFont="1" applyFill="1" applyBorder="1" applyAlignment="1" applyProtection="1">
      <alignment vertical="center"/>
    </xf>
    <xf numFmtId="38" fontId="4" fillId="24" borderId="14" xfId="1" applyNumberFormat="1" applyFont="1" applyFill="1" applyBorder="1" applyAlignment="1" applyProtection="1">
      <alignment vertical="center"/>
    </xf>
    <xf numFmtId="38" fontId="4" fillId="24" borderId="4" xfId="1" applyNumberFormat="1" applyFont="1" applyFill="1" applyBorder="1" applyAlignment="1" applyProtection="1">
      <alignment vertical="center"/>
      <protection locked="0"/>
    </xf>
    <xf numFmtId="0" fontId="1" fillId="24" borderId="1" xfId="0" applyFont="1" applyFill="1" applyBorder="1"/>
    <xf numFmtId="0" fontId="1" fillId="24" borderId="0" xfId="0" applyFont="1" applyFill="1"/>
    <xf numFmtId="38" fontId="48" fillId="21" borderId="38" xfId="1" applyNumberFormat="1" applyFont="1" applyFill="1" applyBorder="1" applyAlignment="1" applyProtection="1">
      <alignment vertical="center"/>
    </xf>
    <xf numFmtId="0" fontId="39" fillId="0" borderId="0" xfId="0" applyFont="1" applyFill="1" applyBorder="1"/>
    <xf numFmtId="0" fontId="38" fillId="0" borderId="0" xfId="0" applyFont="1" applyFill="1" applyBorder="1" applyAlignment="1">
      <alignment horizontal="right"/>
    </xf>
    <xf numFmtId="0" fontId="38" fillId="13" borderId="0" xfId="0" applyFont="1" applyFill="1"/>
    <xf numFmtId="38" fontId="5" fillId="13" borderId="2" xfId="1" applyNumberFormat="1" applyFont="1" applyFill="1" applyBorder="1" applyAlignment="1" applyProtection="1">
      <alignment vertical="center"/>
    </xf>
    <xf numFmtId="38" fontId="48" fillId="10" borderId="56" xfId="1" applyNumberFormat="1" applyFont="1" applyFill="1" applyBorder="1" applyAlignment="1" applyProtection="1">
      <alignment vertical="center"/>
    </xf>
    <xf numFmtId="38" fontId="48" fillId="10" borderId="1" xfId="1" applyNumberFormat="1" applyFont="1" applyFill="1" applyBorder="1" applyAlignment="1" applyProtection="1">
      <alignment vertical="center"/>
    </xf>
    <xf numFmtId="38" fontId="5" fillId="20" borderId="1" xfId="1" applyNumberFormat="1" applyFont="1" applyFill="1" applyBorder="1" applyAlignment="1" applyProtection="1">
      <alignment vertical="center"/>
    </xf>
    <xf numFmtId="38" fontId="5" fillId="20" borderId="12" xfId="1" applyNumberFormat="1" applyFont="1" applyFill="1" applyBorder="1" applyAlignment="1" applyProtection="1">
      <alignment vertical="center"/>
    </xf>
    <xf numFmtId="0" fontId="4" fillId="0" borderId="0" xfId="0" quotePrefix="1" applyFont="1" applyFill="1" applyBorder="1" applyAlignment="1">
      <alignment horizontal="right"/>
    </xf>
    <xf numFmtId="38" fontId="4" fillId="10" borderId="25" xfId="1" applyNumberFormat="1" applyFont="1" applyFill="1" applyBorder="1" applyAlignment="1" applyProtection="1"/>
    <xf numFmtId="38" fontId="4" fillId="10" borderId="3" xfId="1" applyNumberFormat="1" applyFont="1" applyFill="1" applyBorder="1" applyAlignment="1" applyProtection="1"/>
    <xf numFmtId="167" fontId="50" fillId="0" borderId="23" xfId="0" applyNumberFormat="1" applyFont="1" applyFill="1" applyBorder="1"/>
    <xf numFmtId="9" fontId="0" fillId="26" borderId="24" xfId="0" applyNumberFormat="1" applyFill="1" applyBorder="1"/>
    <xf numFmtId="0" fontId="1" fillId="0" borderId="0" xfId="0" applyFont="1" applyFill="1" applyAlignment="1">
      <alignment horizontal="center"/>
    </xf>
    <xf numFmtId="0" fontId="51" fillId="0" borderId="4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17" borderId="0" xfId="0" applyFill="1"/>
    <xf numFmtId="165" fontId="5" fillId="17" borderId="0" xfId="1" applyNumberFormat="1" applyFont="1" applyFill="1" applyBorder="1" applyAlignment="1">
      <alignment vertical="center"/>
    </xf>
    <xf numFmtId="0" fontId="22" fillId="17" borderId="0" xfId="0" applyFont="1" applyFill="1" applyAlignment="1">
      <alignment horizontal="center"/>
    </xf>
    <xf numFmtId="38" fontId="5" fillId="17" borderId="2" xfId="1" applyNumberFormat="1" applyFont="1" applyFill="1" applyBorder="1" applyAlignment="1" applyProtection="1">
      <alignment vertical="center"/>
    </xf>
    <xf numFmtId="38" fontId="4" fillId="17" borderId="3" xfId="1" applyNumberFormat="1" applyFont="1" applyFill="1" applyBorder="1" applyAlignment="1" applyProtection="1"/>
    <xf numFmtId="38" fontId="4" fillId="17" borderId="4" xfId="1" applyNumberFormat="1" applyFont="1" applyFill="1" applyBorder="1" applyAlignment="1" applyProtection="1">
      <alignment vertical="center"/>
    </xf>
    <xf numFmtId="38" fontId="5" fillId="17" borderId="6" xfId="1" quotePrefix="1" applyNumberFormat="1" applyFont="1" applyFill="1" applyBorder="1" applyAlignment="1">
      <alignment vertical="center"/>
    </xf>
    <xf numFmtId="38" fontId="4" fillId="17" borderId="3" xfId="1" applyNumberFormat="1" applyFont="1" applyFill="1" applyBorder="1" applyAlignment="1" applyProtection="1">
      <alignment vertical="center"/>
    </xf>
    <xf numFmtId="38" fontId="5" fillId="17" borderId="6" xfId="1" applyNumberFormat="1" applyFont="1" applyFill="1" applyBorder="1" applyAlignment="1">
      <alignment vertical="center"/>
    </xf>
    <xf numFmtId="38" fontId="4" fillId="17" borderId="3" xfId="1" applyNumberFormat="1" applyFont="1" applyFill="1" applyBorder="1" applyAlignment="1">
      <alignment vertical="center"/>
    </xf>
    <xf numFmtId="38" fontId="4" fillId="17" borderId="1" xfId="1" applyNumberFormat="1" applyFont="1" applyFill="1" applyBorder="1" applyAlignment="1">
      <alignment vertical="center"/>
    </xf>
    <xf numFmtId="38" fontId="4" fillId="17" borderId="4" xfId="1" applyNumberFormat="1" applyFont="1" applyFill="1" applyBorder="1" applyAlignment="1">
      <alignment vertical="center"/>
    </xf>
    <xf numFmtId="38" fontId="5" fillId="17" borderId="5" xfId="1" applyNumberFormat="1" applyFont="1" applyFill="1" applyBorder="1" applyAlignment="1" applyProtection="1">
      <alignment vertical="center"/>
    </xf>
    <xf numFmtId="38" fontId="4" fillId="17" borderId="0" xfId="1" applyNumberFormat="1" applyFont="1" applyFill="1" applyBorder="1" applyAlignment="1" applyProtection="1">
      <alignment vertical="center"/>
    </xf>
    <xf numFmtId="38" fontId="4" fillId="17" borderId="0" xfId="1" applyNumberFormat="1" applyFont="1" applyFill="1" applyBorder="1" applyAlignment="1">
      <alignment vertical="center"/>
    </xf>
    <xf numFmtId="38" fontId="7" fillId="17" borderId="0" xfId="1" applyNumberFormat="1" applyFont="1" applyFill="1" applyBorder="1" applyAlignment="1" applyProtection="1">
      <alignment vertical="center"/>
    </xf>
    <xf numFmtId="38" fontId="4" fillId="17" borderId="0" xfId="0" applyNumberFormat="1" applyFont="1" applyFill="1" applyBorder="1" applyAlignment="1">
      <alignment vertical="center"/>
    </xf>
    <xf numFmtId="38" fontId="13" fillId="17" borderId="0" xfId="0" applyNumberFormat="1" applyFont="1" applyFill="1"/>
    <xf numFmtId="38" fontId="43" fillId="14" borderId="1" xfId="1" applyNumberFormat="1" applyFont="1" applyFill="1" applyBorder="1" applyAlignment="1" applyProtection="1">
      <alignment vertical="center"/>
    </xf>
    <xf numFmtId="0" fontId="10" fillId="0" borderId="42" xfId="0" applyFont="1" applyFill="1" applyBorder="1" applyAlignment="1">
      <alignment horizontal="center"/>
    </xf>
    <xf numFmtId="9" fontId="0" fillId="24" borderId="24" xfId="0" applyNumberFormat="1" applyFill="1" applyBorder="1"/>
    <xf numFmtId="9" fontId="20" fillId="26" borderId="24" xfId="0" applyNumberFormat="1" applyFont="1" applyFill="1" applyBorder="1"/>
    <xf numFmtId="9" fontId="1" fillId="23" borderId="24" xfId="0" applyNumberFormat="1" applyFont="1" applyFill="1" applyBorder="1"/>
    <xf numFmtId="38" fontId="4" fillId="10" borderId="12" xfId="1" applyNumberFormat="1" applyFont="1" applyFill="1" applyBorder="1" applyAlignment="1" applyProtection="1"/>
    <xf numFmtId="38" fontId="43" fillId="14" borderId="13" xfId="1" applyNumberFormat="1" applyFont="1" applyFill="1" applyBorder="1" applyAlignment="1" applyProtection="1">
      <alignment vertical="center"/>
    </xf>
    <xf numFmtId="38" fontId="4" fillId="15" borderId="14" xfId="1" applyNumberFormat="1" applyFont="1" applyFill="1" applyBorder="1" applyAlignment="1" applyProtection="1">
      <alignment vertical="center"/>
    </xf>
    <xf numFmtId="0" fontId="4" fillId="26" borderId="0" xfId="0" applyFont="1" applyFill="1"/>
    <xf numFmtId="0" fontId="38" fillId="26" borderId="0" xfId="0" applyFont="1" applyFill="1"/>
    <xf numFmtId="0" fontId="0" fillId="26" borderId="0" xfId="0" applyFill="1"/>
    <xf numFmtId="165" fontId="5" fillId="26" borderId="0" xfId="1" applyNumberFormat="1" applyFont="1" applyFill="1" applyBorder="1" applyAlignment="1">
      <alignment vertical="center"/>
    </xf>
    <xf numFmtId="0" fontId="39" fillId="26" borderId="0" xfId="0" applyFont="1" applyFill="1" applyAlignment="1">
      <alignment horizontal="center"/>
    </xf>
    <xf numFmtId="38" fontId="4" fillId="22" borderId="68" xfId="1" applyNumberFormat="1" applyFont="1" applyFill="1" applyBorder="1" applyAlignment="1" applyProtection="1">
      <alignment vertical="center"/>
    </xf>
    <xf numFmtId="0" fontId="10" fillId="10" borderId="42" xfId="0" applyFont="1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20" fillId="10" borderId="0" xfId="0" applyFont="1" applyFill="1"/>
    <xf numFmtId="167" fontId="20" fillId="0" borderId="0" xfId="0" applyNumberFormat="1" applyFont="1"/>
    <xf numFmtId="0" fontId="22" fillId="26" borderId="0" xfId="0" applyFont="1" applyFill="1" applyAlignment="1">
      <alignment horizontal="center"/>
    </xf>
    <xf numFmtId="38" fontId="4" fillId="12" borderId="0" xfId="1" applyNumberFormat="1" applyFont="1" applyFill="1" applyBorder="1" applyAlignment="1">
      <alignment vertical="center"/>
    </xf>
    <xf numFmtId="38" fontId="42" fillId="13" borderId="0" xfId="1" applyNumberFormat="1" applyFont="1" applyFill="1" applyBorder="1" applyAlignment="1">
      <alignment vertical="center"/>
    </xf>
    <xf numFmtId="10" fontId="52" fillId="0" borderId="24" xfId="0" applyNumberFormat="1" applyFont="1" applyFill="1" applyBorder="1"/>
    <xf numFmtId="38" fontId="4" fillId="3" borderId="58" xfId="1" applyNumberFormat="1" applyFont="1" applyFill="1" applyBorder="1" applyAlignment="1" applyProtection="1">
      <alignment vertical="center"/>
    </xf>
    <xf numFmtId="38" fontId="42" fillId="24" borderId="1" xfId="1" applyNumberFormat="1" applyFont="1" applyFill="1" applyBorder="1" applyAlignment="1" applyProtection="1">
      <alignment vertical="center"/>
    </xf>
    <xf numFmtId="38" fontId="42" fillId="21" borderId="24" xfId="1" applyNumberFormat="1" applyFont="1" applyFill="1" applyBorder="1" applyAlignment="1" applyProtection="1">
      <alignment vertical="center"/>
    </xf>
    <xf numFmtId="38" fontId="53" fillId="21" borderId="24" xfId="1" applyNumberFormat="1" applyFont="1" applyFill="1" applyBorder="1" applyAlignment="1" applyProtection="1">
      <alignment vertical="center"/>
    </xf>
    <xf numFmtId="5" fontId="45" fillId="0" borderId="42" xfId="0" applyNumberFormat="1" applyFont="1" applyBorder="1"/>
    <xf numFmtId="5" fontId="31" fillId="0" borderId="0" xfId="0" applyNumberFormat="1" applyFont="1" applyAlignment="1">
      <alignment horizontal="right"/>
    </xf>
    <xf numFmtId="0" fontId="54" fillId="0" borderId="0" xfId="0" applyFont="1" applyAlignment="1">
      <alignment horizontal="left"/>
    </xf>
    <xf numFmtId="5" fontId="31" fillId="0" borderId="0" xfId="0" applyNumberFormat="1" applyFont="1" applyBorder="1" applyAlignment="1">
      <alignment horizontal="right"/>
    </xf>
    <xf numFmtId="5" fontId="45" fillId="0" borderId="10" xfId="0" applyNumberFormat="1" applyFont="1" applyBorder="1" applyAlignment="1">
      <alignment horizontal="right"/>
    </xf>
    <xf numFmtId="5" fontId="1" fillId="12" borderId="69" xfId="0" applyNumberFormat="1" applyFont="1" applyFill="1" applyBorder="1"/>
    <xf numFmtId="0" fontId="1" fillId="12" borderId="70" xfId="0" applyFont="1" applyFill="1" applyBorder="1"/>
    <xf numFmtId="5" fontId="1" fillId="12" borderId="71" xfId="0" applyNumberFormat="1" applyFont="1" applyFill="1" applyBorder="1"/>
    <xf numFmtId="0" fontId="1" fillId="0" borderId="70" xfId="0" applyFont="1" applyBorder="1"/>
    <xf numFmtId="5" fontId="20" fillId="5" borderId="72" xfId="0" applyNumberFormat="1" applyFont="1" applyFill="1" applyBorder="1"/>
    <xf numFmtId="5" fontId="20" fillId="5" borderId="73" xfId="0" applyNumberFormat="1" applyFont="1" applyFill="1" applyBorder="1"/>
    <xf numFmtId="5" fontId="20" fillId="5" borderId="74" xfId="0" applyNumberFormat="1" applyFont="1" applyFill="1" applyBorder="1"/>
    <xf numFmtId="5" fontId="20" fillId="0" borderId="73" xfId="0" applyNumberFormat="1" applyFont="1" applyFill="1" applyBorder="1"/>
    <xf numFmtId="5" fontId="20" fillId="12" borderId="75" xfId="0" applyNumberFormat="1" applyFont="1" applyFill="1" applyBorder="1"/>
    <xf numFmtId="5" fontId="20" fillId="2" borderId="72" xfId="0" applyNumberFormat="1" applyFont="1" applyFill="1" applyBorder="1"/>
    <xf numFmtId="5" fontId="20" fillId="2" borderId="73" xfId="0" applyNumberFormat="1" applyFont="1" applyFill="1" applyBorder="1"/>
    <xf numFmtId="5" fontId="20" fillId="2" borderId="74" xfId="0" applyNumberFormat="1" applyFont="1" applyFill="1" applyBorder="1"/>
    <xf numFmtId="5" fontId="20" fillId="5" borderId="75" xfId="0" applyNumberFormat="1" applyFont="1" applyFill="1" applyBorder="1"/>
    <xf numFmtId="5" fontId="46" fillId="0" borderId="73" xfId="0" applyNumberFormat="1" applyFont="1" applyBorder="1"/>
    <xf numFmtId="5" fontId="52" fillId="0" borderId="77" xfId="0" applyNumberFormat="1" applyFont="1" applyBorder="1"/>
    <xf numFmtId="5" fontId="46" fillId="27" borderId="76" xfId="0" applyNumberFormat="1" applyFont="1" applyFill="1" applyBorder="1"/>
    <xf numFmtId="0" fontId="12" fillId="27" borderId="32" xfId="0" applyFont="1" applyFill="1" applyBorder="1" applyAlignment="1">
      <alignment horizontal="left"/>
    </xf>
    <xf numFmtId="0" fontId="20" fillId="27" borderId="48" xfId="0" applyFont="1" applyFill="1" applyBorder="1"/>
    <xf numFmtId="5" fontId="46" fillId="27" borderId="46" xfId="0" applyNumberFormat="1" applyFont="1" applyFill="1" applyBorder="1"/>
    <xf numFmtId="0" fontId="12" fillId="27" borderId="0" xfId="0" applyFont="1" applyFill="1" applyBorder="1" applyAlignment="1">
      <alignment horizontal="left"/>
    </xf>
    <xf numFmtId="0" fontId="20" fillId="27" borderId="49" xfId="0" applyFont="1" applyFill="1" applyBorder="1"/>
    <xf numFmtId="0" fontId="20" fillId="27" borderId="47" xfId="0" applyFont="1" applyFill="1" applyBorder="1"/>
    <xf numFmtId="0" fontId="12" fillId="27" borderId="44" xfId="0" applyFont="1" applyFill="1" applyBorder="1" applyAlignment="1">
      <alignment horizontal="left"/>
    </xf>
    <xf numFmtId="0" fontId="55" fillId="0" borderId="10" xfId="0" applyFont="1" applyBorder="1" applyAlignment="1">
      <alignment horizontal="right"/>
    </xf>
    <xf numFmtId="5" fontId="52" fillId="27" borderId="78" xfId="0" applyNumberFormat="1" applyFont="1" applyFill="1" applyBorder="1"/>
    <xf numFmtId="0" fontId="20" fillId="27" borderId="79" xfId="0" applyFont="1" applyFill="1" applyBorder="1"/>
    <xf numFmtId="5" fontId="52" fillId="27" borderId="80" xfId="0" applyNumberFormat="1" applyFont="1" applyFill="1" applyBorder="1"/>
    <xf numFmtId="167" fontId="56" fillId="0" borderId="10" xfId="0" applyNumberFormat="1" applyFont="1" applyBorder="1" applyAlignment="1">
      <alignment horizontal="right"/>
    </xf>
    <xf numFmtId="40" fontId="0" fillId="0" borderId="0" xfId="0" applyNumberFormat="1" applyFill="1"/>
    <xf numFmtId="0" fontId="50" fillId="0" borderId="0" xfId="0" applyFont="1" applyFill="1" applyAlignment="1">
      <alignment horizontal="right"/>
    </xf>
    <xf numFmtId="4" fontId="57" fillId="0" borderId="0" xfId="0" applyNumberFormat="1" applyFont="1" applyFill="1" applyAlignment="1">
      <alignment horizontal="center"/>
    </xf>
    <xf numFmtId="38" fontId="43" fillId="15" borderId="1" xfId="1" applyNumberFormat="1" applyFont="1" applyFill="1" applyBorder="1" applyAlignment="1" applyProtection="1">
      <alignment vertical="center"/>
    </xf>
    <xf numFmtId="5" fontId="58" fillId="0" borderId="0" xfId="0" applyNumberFormat="1" applyFont="1" applyBorder="1" applyAlignment="1">
      <alignment horizontal="left"/>
    </xf>
    <xf numFmtId="38" fontId="4" fillId="10" borderId="24" xfId="1" applyNumberFormat="1" applyFont="1" applyFill="1" applyBorder="1" applyAlignment="1" applyProtection="1">
      <alignment vertical="center"/>
    </xf>
    <xf numFmtId="16" fontId="22" fillId="23" borderId="0" xfId="0" quotePrefix="1" applyNumberFormat="1" applyFont="1" applyFill="1" applyAlignment="1">
      <alignment horizontal="center"/>
    </xf>
    <xf numFmtId="38" fontId="42" fillId="10" borderId="24" xfId="1" applyNumberFormat="1" applyFont="1" applyFill="1" applyBorder="1" applyAlignment="1" applyProtection="1">
      <alignment vertical="center"/>
    </xf>
    <xf numFmtId="38" fontId="53" fillId="23" borderId="24" xfId="1" applyNumberFormat="1" applyFont="1" applyFill="1" applyBorder="1" applyAlignment="1" applyProtection="1">
      <alignment vertical="center"/>
    </xf>
    <xf numFmtId="38" fontId="53" fillId="21" borderId="23" xfId="1" applyNumberFormat="1" applyFont="1" applyFill="1" applyBorder="1" applyAlignment="1" applyProtection="1">
      <alignment vertical="center"/>
    </xf>
    <xf numFmtId="0" fontId="49" fillId="0" borderId="0" xfId="0" applyFont="1" applyBorder="1" applyAlignment="1">
      <alignment horizontal="right"/>
    </xf>
    <xf numFmtId="0" fontId="40" fillId="0" borderId="0" xfId="0" applyFont="1" applyBorder="1"/>
    <xf numFmtId="5" fontId="45" fillId="0" borderId="0" xfId="0" applyNumberFormat="1" applyFont="1" applyBorder="1"/>
    <xf numFmtId="0" fontId="5" fillId="0" borderId="9" xfId="0" applyFont="1" applyFill="1" applyBorder="1" applyAlignment="1">
      <alignment horizontal="center" wrapText="1"/>
    </xf>
    <xf numFmtId="0" fontId="4" fillId="0" borderId="42" xfId="0" applyFont="1" applyBorder="1" applyAlignment="1">
      <alignment horizontal="center" wrapText="1"/>
    </xf>
    <xf numFmtId="0" fontId="20" fillId="0" borderId="51" xfId="0" applyFont="1" applyFill="1" applyBorder="1" applyAlignment="1">
      <alignment vertical="center" wrapText="1"/>
    </xf>
    <xf numFmtId="0" fontId="20" fillId="0" borderId="32" xfId="0" applyFont="1" applyFill="1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20" fillId="0" borderId="48" xfId="0" applyFont="1" applyFill="1" applyBorder="1" applyAlignment="1">
      <alignment vertical="center" wrapText="1"/>
    </xf>
    <xf numFmtId="0" fontId="20" fillId="0" borderId="47" xfId="0" applyFont="1" applyFill="1" applyBorder="1" applyAlignment="1">
      <alignment vertical="center" wrapText="1"/>
    </xf>
    <xf numFmtId="0" fontId="20" fillId="0" borderId="50" xfId="0" applyFont="1" applyFill="1" applyBorder="1" applyAlignment="1">
      <alignment vertical="center" wrapText="1"/>
    </xf>
    <xf numFmtId="0" fontId="1" fillId="0" borderId="51" xfId="0" applyFont="1" applyFill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0100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FF99"/>
      <color rgb="FF00FFFF"/>
      <color rgb="FFFCD5B4"/>
      <color rgb="FF99CCFF"/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19050</xdr:rowOff>
    </xdr:from>
    <xdr:to>
      <xdr:col>2</xdr:col>
      <xdr:colOff>0</xdr:colOff>
      <xdr:row>61</xdr:row>
      <xdr:rowOff>142875</xdr:rowOff>
    </xdr:to>
    <xdr:sp macro="" textlink="">
      <xdr:nvSpPr>
        <xdr:cNvPr id="176089" name="Line 1"/>
        <xdr:cNvSpPr>
          <a:spLocks noChangeShapeType="1"/>
        </xdr:cNvSpPr>
      </xdr:nvSpPr>
      <xdr:spPr bwMode="auto">
        <a:xfrm>
          <a:off x="2114550" y="9677400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2</xdr:col>
      <xdr:colOff>0</xdr:colOff>
      <xdr:row>61</xdr:row>
      <xdr:rowOff>142875</xdr:rowOff>
    </xdr:to>
    <xdr:sp macro="" textlink="">
      <xdr:nvSpPr>
        <xdr:cNvPr id="176090" name="Line 2"/>
        <xdr:cNvSpPr>
          <a:spLocks noChangeShapeType="1"/>
        </xdr:cNvSpPr>
      </xdr:nvSpPr>
      <xdr:spPr bwMode="auto">
        <a:xfrm>
          <a:off x="2114550" y="9639300"/>
          <a:ext cx="0" cy="13620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34</xdr:row>
      <xdr:rowOff>114300</xdr:rowOff>
    </xdr:from>
    <xdr:to>
      <xdr:col>2</xdr:col>
      <xdr:colOff>0</xdr:colOff>
      <xdr:row>35</xdr:row>
      <xdr:rowOff>95250</xdr:rowOff>
    </xdr:to>
    <xdr:cxnSp macro="">
      <xdr:nvCxnSpPr>
        <xdr:cNvPr id="176091" name="AutoShape 3"/>
        <xdr:cNvCxnSpPr>
          <a:cxnSpLocks noChangeShapeType="1"/>
        </xdr:cNvCxnSpPr>
      </xdr:nvCxnSpPr>
      <xdr:spPr bwMode="auto">
        <a:xfrm rot="5400000" flipH="1" flipV="1">
          <a:off x="2038350" y="6419850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6092" name="Line 4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6093" name="Line 5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6094" name="Line 6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6095" name="Line 7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176096" name="Line 8"/>
        <xdr:cNvSpPr>
          <a:spLocks noChangeShapeType="1"/>
        </xdr:cNvSpPr>
      </xdr:nvSpPr>
      <xdr:spPr bwMode="auto">
        <a:xfrm>
          <a:off x="2114550" y="4762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6097" name="Line 9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6098" name="Line 10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76099" name="AutoShape 11"/>
        <xdr:cNvCxnSpPr>
          <a:cxnSpLocks noChangeShapeType="1"/>
        </xdr:cNvCxnSpPr>
      </xdr:nvCxnSpPr>
      <xdr:spPr bwMode="auto">
        <a:xfrm>
          <a:off x="2114550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0</xdr:colOff>
      <xdr:row>60</xdr:row>
      <xdr:rowOff>123825</xdr:rowOff>
    </xdr:to>
    <xdr:sp macro="" textlink="">
      <xdr:nvSpPr>
        <xdr:cNvPr id="176100" name="Line 12"/>
        <xdr:cNvSpPr>
          <a:spLocks noChangeShapeType="1"/>
        </xdr:cNvSpPr>
      </xdr:nvSpPr>
      <xdr:spPr bwMode="auto">
        <a:xfrm>
          <a:off x="2114550" y="9658350"/>
          <a:ext cx="0" cy="1152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6101" name="Line 13"/>
        <xdr:cNvSpPr>
          <a:spLocks noChangeShapeType="1"/>
        </xdr:cNvSpPr>
      </xdr:nvSpPr>
      <xdr:spPr bwMode="auto">
        <a:xfrm>
          <a:off x="2114550" y="11029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6102" name="Line 14"/>
        <xdr:cNvSpPr>
          <a:spLocks noChangeShapeType="1"/>
        </xdr:cNvSpPr>
      </xdr:nvSpPr>
      <xdr:spPr bwMode="auto">
        <a:xfrm>
          <a:off x="2114550" y="11029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51</xdr:row>
      <xdr:rowOff>9525</xdr:rowOff>
    </xdr:from>
    <xdr:to>
      <xdr:col>2</xdr:col>
      <xdr:colOff>0</xdr:colOff>
      <xdr:row>53</xdr:row>
      <xdr:rowOff>161925</xdr:rowOff>
    </xdr:to>
    <xdr:sp macro="" textlink="">
      <xdr:nvSpPr>
        <xdr:cNvPr id="68623" name="AutoShape 15"/>
        <xdr:cNvSpPr>
          <a:spLocks noChangeArrowheads="1"/>
        </xdr:cNvSpPr>
      </xdr:nvSpPr>
      <xdr:spPr bwMode="auto">
        <a:xfrm>
          <a:off x="2114550" y="9153525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65</xdr:row>
      <xdr:rowOff>19050</xdr:rowOff>
    </xdr:to>
    <xdr:sp macro="" textlink="">
      <xdr:nvSpPr>
        <xdr:cNvPr id="176104" name="Line 16"/>
        <xdr:cNvSpPr>
          <a:spLocks noChangeShapeType="1"/>
        </xdr:cNvSpPr>
      </xdr:nvSpPr>
      <xdr:spPr bwMode="auto">
        <a:xfrm flipV="1">
          <a:off x="2114550" y="11058525"/>
          <a:ext cx="0" cy="5715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57150</xdr:rowOff>
    </xdr:from>
    <xdr:to>
      <xdr:col>2</xdr:col>
      <xdr:colOff>0</xdr:colOff>
      <xdr:row>65</xdr:row>
      <xdr:rowOff>9525</xdr:rowOff>
    </xdr:to>
    <xdr:sp macro="" textlink="">
      <xdr:nvSpPr>
        <xdr:cNvPr id="176105" name="Line 17"/>
        <xdr:cNvSpPr>
          <a:spLocks noChangeShapeType="1"/>
        </xdr:cNvSpPr>
      </xdr:nvSpPr>
      <xdr:spPr bwMode="auto">
        <a:xfrm flipV="1">
          <a:off x="2114550" y="11087100"/>
          <a:ext cx="0" cy="5334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64</xdr:row>
      <xdr:rowOff>142875</xdr:rowOff>
    </xdr:to>
    <xdr:sp macro="" textlink="">
      <xdr:nvSpPr>
        <xdr:cNvPr id="176106" name="Line 18"/>
        <xdr:cNvSpPr>
          <a:spLocks noChangeShapeType="1"/>
        </xdr:cNvSpPr>
      </xdr:nvSpPr>
      <xdr:spPr bwMode="auto">
        <a:xfrm flipV="1">
          <a:off x="2114550" y="11058525"/>
          <a:ext cx="0" cy="5048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253</xdr:col>
      <xdr:colOff>323850</xdr:colOff>
      <xdr:row>0</xdr:row>
      <xdr:rowOff>0</xdr:rowOff>
    </xdr:from>
    <xdr:to>
      <xdr:col>255</xdr:col>
      <xdr:colOff>180975</xdr:colOff>
      <xdr:row>4</xdr:row>
      <xdr:rowOff>142875</xdr:rowOff>
    </xdr:to>
    <xdr:grpSp>
      <xdr:nvGrpSpPr>
        <xdr:cNvPr id="176107" name="Group 19"/>
        <xdr:cNvGrpSpPr>
          <a:grpSpLocks/>
        </xdr:cNvGrpSpPr>
      </xdr:nvGrpSpPr>
      <xdr:grpSpPr bwMode="auto">
        <a:xfrm>
          <a:off x="205566893" y="0"/>
          <a:ext cx="1480517" cy="1095375"/>
          <a:chOff x="111" y="13"/>
          <a:chExt cx="256" cy="109"/>
        </a:xfrm>
      </xdr:grpSpPr>
      <xdr:sp macro="" textlink="">
        <xdr:nvSpPr>
          <xdr:cNvPr id="176108" name="Line 20"/>
          <xdr:cNvSpPr>
            <a:spLocks noChangeShapeType="1"/>
          </xdr:cNvSpPr>
        </xdr:nvSpPr>
        <xdr:spPr bwMode="auto">
          <a:xfrm rot="-5400000">
            <a:off x="302" y="-17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176109" name="Line 21"/>
          <xdr:cNvSpPr>
            <a:spLocks noChangeShapeType="1"/>
          </xdr:cNvSpPr>
        </xdr:nvSpPr>
        <xdr:spPr bwMode="auto">
          <a:xfrm>
            <a:off x="231" y="13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6110" name="Line 22"/>
          <xdr:cNvSpPr>
            <a:spLocks noChangeShapeType="1"/>
          </xdr:cNvSpPr>
        </xdr:nvSpPr>
        <xdr:spPr bwMode="auto">
          <a:xfrm rot="5400000">
            <a:off x="172" y="-12"/>
            <a:ext cx="0" cy="122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68631" name="Text Box 23"/>
          <xdr:cNvSpPr txBox="1">
            <a:spLocks noChangeArrowheads="1"/>
          </xdr:cNvSpPr>
        </xdr:nvSpPr>
        <xdr:spPr bwMode="auto">
          <a:xfrm>
            <a:off x="175" y="58"/>
            <a:ext cx="132" cy="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19050</xdr:rowOff>
    </xdr:from>
    <xdr:to>
      <xdr:col>2</xdr:col>
      <xdr:colOff>0</xdr:colOff>
      <xdr:row>61</xdr:row>
      <xdr:rowOff>142875</xdr:rowOff>
    </xdr:to>
    <xdr:sp macro="" textlink="">
      <xdr:nvSpPr>
        <xdr:cNvPr id="177078" name="Line 1"/>
        <xdr:cNvSpPr>
          <a:spLocks noChangeShapeType="1"/>
        </xdr:cNvSpPr>
      </xdr:nvSpPr>
      <xdr:spPr bwMode="auto">
        <a:xfrm>
          <a:off x="2114550" y="9686925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2</xdr:col>
      <xdr:colOff>0</xdr:colOff>
      <xdr:row>61</xdr:row>
      <xdr:rowOff>142875</xdr:rowOff>
    </xdr:to>
    <xdr:sp macro="" textlink="">
      <xdr:nvSpPr>
        <xdr:cNvPr id="177079" name="Line 2"/>
        <xdr:cNvSpPr>
          <a:spLocks noChangeShapeType="1"/>
        </xdr:cNvSpPr>
      </xdr:nvSpPr>
      <xdr:spPr bwMode="auto">
        <a:xfrm>
          <a:off x="2114550" y="9648825"/>
          <a:ext cx="0" cy="13620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34</xdr:row>
      <xdr:rowOff>114300</xdr:rowOff>
    </xdr:from>
    <xdr:to>
      <xdr:col>2</xdr:col>
      <xdr:colOff>0</xdr:colOff>
      <xdr:row>35</xdr:row>
      <xdr:rowOff>95250</xdr:rowOff>
    </xdr:to>
    <xdr:cxnSp macro="">
      <xdr:nvCxnSpPr>
        <xdr:cNvPr id="177080" name="AutoShape 3"/>
        <xdr:cNvCxnSpPr>
          <a:cxnSpLocks noChangeShapeType="1"/>
        </xdr:cNvCxnSpPr>
      </xdr:nvCxnSpPr>
      <xdr:spPr bwMode="auto">
        <a:xfrm rot="5400000" flipH="1" flipV="1">
          <a:off x="2038350" y="6429375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7081" name="Line 4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7082" name="Line 5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7083" name="Line 6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7084" name="Line 7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177085" name="Line 8"/>
        <xdr:cNvSpPr>
          <a:spLocks noChangeShapeType="1"/>
        </xdr:cNvSpPr>
      </xdr:nvSpPr>
      <xdr:spPr bwMode="auto">
        <a:xfrm>
          <a:off x="2114550" y="4762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7086" name="Line 9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7087" name="Line 10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77088" name="AutoShape 11"/>
        <xdr:cNvCxnSpPr>
          <a:cxnSpLocks noChangeShapeType="1"/>
        </xdr:cNvCxnSpPr>
      </xdr:nvCxnSpPr>
      <xdr:spPr bwMode="auto">
        <a:xfrm>
          <a:off x="2114550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0</xdr:colOff>
      <xdr:row>60</xdr:row>
      <xdr:rowOff>123825</xdr:rowOff>
    </xdr:to>
    <xdr:sp macro="" textlink="">
      <xdr:nvSpPr>
        <xdr:cNvPr id="177089" name="Line 12"/>
        <xdr:cNvSpPr>
          <a:spLocks noChangeShapeType="1"/>
        </xdr:cNvSpPr>
      </xdr:nvSpPr>
      <xdr:spPr bwMode="auto">
        <a:xfrm>
          <a:off x="2114550" y="9667875"/>
          <a:ext cx="0" cy="1152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7090" name="Line 13"/>
        <xdr:cNvSpPr>
          <a:spLocks noChangeShapeType="1"/>
        </xdr:cNvSpPr>
      </xdr:nvSpPr>
      <xdr:spPr bwMode="auto">
        <a:xfrm>
          <a:off x="2114550" y="110394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7091" name="Line 14"/>
        <xdr:cNvSpPr>
          <a:spLocks noChangeShapeType="1"/>
        </xdr:cNvSpPr>
      </xdr:nvSpPr>
      <xdr:spPr bwMode="auto">
        <a:xfrm>
          <a:off x="2114550" y="110394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51</xdr:row>
      <xdr:rowOff>9525</xdr:rowOff>
    </xdr:from>
    <xdr:to>
      <xdr:col>2</xdr:col>
      <xdr:colOff>0</xdr:colOff>
      <xdr:row>53</xdr:row>
      <xdr:rowOff>161925</xdr:rowOff>
    </xdr:to>
    <xdr:sp macro="" textlink="">
      <xdr:nvSpPr>
        <xdr:cNvPr id="75791" name="AutoShape 15"/>
        <xdr:cNvSpPr>
          <a:spLocks noChangeArrowheads="1"/>
        </xdr:cNvSpPr>
      </xdr:nvSpPr>
      <xdr:spPr bwMode="auto">
        <a:xfrm>
          <a:off x="2114550" y="9163050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65</xdr:row>
      <xdr:rowOff>19050</xdr:rowOff>
    </xdr:to>
    <xdr:sp macro="" textlink="">
      <xdr:nvSpPr>
        <xdr:cNvPr id="177093" name="Line 16"/>
        <xdr:cNvSpPr>
          <a:spLocks noChangeShapeType="1"/>
        </xdr:cNvSpPr>
      </xdr:nvSpPr>
      <xdr:spPr bwMode="auto">
        <a:xfrm flipV="1">
          <a:off x="2114550" y="11068050"/>
          <a:ext cx="0" cy="5810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57150</xdr:rowOff>
    </xdr:from>
    <xdr:to>
      <xdr:col>2</xdr:col>
      <xdr:colOff>0</xdr:colOff>
      <xdr:row>65</xdr:row>
      <xdr:rowOff>9525</xdr:rowOff>
    </xdr:to>
    <xdr:sp macro="" textlink="">
      <xdr:nvSpPr>
        <xdr:cNvPr id="177094" name="Line 17"/>
        <xdr:cNvSpPr>
          <a:spLocks noChangeShapeType="1"/>
        </xdr:cNvSpPr>
      </xdr:nvSpPr>
      <xdr:spPr bwMode="auto">
        <a:xfrm flipV="1">
          <a:off x="2114550" y="11096625"/>
          <a:ext cx="0" cy="5429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64</xdr:row>
      <xdr:rowOff>142875</xdr:rowOff>
    </xdr:to>
    <xdr:sp macro="" textlink="">
      <xdr:nvSpPr>
        <xdr:cNvPr id="177095" name="Line 18"/>
        <xdr:cNvSpPr>
          <a:spLocks noChangeShapeType="1"/>
        </xdr:cNvSpPr>
      </xdr:nvSpPr>
      <xdr:spPr bwMode="auto">
        <a:xfrm flipV="1">
          <a:off x="2114550" y="11068050"/>
          <a:ext cx="0" cy="5048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253</xdr:col>
      <xdr:colOff>323850</xdr:colOff>
      <xdr:row>0</xdr:row>
      <xdr:rowOff>0</xdr:rowOff>
    </xdr:from>
    <xdr:to>
      <xdr:col>255</xdr:col>
      <xdr:colOff>180975</xdr:colOff>
      <xdr:row>4</xdr:row>
      <xdr:rowOff>142875</xdr:rowOff>
    </xdr:to>
    <xdr:grpSp>
      <xdr:nvGrpSpPr>
        <xdr:cNvPr id="177096" name="Group 19"/>
        <xdr:cNvGrpSpPr>
          <a:grpSpLocks/>
        </xdr:cNvGrpSpPr>
      </xdr:nvGrpSpPr>
      <xdr:grpSpPr bwMode="auto">
        <a:xfrm>
          <a:off x="205674567" y="0"/>
          <a:ext cx="1480517" cy="1103658"/>
          <a:chOff x="111" y="13"/>
          <a:chExt cx="256" cy="109"/>
        </a:xfrm>
      </xdr:grpSpPr>
      <xdr:sp macro="" textlink="">
        <xdr:nvSpPr>
          <xdr:cNvPr id="177097" name="Line 20"/>
          <xdr:cNvSpPr>
            <a:spLocks noChangeShapeType="1"/>
          </xdr:cNvSpPr>
        </xdr:nvSpPr>
        <xdr:spPr bwMode="auto">
          <a:xfrm rot="-5400000">
            <a:off x="302" y="-17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177098" name="Line 21"/>
          <xdr:cNvSpPr>
            <a:spLocks noChangeShapeType="1"/>
          </xdr:cNvSpPr>
        </xdr:nvSpPr>
        <xdr:spPr bwMode="auto">
          <a:xfrm>
            <a:off x="231" y="13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7099" name="Line 22"/>
          <xdr:cNvSpPr>
            <a:spLocks noChangeShapeType="1"/>
          </xdr:cNvSpPr>
        </xdr:nvSpPr>
        <xdr:spPr bwMode="auto">
          <a:xfrm rot="5400000">
            <a:off x="172" y="-12"/>
            <a:ext cx="0" cy="122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75799" name="Text Box 23"/>
          <xdr:cNvSpPr txBox="1">
            <a:spLocks noChangeArrowheads="1"/>
          </xdr:cNvSpPr>
        </xdr:nvSpPr>
        <xdr:spPr bwMode="auto">
          <a:xfrm>
            <a:off x="175" y="58"/>
            <a:ext cx="132" cy="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19050</xdr:rowOff>
    </xdr:from>
    <xdr:to>
      <xdr:col>2</xdr:col>
      <xdr:colOff>0</xdr:colOff>
      <xdr:row>61</xdr:row>
      <xdr:rowOff>142875</xdr:rowOff>
    </xdr:to>
    <xdr:sp macro="" textlink="">
      <xdr:nvSpPr>
        <xdr:cNvPr id="178102" name="Line 1"/>
        <xdr:cNvSpPr>
          <a:spLocks noChangeShapeType="1"/>
        </xdr:cNvSpPr>
      </xdr:nvSpPr>
      <xdr:spPr bwMode="auto">
        <a:xfrm>
          <a:off x="2114550" y="9686925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2</xdr:col>
      <xdr:colOff>0</xdr:colOff>
      <xdr:row>61</xdr:row>
      <xdr:rowOff>142875</xdr:rowOff>
    </xdr:to>
    <xdr:sp macro="" textlink="">
      <xdr:nvSpPr>
        <xdr:cNvPr id="178103" name="Line 2"/>
        <xdr:cNvSpPr>
          <a:spLocks noChangeShapeType="1"/>
        </xdr:cNvSpPr>
      </xdr:nvSpPr>
      <xdr:spPr bwMode="auto">
        <a:xfrm>
          <a:off x="2114550" y="9648825"/>
          <a:ext cx="0" cy="13620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34</xdr:row>
      <xdr:rowOff>114300</xdr:rowOff>
    </xdr:from>
    <xdr:to>
      <xdr:col>2</xdr:col>
      <xdr:colOff>0</xdr:colOff>
      <xdr:row>35</xdr:row>
      <xdr:rowOff>95250</xdr:rowOff>
    </xdr:to>
    <xdr:cxnSp macro="">
      <xdr:nvCxnSpPr>
        <xdr:cNvPr id="178104" name="AutoShape 3"/>
        <xdr:cNvCxnSpPr>
          <a:cxnSpLocks noChangeShapeType="1"/>
        </xdr:cNvCxnSpPr>
      </xdr:nvCxnSpPr>
      <xdr:spPr bwMode="auto">
        <a:xfrm rot="5400000" flipH="1" flipV="1">
          <a:off x="2038350" y="6429375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8105" name="Line 4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8106" name="Line 5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8107" name="Line 6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8108" name="Line 7"/>
        <xdr:cNvSpPr>
          <a:spLocks noChangeShapeType="1"/>
        </xdr:cNvSpPr>
      </xdr:nvSpPr>
      <xdr:spPr bwMode="auto">
        <a:xfrm flipH="1">
          <a:off x="2114550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178109" name="Line 8"/>
        <xdr:cNvSpPr>
          <a:spLocks noChangeShapeType="1"/>
        </xdr:cNvSpPr>
      </xdr:nvSpPr>
      <xdr:spPr bwMode="auto">
        <a:xfrm>
          <a:off x="2114550" y="4762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8110" name="Line 9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8111" name="Line 10"/>
        <xdr:cNvSpPr>
          <a:spLocks noChangeShapeType="1"/>
        </xdr:cNvSpPr>
      </xdr:nvSpPr>
      <xdr:spPr bwMode="auto">
        <a:xfrm flipH="1">
          <a:off x="2114550" y="342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78112" name="AutoShape 11"/>
        <xdr:cNvCxnSpPr>
          <a:cxnSpLocks noChangeShapeType="1"/>
        </xdr:cNvCxnSpPr>
      </xdr:nvCxnSpPr>
      <xdr:spPr bwMode="auto">
        <a:xfrm>
          <a:off x="2114550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0</xdr:colOff>
      <xdr:row>60</xdr:row>
      <xdr:rowOff>123825</xdr:rowOff>
    </xdr:to>
    <xdr:sp macro="" textlink="">
      <xdr:nvSpPr>
        <xdr:cNvPr id="178113" name="Line 12"/>
        <xdr:cNvSpPr>
          <a:spLocks noChangeShapeType="1"/>
        </xdr:cNvSpPr>
      </xdr:nvSpPr>
      <xdr:spPr bwMode="auto">
        <a:xfrm>
          <a:off x="2114550" y="9667875"/>
          <a:ext cx="0" cy="1152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8114" name="Line 13"/>
        <xdr:cNvSpPr>
          <a:spLocks noChangeShapeType="1"/>
        </xdr:cNvSpPr>
      </xdr:nvSpPr>
      <xdr:spPr bwMode="auto">
        <a:xfrm>
          <a:off x="2114550" y="110394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0</xdr:colOff>
      <xdr:row>62</xdr:row>
      <xdr:rowOff>0</xdr:rowOff>
    </xdr:to>
    <xdr:sp macro="" textlink="">
      <xdr:nvSpPr>
        <xdr:cNvPr id="178115" name="Line 14"/>
        <xdr:cNvSpPr>
          <a:spLocks noChangeShapeType="1"/>
        </xdr:cNvSpPr>
      </xdr:nvSpPr>
      <xdr:spPr bwMode="auto">
        <a:xfrm>
          <a:off x="2114550" y="110394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51</xdr:row>
      <xdr:rowOff>9525</xdr:rowOff>
    </xdr:from>
    <xdr:to>
      <xdr:col>2</xdr:col>
      <xdr:colOff>0</xdr:colOff>
      <xdr:row>53</xdr:row>
      <xdr:rowOff>161925</xdr:rowOff>
    </xdr:to>
    <xdr:sp macro="" textlink="">
      <xdr:nvSpPr>
        <xdr:cNvPr id="76815" name="AutoShape 15"/>
        <xdr:cNvSpPr>
          <a:spLocks noChangeArrowheads="1"/>
        </xdr:cNvSpPr>
      </xdr:nvSpPr>
      <xdr:spPr bwMode="auto">
        <a:xfrm>
          <a:off x="2114550" y="9163050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65</xdr:row>
      <xdr:rowOff>19050</xdr:rowOff>
    </xdr:to>
    <xdr:sp macro="" textlink="">
      <xdr:nvSpPr>
        <xdr:cNvPr id="178117" name="Line 16"/>
        <xdr:cNvSpPr>
          <a:spLocks noChangeShapeType="1"/>
        </xdr:cNvSpPr>
      </xdr:nvSpPr>
      <xdr:spPr bwMode="auto">
        <a:xfrm flipV="1">
          <a:off x="2114550" y="11068050"/>
          <a:ext cx="0" cy="5810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57150</xdr:rowOff>
    </xdr:from>
    <xdr:to>
      <xdr:col>2</xdr:col>
      <xdr:colOff>0</xdr:colOff>
      <xdr:row>65</xdr:row>
      <xdr:rowOff>9525</xdr:rowOff>
    </xdr:to>
    <xdr:sp macro="" textlink="">
      <xdr:nvSpPr>
        <xdr:cNvPr id="178118" name="Line 17"/>
        <xdr:cNvSpPr>
          <a:spLocks noChangeShapeType="1"/>
        </xdr:cNvSpPr>
      </xdr:nvSpPr>
      <xdr:spPr bwMode="auto">
        <a:xfrm flipV="1">
          <a:off x="2114550" y="11096625"/>
          <a:ext cx="0" cy="5429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62</xdr:row>
      <xdr:rowOff>28575</xdr:rowOff>
    </xdr:from>
    <xdr:to>
      <xdr:col>2</xdr:col>
      <xdr:colOff>0</xdr:colOff>
      <xdr:row>64</xdr:row>
      <xdr:rowOff>142875</xdr:rowOff>
    </xdr:to>
    <xdr:sp macro="" textlink="">
      <xdr:nvSpPr>
        <xdr:cNvPr id="178119" name="Line 18"/>
        <xdr:cNvSpPr>
          <a:spLocks noChangeShapeType="1"/>
        </xdr:cNvSpPr>
      </xdr:nvSpPr>
      <xdr:spPr bwMode="auto">
        <a:xfrm flipV="1">
          <a:off x="2114550" y="11068050"/>
          <a:ext cx="0" cy="5048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253</xdr:col>
      <xdr:colOff>323850</xdr:colOff>
      <xdr:row>0</xdr:row>
      <xdr:rowOff>0</xdr:rowOff>
    </xdr:from>
    <xdr:to>
      <xdr:col>255</xdr:col>
      <xdr:colOff>180975</xdr:colOff>
      <xdr:row>4</xdr:row>
      <xdr:rowOff>142875</xdr:rowOff>
    </xdr:to>
    <xdr:grpSp>
      <xdr:nvGrpSpPr>
        <xdr:cNvPr id="178120" name="Group 19"/>
        <xdr:cNvGrpSpPr>
          <a:grpSpLocks/>
        </xdr:cNvGrpSpPr>
      </xdr:nvGrpSpPr>
      <xdr:grpSpPr bwMode="auto">
        <a:xfrm>
          <a:off x="205674567" y="0"/>
          <a:ext cx="1480517" cy="1103658"/>
          <a:chOff x="111" y="13"/>
          <a:chExt cx="256" cy="109"/>
        </a:xfrm>
      </xdr:grpSpPr>
      <xdr:sp macro="" textlink="">
        <xdr:nvSpPr>
          <xdr:cNvPr id="178121" name="Line 20"/>
          <xdr:cNvSpPr>
            <a:spLocks noChangeShapeType="1"/>
          </xdr:cNvSpPr>
        </xdr:nvSpPr>
        <xdr:spPr bwMode="auto">
          <a:xfrm rot="-5400000">
            <a:off x="302" y="-17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178122" name="Line 21"/>
          <xdr:cNvSpPr>
            <a:spLocks noChangeShapeType="1"/>
          </xdr:cNvSpPr>
        </xdr:nvSpPr>
        <xdr:spPr bwMode="auto">
          <a:xfrm>
            <a:off x="231" y="13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8123" name="Line 22"/>
          <xdr:cNvSpPr>
            <a:spLocks noChangeShapeType="1"/>
          </xdr:cNvSpPr>
        </xdr:nvSpPr>
        <xdr:spPr bwMode="auto">
          <a:xfrm rot="5400000">
            <a:off x="172" y="-12"/>
            <a:ext cx="0" cy="122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76823" name="Text Box 23"/>
          <xdr:cNvSpPr txBox="1">
            <a:spLocks noChangeArrowheads="1"/>
          </xdr:cNvSpPr>
        </xdr:nvSpPr>
        <xdr:spPr bwMode="auto">
          <a:xfrm>
            <a:off x="175" y="58"/>
            <a:ext cx="132" cy="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57</xdr:row>
      <xdr:rowOff>19050</xdr:rowOff>
    </xdr:from>
    <xdr:to>
      <xdr:col>2</xdr:col>
      <xdr:colOff>0</xdr:colOff>
      <xdr:row>65</xdr:row>
      <xdr:rowOff>142875</xdr:rowOff>
    </xdr:to>
    <xdr:sp macro="" textlink="">
      <xdr:nvSpPr>
        <xdr:cNvPr id="181685" name="Line 1"/>
        <xdr:cNvSpPr>
          <a:spLocks noChangeShapeType="1"/>
        </xdr:cNvSpPr>
      </xdr:nvSpPr>
      <xdr:spPr bwMode="auto">
        <a:xfrm>
          <a:off x="2600325" y="9867900"/>
          <a:ext cx="0" cy="14954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56</xdr:row>
      <xdr:rowOff>152400</xdr:rowOff>
    </xdr:from>
    <xdr:to>
      <xdr:col>2</xdr:col>
      <xdr:colOff>0</xdr:colOff>
      <xdr:row>65</xdr:row>
      <xdr:rowOff>142875</xdr:rowOff>
    </xdr:to>
    <xdr:sp macro="" textlink="">
      <xdr:nvSpPr>
        <xdr:cNvPr id="181686" name="Line 2"/>
        <xdr:cNvSpPr>
          <a:spLocks noChangeShapeType="1"/>
        </xdr:cNvSpPr>
      </xdr:nvSpPr>
      <xdr:spPr bwMode="auto">
        <a:xfrm>
          <a:off x="2600325" y="9829800"/>
          <a:ext cx="0" cy="1533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35</xdr:row>
      <xdr:rowOff>114300</xdr:rowOff>
    </xdr:from>
    <xdr:to>
      <xdr:col>2</xdr:col>
      <xdr:colOff>0</xdr:colOff>
      <xdr:row>36</xdr:row>
      <xdr:rowOff>95250</xdr:rowOff>
    </xdr:to>
    <xdr:cxnSp macro="">
      <xdr:nvCxnSpPr>
        <xdr:cNvPr id="181687" name="AutoShape 3"/>
        <xdr:cNvCxnSpPr>
          <a:cxnSpLocks noChangeShapeType="1"/>
        </xdr:cNvCxnSpPr>
      </xdr:nvCxnSpPr>
      <xdr:spPr bwMode="auto">
        <a:xfrm rot="5400000" flipH="1" flipV="1">
          <a:off x="2524125" y="6610350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81688" name="Line 4"/>
        <xdr:cNvSpPr>
          <a:spLocks noChangeShapeType="1"/>
        </xdr:cNvSpPr>
      </xdr:nvSpPr>
      <xdr:spPr bwMode="auto">
        <a:xfrm flipH="1">
          <a:off x="2600325" y="361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81689" name="Line 5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81690" name="Line 6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81691" name="Line 7"/>
        <xdr:cNvSpPr>
          <a:spLocks noChangeShapeType="1"/>
        </xdr:cNvSpPr>
      </xdr:nvSpPr>
      <xdr:spPr bwMode="auto">
        <a:xfrm flipH="1">
          <a:off x="2600325" y="361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181692" name="Line 8"/>
        <xdr:cNvSpPr>
          <a:spLocks noChangeShapeType="1"/>
        </xdr:cNvSpPr>
      </xdr:nvSpPr>
      <xdr:spPr bwMode="auto">
        <a:xfrm>
          <a:off x="2600325" y="4857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81693" name="Line 9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81694" name="Line 10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81695" name="AutoShape 11"/>
        <xdr:cNvCxnSpPr>
          <a:cxnSpLocks noChangeShapeType="1"/>
        </xdr:cNvCxnSpPr>
      </xdr:nvCxnSpPr>
      <xdr:spPr bwMode="auto">
        <a:xfrm>
          <a:off x="2600325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64</xdr:row>
      <xdr:rowOff>123825</xdr:rowOff>
    </xdr:to>
    <xdr:sp macro="" textlink="">
      <xdr:nvSpPr>
        <xdr:cNvPr id="181696" name="Line 12"/>
        <xdr:cNvSpPr>
          <a:spLocks noChangeShapeType="1"/>
        </xdr:cNvSpPr>
      </xdr:nvSpPr>
      <xdr:spPr bwMode="auto">
        <a:xfrm>
          <a:off x="2600325" y="9848850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81697" name="Line 13"/>
        <xdr:cNvSpPr>
          <a:spLocks noChangeShapeType="1"/>
        </xdr:cNvSpPr>
      </xdr:nvSpPr>
      <xdr:spPr bwMode="auto">
        <a:xfrm>
          <a:off x="2600325" y="11391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81698" name="Line 14"/>
        <xdr:cNvSpPr>
          <a:spLocks noChangeShapeType="1"/>
        </xdr:cNvSpPr>
      </xdr:nvSpPr>
      <xdr:spPr bwMode="auto">
        <a:xfrm>
          <a:off x="2600325" y="11391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54</xdr:row>
      <xdr:rowOff>9525</xdr:rowOff>
    </xdr:from>
    <xdr:to>
      <xdr:col>2</xdr:col>
      <xdr:colOff>0</xdr:colOff>
      <xdr:row>56</xdr:row>
      <xdr:rowOff>161925</xdr:rowOff>
    </xdr:to>
    <xdr:sp macro="" textlink="">
      <xdr:nvSpPr>
        <xdr:cNvPr id="16" name="AutoShape 15"/>
        <xdr:cNvSpPr>
          <a:spLocks noChangeArrowheads="1"/>
        </xdr:cNvSpPr>
      </xdr:nvSpPr>
      <xdr:spPr bwMode="auto">
        <a:xfrm>
          <a:off x="2600325" y="9344025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69</xdr:row>
      <xdr:rowOff>19050</xdr:rowOff>
    </xdr:to>
    <xdr:sp macro="" textlink="">
      <xdr:nvSpPr>
        <xdr:cNvPr id="181700" name="Line 16"/>
        <xdr:cNvSpPr>
          <a:spLocks noChangeShapeType="1"/>
        </xdr:cNvSpPr>
      </xdr:nvSpPr>
      <xdr:spPr bwMode="auto">
        <a:xfrm flipV="1">
          <a:off x="2600325" y="11420475"/>
          <a:ext cx="0" cy="6000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57150</xdr:rowOff>
    </xdr:from>
    <xdr:to>
      <xdr:col>2</xdr:col>
      <xdr:colOff>0</xdr:colOff>
      <xdr:row>69</xdr:row>
      <xdr:rowOff>9525</xdr:rowOff>
    </xdr:to>
    <xdr:sp macro="" textlink="">
      <xdr:nvSpPr>
        <xdr:cNvPr id="181701" name="Line 17"/>
        <xdr:cNvSpPr>
          <a:spLocks noChangeShapeType="1"/>
        </xdr:cNvSpPr>
      </xdr:nvSpPr>
      <xdr:spPr bwMode="auto">
        <a:xfrm flipV="1">
          <a:off x="2600325" y="11449050"/>
          <a:ext cx="0" cy="561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68</xdr:row>
      <xdr:rowOff>142875</xdr:rowOff>
    </xdr:to>
    <xdr:sp macro="" textlink="">
      <xdr:nvSpPr>
        <xdr:cNvPr id="181702" name="Line 18"/>
        <xdr:cNvSpPr>
          <a:spLocks noChangeShapeType="1"/>
        </xdr:cNvSpPr>
      </xdr:nvSpPr>
      <xdr:spPr bwMode="auto">
        <a:xfrm flipV="1">
          <a:off x="2600325" y="11420475"/>
          <a:ext cx="0" cy="5048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251</xdr:col>
      <xdr:colOff>561975</xdr:colOff>
      <xdr:row>0</xdr:row>
      <xdr:rowOff>19050</xdr:rowOff>
    </xdr:from>
    <xdr:to>
      <xdr:col>252</xdr:col>
      <xdr:colOff>809625</xdr:colOff>
      <xdr:row>4</xdr:row>
      <xdr:rowOff>171450</xdr:rowOff>
    </xdr:to>
    <xdr:grpSp>
      <xdr:nvGrpSpPr>
        <xdr:cNvPr id="181703" name="Group 19"/>
        <xdr:cNvGrpSpPr>
          <a:grpSpLocks/>
        </xdr:cNvGrpSpPr>
      </xdr:nvGrpSpPr>
      <xdr:grpSpPr bwMode="auto">
        <a:xfrm>
          <a:off x="206622650" y="19050"/>
          <a:ext cx="1060450" cy="1104900"/>
          <a:chOff x="111" y="13"/>
          <a:chExt cx="256" cy="109"/>
        </a:xfrm>
      </xdr:grpSpPr>
      <xdr:sp macro="" textlink="">
        <xdr:nvSpPr>
          <xdr:cNvPr id="181704" name="Line 20"/>
          <xdr:cNvSpPr>
            <a:spLocks noChangeShapeType="1"/>
          </xdr:cNvSpPr>
        </xdr:nvSpPr>
        <xdr:spPr bwMode="auto">
          <a:xfrm rot="-5400000">
            <a:off x="302" y="-17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181705" name="Line 21"/>
          <xdr:cNvSpPr>
            <a:spLocks noChangeShapeType="1"/>
          </xdr:cNvSpPr>
        </xdr:nvSpPr>
        <xdr:spPr bwMode="auto">
          <a:xfrm>
            <a:off x="231" y="13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1706" name="Line 22"/>
          <xdr:cNvSpPr>
            <a:spLocks noChangeShapeType="1"/>
          </xdr:cNvSpPr>
        </xdr:nvSpPr>
        <xdr:spPr bwMode="auto">
          <a:xfrm rot="5400000">
            <a:off x="172" y="-12"/>
            <a:ext cx="0" cy="122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24" name="Text Box 23"/>
          <xdr:cNvSpPr txBox="1">
            <a:spLocks noChangeArrowheads="1"/>
          </xdr:cNvSpPr>
        </xdr:nvSpPr>
        <xdr:spPr bwMode="auto">
          <a:xfrm>
            <a:off x="178" y="58"/>
            <a:ext cx="129" cy="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57</xdr:row>
      <xdr:rowOff>19050</xdr:rowOff>
    </xdr:from>
    <xdr:to>
      <xdr:col>2</xdr:col>
      <xdr:colOff>0</xdr:colOff>
      <xdr:row>65</xdr:row>
      <xdr:rowOff>142875</xdr:rowOff>
    </xdr:to>
    <xdr:sp macro="" textlink="">
      <xdr:nvSpPr>
        <xdr:cNvPr id="175076" name="Line 1"/>
        <xdr:cNvSpPr>
          <a:spLocks noChangeShapeType="1"/>
        </xdr:cNvSpPr>
      </xdr:nvSpPr>
      <xdr:spPr bwMode="auto">
        <a:xfrm>
          <a:off x="2600325" y="9867900"/>
          <a:ext cx="0" cy="14954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56</xdr:row>
      <xdr:rowOff>152400</xdr:rowOff>
    </xdr:from>
    <xdr:to>
      <xdr:col>2</xdr:col>
      <xdr:colOff>0</xdr:colOff>
      <xdr:row>65</xdr:row>
      <xdr:rowOff>142875</xdr:rowOff>
    </xdr:to>
    <xdr:sp macro="" textlink="">
      <xdr:nvSpPr>
        <xdr:cNvPr id="175077" name="Line 2"/>
        <xdr:cNvSpPr>
          <a:spLocks noChangeShapeType="1"/>
        </xdr:cNvSpPr>
      </xdr:nvSpPr>
      <xdr:spPr bwMode="auto">
        <a:xfrm>
          <a:off x="2600325" y="9829800"/>
          <a:ext cx="0" cy="1533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35</xdr:row>
      <xdr:rowOff>114300</xdr:rowOff>
    </xdr:from>
    <xdr:to>
      <xdr:col>2</xdr:col>
      <xdr:colOff>0</xdr:colOff>
      <xdr:row>36</xdr:row>
      <xdr:rowOff>95250</xdr:rowOff>
    </xdr:to>
    <xdr:cxnSp macro="">
      <xdr:nvCxnSpPr>
        <xdr:cNvPr id="175078" name="AutoShape 3"/>
        <xdr:cNvCxnSpPr>
          <a:cxnSpLocks noChangeShapeType="1"/>
        </xdr:cNvCxnSpPr>
      </xdr:nvCxnSpPr>
      <xdr:spPr bwMode="auto">
        <a:xfrm rot="5400000" flipH="1" flipV="1">
          <a:off x="2524125" y="6610350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5079" name="Line 4"/>
        <xdr:cNvSpPr>
          <a:spLocks noChangeShapeType="1"/>
        </xdr:cNvSpPr>
      </xdr:nvSpPr>
      <xdr:spPr bwMode="auto">
        <a:xfrm flipH="1">
          <a:off x="2600325" y="361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5080" name="Line 5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5081" name="Line 6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175082" name="Line 7"/>
        <xdr:cNvSpPr>
          <a:spLocks noChangeShapeType="1"/>
        </xdr:cNvSpPr>
      </xdr:nvSpPr>
      <xdr:spPr bwMode="auto">
        <a:xfrm flipH="1">
          <a:off x="2600325" y="3619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175083" name="Line 8"/>
        <xdr:cNvSpPr>
          <a:spLocks noChangeShapeType="1"/>
        </xdr:cNvSpPr>
      </xdr:nvSpPr>
      <xdr:spPr bwMode="auto">
        <a:xfrm>
          <a:off x="2600325" y="48577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5084" name="Line 9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75085" name="Line 10"/>
        <xdr:cNvSpPr>
          <a:spLocks noChangeShapeType="1"/>
        </xdr:cNvSpPr>
      </xdr:nvSpPr>
      <xdr:spPr bwMode="auto">
        <a:xfrm flipH="1">
          <a:off x="2600325" y="3524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75086" name="AutoShape 11"/>
        <xdr:cNvCxnSpPr>
          <a:cxnSpLocks noChangeShapeType="1"/>
        </xdr:cNvCxnSpPr>
      </xdr:nvCxnSpPr>
      <xdr:spPr bwMode="auto">
        <a:xfrm>
          <a:off x="2600325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64</xdr:row>
      <xdr:rowOff>123825</xdr:rowOff>
    </xdr:to>
    <xdr:sp macro="" textlink="">
      <xdr:nvSpPr>
        <xdr:cNvPr id="175087" name="Line 12"/>
        <xdr:cNvSpPr>
          <a:spLocks noChangeShapeType="1"/>
        </xdr:cNvSpPr>
      </xdr:nvSpPr>
      <xdr:spPr bwMode="auto">
        <a:xfrm>
          <a:off x="2600325" y="9848850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75088" name="Line 13"/>
        <xdr:cNvSpPr>
          <a:spLocks noChangeShapeType="1"/>
        </xdr:cNvSpPr>
      </xdr:nvSpPr>
      <xdr:spPr bwMode="auto">
        <a:xfrm>
          <a:off x="2600325" y="11391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75089" name="Line 14"/>
        <xdr:cNvSpPr>
          <a:spLocks noChangeShapeType="1"/>
        </xdr:cNvSpPr>
      </xdr:nvSpPr>
      <xdr:spPr bwMode="auto">
        <a:xfrm>
          <a:off x="2600325" y="113919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54</xdr:row>
      <xdr:rowOff>9525</xdr:rowOff>
    </xdr:from>
    <xdr:to>
      <xdr:col>2</xdr:col>
      <xdr:colOff>0</xdr:colOff>
      <xdr:row>56</xdr:row>
      <xdr:rowOff>161925</xdr:rowOff>
    </xdr:to>
    <xdr:sp macro="" textlink="">
      <xdr:nvSpPr>
        <xdr:cNvPr id="90127" name="AutoShape 15"/>
        <xdr:cNvSpPr>
          <a:spLocks noChangeArrowheads="1"/>
        </xdr:cNvSpPr>
      </xdr:nvSpPr>
      <xdr:spPr bwMode="auto">
        <a:xfrm>
          <a:off x="2600325" y="9334500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69</xdr:row>
      <xdr:rowOff>19050</xdr:rowOff>
    </xdr:to>
    <xdr:sp macro="" textlink="">
      <xdr:nvSpPr>
        <xdr:cNvPr id="175091" name="Line 16"/>
        <xdr:cNvSpPr>
          <a:spLocks noChangeShapeType="1"/>
        </xdr:cNvSpPr>
      </xdr:nvSpPr>
      <xdr:spPr bwMode="auto">
        <a:xfrm flipV="1">
          <a:off x="2600325" y="11420475"/>
          <a:ext cx="0" cy="5715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57150</xdr:rowOff>
    </xdr:from>
    <xdr:to>
      <xdr:col>2</xdr:col>
      <xdr:colOff>0</xdr:colOff>
      <xdr:row>69</xdr:row>
      <xdr:rowOff>9525</xdr:rowOff>
    </xdr:to>
    <xdr:sp macro="" textlink="">
      <xdr:nvSpPr>
        <xdr:cNvPr id="175092" name="Line 17"/>
        <xdr:cNvSpPr>
          <a:spLocks noChangeShapeType="1"/>
        </xdr:cNvSpPr>
      </xdr:nvSpPr>
      <xdr:spPr bwMode="auto">
        <a:xfrm flipV="1">
          <a:off x="2600325" y="11449050"/>
          <a:ext cx="0" cy="5334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68</xdr:row>
      <xdr:rowOff>142875</xdr:rowOff>
    </xdr:to>
    <xdr:sp macro="" textlink="">
      <xdr:nvSpPr>
        <xdr:cNvPr id="175093" name="Line 18"/>
        <xdr:cNvSpPr>
          <a:spLocks noChangeShapeType="1"/>
        </xdr:cNvSpPr>
      </xdr:nvSpPr>
      <xdr:spPr bwMode="auto">
        <a:xfrm flipV="1">
          <a:off x="2600325" y="11420475"/>
          <a:ext cx="0" cy="5048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251</xdr:col>
      <xdr:colOff>561975</xdr:colOff>
      <xdr:row>0</xdr:row>
      <xdr:rowOff>19050</xdr:rowOff>
    </xdr:from>
    <xdr:to>
      <xdr:col>252</xdr:col>
      <xdr:colOff>809625</xdr:colOff>
      <xdr:row>4</xdr:row>
      <xdr:rowOff>171450</xdr:rowOff>
    </xdr:to>
    <xdr:grpSp>
      <xdr:nvGrpSpPr>
        <xdr:cNvPr id="175094" name="Group 19"/>
        <xdr:cNvGrpSpPr>
          <a:grpSpLocks/>
        </xdr:cNvGrpSpPr>
      </xdr:nvGrpSpPr>
      <xdr:grpSpPr bwMode="auto">
        <a:xfrm>
          <a:off x="205806675" y="19050"/>
          <a:ext cx="1057275" cy="1133475"/>
          <a:chOff x="111" y="13"/>
          <a:chExt cx="256" cy="109"/>
        </a:xfrm>
      </xdr:grpSpPr>
      <xdr:sp macro="" textlink="">
        <xdr:nvSpPr>
          <xdr:cNvPr id="175095" name="Line 20"/>
          <xdr:cNvSpPr>
            <a:spLocks noChangeShapeType="1"/>
          </xdr:cNvSpPr>
        </xdr:nvSpPr>
        <xdr:spPr bwMode="auto">
          <a:xfrm rot="-5400000">
            <a:off x="302" y="-17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175096" name="Line 21"/>
          <xdr:cNvSpPr>
            <a:spLocks noChangeShapeType="1"/>
          </xdr:cNvSpPr>
        </xdr:nvSpPr>
        <xdr:spPr bwMode="auto">
          <a:xfrm>
            <a:off x="231" y="13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5097" name="Line 22"/>
          <xdr:cNvSpPr>
            <a:spLocks noChangeShapeType="1"/>
          </xdr:cNvSpPr>
        </xdr:nvSpPr>
        <xdr:spPr bwMode="auto">
          <a:xfrm rot="5400000">
            <a:off x="172" y="-12"/>
            <a:ext cx="0" cy="122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90135" name="Text Box 23"/>
          <xdr:cNvSpPr txBox="1">
            <a:spLocks noChangeArrowheads="1"/>
          </xdr:cNvSpPr>
        </xdr:nvSpPr>
        <xdr:spPr bwMode="auto">
          <a:xfrm>
            <a:off x="178" y="58"/>
            <a:ext cx="129" cy="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57</xdr:row>
      <xdr:rowOff>19050</xdr:rowOff>
    </xdr:from>
    <xdr:to>
      <xdr:col>2</xdr:col>
      <xdr:colOff>0</xdr:colOff>
      <xdr:row>65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00325" y="10182225"/>
          <a:ext cx="0" cy="14954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56</xdr:row>
      <xdr:rowOff>152400</xdr:rowOff>
    </xdr:from>
    <xdr:to>
      <xdr:col>2</xdr:col>
      <xdr:colOff>0</xdr:colOff>
      <xdr:row>65</xdr:row>
      <xdr:rowOff>142875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600325" y="10144125"/>
          <a:ext cx="0" cy="1533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35</xdr:row>
      <xdr:rowOff>114300</xdr:rowOff>
    </xdr:from>
    <xdr:to>
      <xdr:col>2</xdr:col>
      <xdr:colOff>0</xdr:colOff>
      <xdr:row>36</xdr:row>
      <xdr:rowOff>95250</xdr:rowOff>
    </xdr:to>
    <xdr:cxnSp macro="">
      <xdr:nvCxnSpPr>
        <xdr:cNvPr id="4" name="AutoShape 3"/>
        <xdr:cNvCxnSpPr>
          <a:cxnSpLocks noChangeShapeType="1"/>
        </xdr:cNvCxnSpPr>
      </xdr:nvCxnSpPr>
      <xdr:spPr bwMode="auto">
        <a:xfrm rot="5400000" flipH="1" flipV="1">
          <a:off x="2524125" y="6924675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H="1">
          <a:off x="2600325" y="4667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H="1">
          <a:off x="2600325" y="4667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2600325" y="5905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2" name="AutoShape 11"/>
        <xdr:cNvCxnSpPr>
          <a:cxnSpLocks noChangeShapeType="1"/>
        </xdr:cNvCxnSpPr>
      </xdr:nvCxnSpPr>
      <xdr:spPr bwMode="auto">
        <a:xfrm>
          <a:off x="2600325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64</xdr:row>
      <xdr:rowOff>123825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2600325" y="10163175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2600325" y="117062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2600325" y="117062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54</xdr:row>
      <xdr:rowOff>9525</xdr:rowOff>
    </xdr:from>
    <xdr:to>
      <xdr:col>2</xdr:col>
      <xdr:colOff>0</xdr:colOff>
      <xdr:row>56</xdr:row>
      <xdr:rowOff>161925</xdr:rowOff>
    </xdr:to>
    <xdr:sp macro="" textlink="">
      <xdr:nvSpPr>
        <xdr:cNvPr id="16" name="AutoShape 15"/>
        <xdr:cNvSpPr>
          <a:spLocks noChangeArrowheads="1"/>
        </xdr:cNvSpPr>
      </xdr:nvSpPr>
      <xdr:spPr bwMode="auto">
        <a:xfrm>
          <a:off x="2600325" y="9658350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70</xdr:row>
      <xdr:rowOff>19050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2600325" y="11734800"/>
          <a:ext cx="0" cy="7905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57150</xdr:rowOff>
    </xdr:from>
    <xdr:to>
      <xdr:col>2</xdr:col>
      <xdr:colOff>0</xdr:colOff>
      <xdr:row>70</xdr:row>
      <xdr:rowOff>9525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2600325" y="11763375"/>
          <a:ext cx="0" cy="7524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69</xdr:row>
      <xdr:rowOff>142875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2600325" y="11734800"/>
          <a:ext cx="0" cy="7239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255</xdr:col>
      <xdr:colOff>295275</xdr:colOff>
      <xdr:row>0</xdr:row>
      <xdr:rowOff>0</xdr:rowOff>
    </xdr:from>
    <xdr:to>
      <xdr:col>256</xdr:col>
      <xdr:colOff>361949</xdr:colOff>
      <xdr:row>4</xdr:row>
      <xdr:rowOff>142875</xdr:rowOff>
    </xdr:to>
    <xdr:grpSp>
      <xdr:nvGrpSpPr>
        <xdr:cNvPr id="20" name="Group 19"/>
        <xdr:cNvGrpSpPr>
          <a:grpSpLocks/>
        </xdr:cNvGrpSpPr>
      </xdr:nvGrpSpPr>
      <xdr:grpSpPr bwMode="auto">
        <a:xfrm>
          <a:off x="209626200" y="0"/>
          <a:ext cx="876299" cy="1543050"/>
          <a:chOff x="405" y="14"/>
          <a:chExt cx="314" cy="109"/>
        </a:xfrm>
      </xdr:grpSpPr>
      <xdr:sp macro="" textlink="">
        <xdr:nvSpPr>
          <xdr:cNvPr id="21" name="Line 20"/>
          <xdr:cNvSpPr>
            <a:spLocks noChangeShapeType="1"/>
          </xdr:cNvSpPr>
        </xdr:nvSpPr>
        <xdr:spPr bwMode="auto">
          <a:xfrm rot="-5400000">
            <a:off x="654" y="-20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22" name="Line 21"/>
          <xdr:cNvSpPr>
            <a:spLocks noChangeShapeType="1"/>
          </xdr:cNvSpPr>
        </xdr:nvSpPr>
        <xdr:spPr bwMode="auto">
          <a:xfrm>
            <a:off x="585" y="14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" name="Line 22"/>
          <xdr:cNvSpPr>
            <a:spLocks noChangeShapeType="1"/>
          </xdr:cNvSpPr>
        </xdr:nvSpPr>
        <xdr:spPr bwMode="auto">
          <a:xfrm rot="5400000">
            <a:off x="493" y="-36"/>
            <a:ext cx="2" cy="166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24" name="Text Box 23"/>
          <xdr:cNvSpPr txBox="1">
            <a:spLocks noChangeArrowheads="1"/>
          </xdr:cNvSpPr>
        </xdr:nvSpPr>
        <xdr:spPr bwMode="auto">
          <a:xfrm>
            <a:off x="405" y="55"/>
            <a:ext cx="163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57</xdr:row>
      <xdr:rowOff>19050</xdr:rowOff>
    </xdr:from>
    <xdr:to>
      <xdr:col>2</xdr:col>
      <xdr:colOff>0</xdr:colOff>
      <xdr:row>65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00325" y="10182225"/>
          <a:ext cx="0" cy="14954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56</xdr:row>
      <xdr:rowOff>152400</xdr:rowOff>
    </xdr:from>
    <xdr:to>
      <xdr:col>2</xdr:col>
      <xdr:colOff>0</xdr:colOff>
      <xdr:row>65</xdr:row>
      <xdr:rowOff>142875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600325" y="10144125"/>
          <a:ext cx="0" cy="153352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35</xdr:row>
      <xdr:rowOff>114300</xdr:rowOff>
    </xdr:from>
    <xdr:to>
      <xdr:col>2</xdr:col>
      <xdr:colOff>0</xdr:colOff>
      <xdr:row>36</xdr:row>
      <xdr:rowOff>95250</xdr:rowOff>
    </xdr:to>
    <xdr:cxnSp macro="">
      <xdr:nvCxnSpPr>
        <xdr:cNvPr id="4" name="AutoShape 3"/>
        <xdr:cNvCxnSpPr>
          <a:cxnSpLocks noChangeShapeType="1"/>
        </xdr:cNvCxnSpPr>
      </xdr:nvCxnSpPr>
      <xdr:spPr bwMode="auto">
        <a:xfrm rot="5400000" flipH="1" flipV="1">
          <a:off x="2524125" y="6924675"/>
          <a:ext cx="152400" cy="0"/>
        </a:xfrm>
        <a:prstGeom prst="bentConnector4">
          <a:avLst>
            <a:gd name="adj1" fmla="val -145000"/>
            <a:gd name="adj2" fmla="val 70833"/>
          </a:avLst>
        </a:prstGeom>
        <a:noFill/>
        <a:ln w="9525">
          <a:noFill/>
          <a:miter lim="800000"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H="1">
          <a:off x="2600325" y="4667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9525</xdr:rowOff>
    </xdr:from>
    <xdr:to>
      <xdr:col>2</xdr:col>
      <xdr:colOff>0</xdr:colOff>
      <xdr:row>1</xdr:row>
      <xdr:rowOff>9525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H="1">
          <a:off x="2600325" y="4667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133350</xdr:rowOff>
    </xdr:from>
    <xdr:to>
      <xdr:col>2</xdr:col>
      <xdr:colOff>0</xdr:colOff>
      <xdr:row>1</xdr:row>
      <xdr:rowOff>133350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2600325" y="59055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H="1">
          <a:off x="2600325" y="457200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0</xdr:row>
      <xdr:rowOff>161925</xdr:rowOff>
    </xdr:from>
    <xdr:to>
      <xdr:col>2</xdr:col>
      <xdr:colOff>0</xdr:colOff>
      <xdr:row>0</xdr:row>
      <xdr:rowOff>161925</xdr:rowOff>
    </xdr:to>
    <xdr:cxnSp macro="">
      <xdr:nvCxnSpPr>
        <xdr:cNvPr id="12" name="AutoShape 11"/>
        <xdr:cNvCxnSpPr>
          <a:cxnSpLocks noChangeShapeType="1"/>
        </xdr:cNvCxnSpPr>
      </xdr:nvCxnSpPr>
      <xdr:spPr bwMode="auto">
        <a:xfrm>
          <a:off x="2600325" y="161925"/>
          <a:ext cx="0" cy="0"/>
        </a:xfrm>
        <a:prstGeom prst="straightConnector1">
          <a:avLst/>
        </a:prstGeom>
        <a:noFill/>
        <a:ln w="9525">
          <a:noFill/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64</xdr:row>
      <xdr:rowOff>123825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2600325" y="10163175"/>
          <a:ext cx="0" cy="13239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2600325" y="117062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2600325" y="11706225"/>
          <a:ext cx="0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54</xdr:row>
      <xdr:rowOff>9525</xdr:rowOff>
    </xdr:from>
    <xdr:to>
      <xdr:col>2</xdr:col>
      <xdr:colOff>0</xdr:colOff>
      <xdr:row>56</xdr:row>
      <xdr:rowOff>161925</xdr:rowOff>
    </xdr:to>
    <xdr:sp macro="" textlink="">
      <xdr:nvSpPr>
        <xdr:cNvPr id="16" name="AutoShape 15"/>
        <xdr:cNvSpPr>
          <a:spLocks noChangeArrowheads="1"/>
        </xdr:cNvSpPr>
      </xdr:nvSpPr>
      <xdr:spPr bwMode="auto">
        <a:xfrm>
          <a:off x="2600325" y="9658350"/>
          <a:ext cx="0" cy="495300"/>
        </a:xfrm>
        <a:prstGeom prst="wedgeEllipseCallout">
          <a:avLst>
            <a:gd name="adj1" fmla="val -45699"/>
            <a:gd name="adj2" fmla="val 69231"/>
          </a:avLst>
        </a:prstGeom>
        <a:solidFill>
          <a:srgbClr val="CCFFFF"/>
        </a:solidFill>
        <a:ln w="9525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Add monthly Interest</a:t>
          </a:r>
        </a:p>
      </xdr:txBody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70</xdr:row>
      <xdr:rowOff>19050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2600325" y="11734800"/>
          <a:ext cx="0" cy="7905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57150</xdr:rowOff>
    </xdr:from>
    <xdr:to>
      <xdr:col>2</xdr:col>
      <xdr:colOff>0</xdr:colOff>
      <xdr:row>70</xdr:row>
      <xdr:rowOff>9525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2600325" y="11763375"/>
          <a:ext cx="0" cy="752475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66</xdr:row>
      <xdr:rowOff>28575</xdr:rowOff>
    </xdr:from>
    <xdr:to>
      <xdr:col>2</xdr:col>
      <xdr:colOff>0</xdr:colOff>
      <xdr:row>69</xdr:row>
      <xdr:rowOff>142875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2600325" y="11734800"/>
          <a:ext cx="0" cy="72390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113</xdr:col>
      <xdr:colOff>811742</xdr:colOff>
      <xdr:row>0</xdr:row>
      <xdr:rowOff>95250</xdr:rowOff>
    </xdr:from>
    <xdr:to>
      <xdr:col>115</xdr:col>
      <xdr:colOff>640293</xdr:colOff>
      <xdr:row>4</xdr:row>
      <xdr:rowOff>123825</xdr:rowOff>
    </xdr:to>
    <xdr:grpSp>
      <xdr:nvGrpSpPr>
        <xdr:cNvPr id="25" name="Group 24"/>
        <xdr:cNvGrpSpPr>
          <a:grpSpLocks/>
        </xdr:cNvGrpSpPr>
      </xdr:nvGrpSpPr>
      <xdr:grpSpPr bwMode="auto">
        <a:xfrm>
          <a:off x="94939909" y="95250"/>
          <a:ext cx="1458384" cy="1425575"/>
          <a:chOff x="405" y="14"/>
          <a:chExt cx="314" cy="109"/>
        </a:xfrm>
      </xdr:grpSpPr>
      <xdr:sp macro="" textlink="">
        <xdr:nvSpPr>
          <xdr:cNvPr id="26" name="Line 20"/>
          <xdr:cNvSpPr>
            <a:spLocks noChangeShapeType="1"/>
          </xdr:cNvSpPr>
        </xdr:nvSpPr>
        <xdr:spPr bwMode="auto">
          <a:xfrm rot="-5400000">
            <a:off x="654" y="-20"/>
            <a:ext cx="0" cy="131"/>
          </a:xfrm>
          <a:prstGeom prst="line">
            <a:avLst/>
          </a:prstGeom>
          <a:noFill/>
          <a:ln w="28575">
            <a:solidFill>
              <a:srgbClr val="010000"/>
            </a:solidFill>
            <a:prstDash val="lgDash"/>
            <a:round/>
            <a:headEnd/>
            <a:tailEnd type="stealth" w="lg" len="lg"/>
          </a:ln>
        </xdr:spPr>
      </xdr:sp>
      <xdr:sp macro="" textlink="">
        <xdr:nvSpPr>
          <xdr:cNvPr id="27" name="Line 21"/>
          <xdr:cNvSpPr>
            <a:spLocks noChangeShapeType="1"/>
          </xdr:cNvSpPr>
        </xdr:nvSpPr>
        <xdr:spPr bwMode="auto">
          <a:xfrm>
            <a:off x="585" y="14"/>
            <a:ext cx="0" cy="109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Line 22"/>
          <xdr:cNvSpPr>
            <a:spLocks noChangeShapeType="1"/>
          </xdr:cNvSpPr>
        </xdr:nvSpPr>
        <xdr:spPr bwMode="auto">
          <a:xfrm rot="5400000">
            <a:off x="498" y="-41"/>
            <a:ext cx="2" cy="17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stealth" w="lg" len="lg"/>
          </a:ln>
        </xdr:spPr>
      </xdr:sp>
      <xdr:sp macro="" textlink="">
        <xdr:nvSpPr>
          <xdr:cNvPr id="29" name="Text Box 23"/>
          <xdr:cNvSpPr txBox="1">
            <a:spLocks noChangeArrowheads="1"/>
          </xdr:cNvSpPr>
        </xdr:nvSpPr>
        <xdr:spPr bwMode="auto">
          <a:xfrm>
            <a:off x="405" y="55"/>
            <a:ext cx="163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800" b="0" i="1" u="none" strike="noStrike" baseline="0">
                <a:solidFill>
                  <a:srgbClr val="000000"/>
                </a:solidFill>
                <a:latin typeface="Arial Black"/>
              </a:rPr>
              <a:t>Cash Recon    Cashflow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%20Services/Cash%20Positioning/FY%202010/Cash%20Positioning%20-October%2020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-1"/>
      <sheetName val="10-2"/>
      <sheetName val="10-5"/>
      <sheetName val="10-6"/>
      <sheetName val="10-7"/>
      <sheetName val="10-8"/>
      <sheetName val="10-9"/>
      <sheetName val="10-13"/>
      <sheetName val="10-14"/>
      <sheetName val="10-15"/>
      <sheetName val="10-16"/>
      <sheetName val="10-19"/>
      <sheetName val="10-20"/>
      <sheetName val="10-21"/>
      <sheetName val="10-22"/>
      <sheetName val="10-23"/>
      <sheetName val="10-26"/>
      <sheetName val="10-27"/>
      <sheetName val="10-28"/>
      <sheetName val="10-29"/>
      <sheetName val="10-30"/>
      <sheetName val="--"/>
    </sheetNames>
    <sheetDataSet>
      <sheetData sheetId="0"/>
      <sheetData sheetId="1"/>
      <sheetData sheetId="2"/>
      <sheetData sheetId="3"/>
      <sheetData sheetId="4">
        <row r="17">
          <cell r="C17">
            <v>387503.46</v>
          </cell>
        </row>
        <row r="18">
          <cell r="C18">
            <v>474579.05</v>
          </cell>
        </row>
        <row r="19">
          <cell r="C19">
            <v>0</v>
          </cell>
        </row>
        <row r="20">
          <cell r="C20">
            <v>25628.32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 enableFormatConditionsCalculation="0">
    <tabColor indexed="47"/>
  </sheetPr>
  <dimension ref="A1:IV68"/>
  <sheetViews>
    <sheetView showGridLines="0" showOutlineSymbols="0" defaultGridColor="0" colorId="8" zoomScale="115" zoomScaleNormal="120" zoomScaleSheetLayoutView="100" workbookViewId="0">
      <pane xSplit="2" ySplit="6" topLeftCell="IR52" activePane="bottomRight" state="frozen"/>
      <selection pane="topRight" activeCell="C1" sqref="C1"/>
      <selection pane="bottomLeft" activeCell="A7" sqref="A7"/>
      <selection pane="bottomRight" activeCell="EG68" sqref="EG68"/>
    </sheetView>
  </sheetViews>
  <sheetFormatPr defaultColWidth="10.625" defaultRowHeight="14.25"/>
  <cols>
    <col min="1" max="1" width="17.375" customWidth="1"/>
    <col min="2" max="2" width="10.375" customWidth="1"/>
    <col min="3" max="3" width="10" style="152" customWidth="1"/>
    <col min="4" max="4" width="10" style="8" bestFit="1" customWidth="1"/>
    <col min="5" max="17" width="10" bestFit="1" customWidth="1"/>
    <col min="18" max="22" width="10.625" customWidth="1"/>
    <col min="23" max="23" width="10.625" style="152" customWidth="1"/>
    <col min="24" max="43" width="10.625" customWidth="1"/>
    <col min="44" max="44" width="10.625" style="152" customWidth="1"/>
    <col min="45" max="65" width="10.625" customWidth="1"/>
    <col min="66" max="66" width="10.625" style="152" customWidth="1"/>
    <col min="67" max="86" width="10.625" customWidth="1"/>
    <col min="87" max="87" width="10.625" style="152" customWidth="1"/>
    <col min="88" max="107" width="10.625" customWidth="1"/>
    <col min="108" max="108" width="10.625" style="152" customWidth="1"/>
    <col min="109" max="109" width="11.625" style="83" bestFit="1" customWidth="1"/>
    <col min="110" max="117" width="10.625" customWidth="1"/>
    <col min="118" max="118" width="10.625" style="8" customWidth="1"/>
    <col min="119" max="121" width="10.625" customWidth="1"/>
    <col min="122" max="122" width="10.625" style="83" customWidth="1"/>
    <col min="123" max="129" width="10.625" customWidth="1"/>
    <col min="130" max="130" width="10.625" style="152" customWidth="1"/>
    <col min="131" max="136" width="10.625" customWidth="1"/>
    <col min="137" max="137" width="11.5" style="38" bestFit="1" customWidth="1"/>
    <col min="138" max="138" width="10.625" style="8" customWidth="1"/>
    <col min="139" max="140" width="10.625" customWidth="1"/>
    <col min="141" max="141" width="10.625" style="56" customWidth="1"/>
    <col min="142" max="150" width="10.625" customWidth="1"/>
    <col min="151" max="151" width="10.625" style="152" customWidth="1"/>
    <col min="152" max="160" width="10.625" customWidth="1"/>
    <col min="161" max="162" width="10.625" style="8" customWidth="1"/>
    <col min="163" max="167" width="10.625" customWidth="1"/>
    <col min="168" max="168" width="10.625" style="56" customWidth="1"/>
    <col min="169" max="171" width="10.625" customWidth="1"/>
    <col min="172" max="172" width="10.625" style="152" customWidth="1"/>
    <col min="173" max="181" width="10.625" customWidth="1"/>
    <col min="182" max="182" width="10.625" style="38" customWidth="1"/>
    <col min="183" max="193" width="10.625" customWidth="1"/>
    <col min="194" max="194" width="10.625" style="152" customWidth="1"/>
    <col min="195" max="202" width="10.625" customWidth="1"/>
    <col min="203" max="203" width="10.625" style="38" customWidth="1"/>
    <col min="204" max="211" width="10.625" customWidth="1"/>
    <col min="212" max="212" width="10.625" style="152" customWidth="1"/>
    <col min="213" max="220" width="10.625" customWidth="1"/>
    <col min="221" max="223" width="10.625" style="8" customWidth="1"/>
    <col min="224" max="233" width="10.625" customWidth="1"/>
    <col min="234" max="234" width="10.625" style="152" customWidth="1"/>
    <col min="235" max="241" width="10.625" customWidth="1"/>
    <col min="242" max="242" width="10.625" style="38" customWidth="1"/>
    <col min="243" max="253" width="10.625" customWidth="1"/>
    <col min="254" max="254" width="10.625" style="152" customWidth="1"/>
    <col min="255" max="255" width="10.625" style="8" customWidth="1"/>
  </cols>
  <sheetData>
    <row r="1" spans="1:256" ht="27">
      <c r="A1" s="17" t="s">
        <v>36</v>
      </c>
      <c r="B1" s="1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3"/>
      <c r="DE1" s="166" t="s">
        <v>65</v>
      </c>
      <c r="DQ1" s="8"/>
      <c r="DR1" s="164" t="s">
        <v>70</v>
      </c>
      <c r="EG1" s="119" t="s">
        <v>67</v>
      </c>
      <c r="EK1" s="117" t="s">
        <v>61</v>
      </c>
      <c r="FL1" s="68" t="s">
        <v>58</v>
      </c>
      <c r="FZ1" s="97"/>
      <c r="HM1" s="139"/>
      <c r="HN1" s="125" t="s">
        <v>49</v>
      </c>
      <c r="HO1" s="68" t="s">
        <v>58</v>
      </c>
      <c r="IH1" s="97"/>
    </row>
    <row r="2" spans="1:256" ht="19.5">
      <c r="A2" s="19" t="s">
        <v>0</v>
      </c>
      <c r="B2" s="19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3"/>
      <c r="DE2" s="166" t="s">
        <v>72</v>
      </c>
      <c r="DR2" s="164" t="s">
        <v>66</v>
      </c>
      <c r="EG2" s="119" t="s">
        <v>68</v>
      </c>
      <c r="EK2" s="118" t="s">
        <v>59</v>
      </c>
      <c r="FL2" s="69" t="s">
        <v>59</v>
      </c>
      <c r="FZ2" s="98"/>
      <c r="HM2" s="140"/>
      <c r="HN2" s="126" t="s">
        <v>49</v>
      </c>
      <c r="HO2" s="69" t="s">
        <v>59</v>
      </c>
      <c r="IH2" s="98"/>
    </row>
    <row r="3" spans="1:256" ht="15">
      <c r="B3" s="16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3"/>
      <c r="EK3" s="121" t="s">
        <v>71</v>
      </c>
      <c r="FL3" s="69" t="s">
        <v>62</v>
      </c>
      <c r="FZ3" s="98"/>
      <c r="HM3" s="140"/>
      <c r="HN3" s="126" t="s">
        <v>49</v>
      </c>
      <c r="HO3" s="69" t="s">
        <v>63</v>
      </c>
      <c r="IH3" s="98"/>
    </row>
    <row r="4" spans="1:256" s="50" customFormat="1" ht="14.1" customHeight="1">
      <c r="A4" s="51" t="s">
        <v>1</v>
      </c>
      <c r="B4" s="47" t="s">
        <v>46</v>
      </c>
      <c r="C4" s="55">
        <v>39478</v>
      </c>
      <c r="D4" s="48">
        <v>39479</v>
      </c>
      <c r="E4" s="48">
        <v>39482</v>
      </c>
      <c r="F4" s="48">
        <v>39483</v>
      </c>
      <c r="G4" s="48">
        <v>39484</v>
      </c>
      <c r="H4" s="48">
        <v>39485</v>
      </c>
      <c r="I4" s="54">
        <v>39486</v>
      </c>
      <c r="J4" s="48">
        <v>39489</v>
      </c>
      <c r="K4" s="48">
        <v>39490</v>
      </c>
      <c r="L4" s="48">
        <v>39491</v>
      </c>
      <c r="M4" s="48">
        <v>39492</v>
      </c>
      <c r="N4" s="54">
        <v>39493</v>
      </c>
      <c r="O4" s="48">
        <v>39497</v>
      </c>
      <c r="P4" s="48">
        <v>39498</v>
      </c>
      <c r="Q4" s="48">
        <v>39499</v>
      </c>
      <c r="R4" s="54">
        <v>39500</v>
      </c>
      <c r="S4" s="48">
        <v>39503</v>
      </c>
      <c r="T4" s="84">
        <v>39504</v>
      </c>
      <c r="U4" s="48">
        <v>39505</v>
      </c>
      <c r="V4" s="48">
        <v>39506</v>
      </c>
      <c r="W4" s="55">
        <v>39507</v>
      </c>
      <c r="X4" s="48">
        <v>39510</v>
      </c>
      <c r="Y4" s="48">
        <v>39511</v>
      </c>
      <c r="Z4" s="48">
        <v>39512</v>
      </c>
      <c r="AA4" s="48">
        <v>39513</v>
      </c>
      <c r="AB4" s="54">
        <v>39514</v>
      </c>
      <c r="AC4" s="48">
        <v>39517</v>
      </c>
      <c r="AD4" s="48">
        <v>39518</v>
      </c>
      <c r="AE4" s="48">
        <v>39519</v>
      </c>
      <c r="AF4" s="54">
        <v>39520</v>
      </c>
      <c r="AG4" s="48">
        <v>39521</v>
      </c>
      <c r="AH4" s="48">
        <v>39524</v>
      </c>
      <c r="AI4" s="48">
        <v>39525</v>
      </c>
      <c r="AJ4" s="48">
        <v>39526</v>
      </c>
      <c r="AK4" s="48">
        <v>39527</v>
      </c>
      <c r="AL4" s="54">
        <v>39528</v>
      </c>
      <c r="AM4" s="48">
        <v>39531</v>
      </c>
      <c r="AN4" s="48">
        <v>39532</v>
      </c>
      <c r="AO4" s="48">
        <v>39533</v>
      </c>
      <c r="AP4" s="48">
        <v>39534</v>
      </c>
      <c r="AQ4" s="48">
        <v>39535</v>
      </c>
      <c r="AR4" s="55">
        <v>39538</v>
      </c>
      <c r="AS4" s="48">
        <v>39539</v>
      </c>
      <c r="AT4" s="48">
        <v>39540</v>
      </c>
      <c r="AU4" s="48">
        <v>39541</v>
      </c>
      <c r="AV4" s="54">
        <v>39542</v>
      </c>
      <c r="AW4" s="48">
        <v>39545</v>
      </c>
      <c r="AX4" s="48">
        <v>39546</v>
      </c>
      <c r="AY4" s="48">
        <v>39547</v>
      </c>
      <c r="AZ4" s="48">
        <v>39548</v>
      </c>
      <c r="BA4" s="48">
        <v>39549</v>
      </c>
      <c r="BB4" s="48">
        <v>39552</v>
      </c>
      <c r="BC4" s="54">
        <v>39553</v>
      </c>
      <c r="BD4" s="48">
        <v>39554</v>
      </c>
      <c r="BE4" s="48">
        <v>39555</v>
      </c>
      <c r="BF4" s="54">
        <v>39556</v>
      </c>
      <c r="BG4" s="48">
        <v>39559</v>
      </c>
      <c r="BH4" s="48">
        <v>39560</v>
      </c>
      <c r="BI4" s="48">
        <v>39561</v>
      </c>
      <c r="BJ4" s="48">
        <v>39562</v>
      </c>
      <c r="BK4" s="48">
        <v>39563</v>
      </c>
      <c r="BL4" s="48">
        <v>39566</v>
      </c>
      <c r="BM4" s="48">
        <v>39567</v>
      </c>
      <c r="BN4" s="55">
        <v>39568</v>
      </c>
      <c r="BO4" s="48">
        <v>39569</v>
      </c>
      <c r="BP4" s="54">
        <v>39570</v>
      </c>
      <c r="BQ4" s="48">
        <v>39573</v>
      </c>
      <c r="BR4" s="48">
        <v>39574</v>
      </c>
      <c r="BS4" s="48">
        <v>39575</v>
      </c>
      <c r="BT4" s="48">
        <v>39576</v>
      </c>
      <c r="BU4" s="48">
        <v>39577</v>
      </c>
      <c r="BV4" s="48">
        <v>39580</v>
      </c>
      <c r="BW4" s="48">
        <v>39581</v>
      </c>
      <c r="BX4" s="48">
        <v>39582</v>
      </c>
      <c r="BY4" s="54">
        <v>39583</v>
      </c>
      <c r="BZ4" s="54">
        <v>39584</v>
      </c>
      <c r="CA4" s="48">
        <v>39587</v>
      </c>
      <c r="CB4" s="48">
        <v>39588</v>
      </c>
      <c r="CC4" s="48">
        <v>39589</v>
      </c>
      <c r="CD4" s="48">
        <v>39590</v>
      </c>
      <c r="CE4" s="48">
        <v>39591</v>
      </c>
      <c r="CF4" s="48">
        <v>39595</v>
      </c>
      <c r="CG4" s="48">
        <v>39596</v>
      </c>
      <c r="CH4" s="48">
        <v>39597</v>
      </c>
      <c r="CI4" s="54">
        <v>39598</v>
      </c>
      <c r="CJ4" s="48">
        <v>39601</v>
      </c>
      <c r="CK4" s="48">
        <v>39602</v>
      </c>
      <c r="CL4" s="48">
        <v>39603</v>
      </c>
      <c r="CM4" s="48">
        <v>39604</v>
      </c>
      <c r="CN4" s="48">
        <v>39605</v>
      </c>
      <c r="CO4" s="48">
        <v>39608</v>
      </c>
      <c r="CP4" s="48">
        <v>39609</v>
      </c>
      <c r="CQ4" s="48">
        <v>39610</v>
      </c>
      <c r="CR4" s="48">
        <v>39611</v>
      </c>
      <c r="CS4" s="54">
        <v>39612</v>
      </c>
      <c r="CT4" s="48">
        <v>39615</v>
      </c>
      <c r="CU4" s="48">
        <v>39616</v>
      </c>
      <c r="CV4" s="48">
        <v>39617</v>
      </c>
      <c r="CW4" s="48">
        <v>39618</v>
      </c>
      <c r="CX4" s="48">
        <v>39619</v>
      </c>
      <c r="CY4" s="48">
        <v>39622</v>
      </c>
      <c r="CZ4" s="48">
        <v>39623</v>
      </c>
      <c r="DA4" s="48">
        <v>39624</v>
      </c>
      <c r="DB4" s="48">
        <v>39625</v>
      </c>
      <c r="DC4" s="54">
        <v>39626</v>
      </c>
      <c r="DD4" s="55">
        <v>39629</v>
      </c>
      <c r="DE4" s="84">
        <v>39630</v>
      </c>
      <c r="DF4" s="48">
        <v>39631</v>
      </c>
      <c r="DG4" s="48">
        <v>39632</v>
      </c>
      <c r="DH4" s="48">
        <v>39636</v>
      </c>
      <c r="DI4" s="48">
        <v>39637</v>
      </c>
      <c r="DJ4" s="48">
        <v>39638</v>
      </c>
      <c r="DK4" s="48">
        <v>39639</v>
      </c>
      <c r="DL4" s="54">
        <v>39640</v>
      </c>
      <c r="DM4" s="48">
        <v>39643</v>
      </c>
      <c r="DN4" s="54">
        <v>39644</v>
      </c>
      <c r="DO4" s="48">
        <v>39645</v>
      </c>
      <c r="DP4" s="48">
        <v>39646</v>
      </c>
      <c r="DQ4" s="48">
        <v>39281</v>
      </c>
      <c r="DR4" s="84">
        <v>39650</v>
      </c>
      <c r="DS4" s="48">
        <v>39651</v>
      </c>
      <c r="DT4" s="48">
        <v>39652</v>
      </c>
      <c r="DU4" s="48">
        <v>39653</v>
      </c>
      <c r="DV4" s="54">
        <v>39654</v>
      </c>
      <c r="DW4" s="48">
        <v>39657</v>
      </c>
      <c r="DX4" s="48">
        <v>39658</v>
      </c>
      <c r="DY4" s="48">
        <v>39659</v>
      </c>
      <c r="DZ4" s="55">
        <v>39660</v>
      </c>
      <c r="EA4" s="48">
        <v>39661</v>
      </c>
      <c r="EB4" s="48">
        <v>39664</v>
      </c>
      <c r="EC4" s="48">
        <v>39665</v>
      </c>
      <c r="ED4" s="48">
        <v>39666</v>
      </c>
      <c r="EE4" s="48">
        <v>39667</v>
      </c>
      <c r="EF4" s="54">
        <v>39668</v>
      </c>
      <c r="EG4" s="52">
        <v>39671</v>
      </c>
      <c r="EH4" s="48">
        <v>39672</v>
      </c>
      <c r="EI4" s="48">
        <v>39673</v>
      </c>
      <c r="EJ4" s="48">
        <v>39674</v>
      </c>
      <c r="EK4" s="180">
        <v>39675</v>
      </c>
      <c r="EL4" s="48">
        <v>39678</v>
      </c>
      <c r="EM4" s="48">
        <v>39679</v>
      </c>
      <c r="EN4" s="48">
        <v>39680</v>
      </c>
      <c r="EO4" s="48">
        <v>39681</v>
      </c>
      <c r="EP4" s="54">
        <v>39682</v>
      </c>
      <c r="EQ4" s="48">
        <v>39685</v>
      </c>
      <c r="ER4" s="48">
        <v>39686</v>
      </c>
      <c r="ES4" s="48">
        <v>39687</v>
      </c>
      <c r="ET4" s="48">
        <v>39688</v>
      </c>
      <c r="EU4" s="55">
        <v>39689</v>
      </c>
      <c r="EV4" s="48">
        <v>39693</v>
      </c>
      <c r="EW4" s="48">
        <v>39694</v>
      </c>
      <c r="EX4" s="48">
        <v>39695</v>
      </c>
      <c r="EY4" s="54">
        <v>39696</v>
      </c>
      <c r="EZ4" s="48">
        <v>39699</v>
      </c>
      <c r="FA4" s="48">
        <v>39700</v>
      </c>
      <c r="FB4" s="48">
        <v>39701</v>
      </c>
      <c r="FC4" s="48">
        <v>39702</v>
      </c>
      <c r="FD4" s="48">
        <v>39703</v>
      </c>
      <c r="FE4" s="54">
        <v>39706</v>
      </c>
      <c r="FF4" s="48">
        <v>39707</v>
      </c>
      <c r="FG4" s="48">
        <v>39708</v>
      </c>
      <c r="FH4" s="48">
        <v>39709</v>
      </c>
      <c r="FI4" s="54">
        <v>39710</v>
      </c>
      <c r="FJ4" s="48">
        <v>39713</v>
      </c>
      <c r="FK4" s="48">
        <v>39714</v>
      </c>
      <c r="FL4" s="70">
        <v>39715</v>
      </c>
      <c r="FM4" s="48">
        <v>39716</v>
      </c>
      <c r="FN4" s="48">
        <v>39717</v>
      </c>
      <c r="FO4" s="48">
        <v>39720</v>
      </c>
      <c r="FP4" s="55">
        <v>39721</v>
      </c>
      <c r="FQ4" s="48">
        <v>39722</v>
      </c>
      <c r="FR4" s="48">
        <v>39723</v>
      </c>
      <c r="FS4" s="54">
        <v>39724</v>
      </c>
      <c r="FT4" s="48">
        <v>39727</v>
      </c>
      <c r="FU4" s="48">
        <v>39728</v>
      </c>
      <c r="FV4" s="48">
        <v>39729</v>
      </c>
      <c r="FW4" s="48">
        <v>39730</v>
      </c>
      <c r="FX4" s="48">
        <v>39731</v>
      </c>
      <c r="FY4" s="48">
        <v>39735</v>
      </c>
      <c r="FZ4" s="183">
        <v>39736</v>
      </c>
      <c r="GA4" s="48">
        <v>39737</v>
      </c>
      <c r="GB4" s="54">
        <v>39738</v>
      </c>
      <c r="GC4" s="48">
        <v>39741</v>
      </c>
      <c r="GD4" s="48">
        <v>39742</v>
      </c>
      <c r="GE4" s="48">
        <v>39743</v>
      </c>
      <c r="GF4" s="48">
        <v>39744</v>
      </c>
      <c r="GG4" s="48">
        <v>39745</v>
      </c>
      <c r="GH4" s="48">
        <v>39748</v>
      </c>
      <c r="GI4" s="48">
        <v>39749</v>
      </c>
      <c r="GJ4" s="48">
        <v>39750</v>
      </c>
      <c r="GK4" s="48">
        <v>39751</v>
      </c>
      <c r="GL4" s="54">
        <v>39752</v>
      </c>
      <c r="GM4" s="48">
        <v>39755</v>
      </c>
      <c r="GN4" s="48">
        <v>39756</v>
      </c>
      <c r="GO4" s="48">
        <v>39757</v>
      </c>
      <c r="GP4" s="48">
        <v>39758</v>
      </c>
      <c r="GQ4" s="48">
        <v>39759</v>
      </c>
      <c r="GR4" s="48">
        <v>39762</v>
      </c>
      <c r="GS4" s="48">
        <v>39764</v>
      </c>
      <c r="GT4" s="48">
        <v>39765</v>
      </c>
      <c r="GU4" s="54">
        <v>39766</v>
      </c>
      <c r="GV4" s="48">
        <v>39769</v>
      </c>
      <c r="GW4" s="48">
        <v>39770</v>
      </c>
      <c r="GX4" s="48">
        <v>39771</v>
      </c>
      <c r="GY4" s="48">
        <v>39772</v>
      </c>
      <c r="GZ4" s="48">
        <v>39773</v>
      </c>
      <c r="HA4" s="48">
        <v>39776</v>
      </c>
      <c r="HB4" s="48">
        <v>39777</v>
      </c>
      <c r="HC4" s="48">
        <v>39778</v>
      </c>
      <c r="HD4" s="54">
        <v>39780</v>
      </c>
      <c r="HE4" s="48">
        <v>37226</v>
      </c>
      <c r="HF4" s="48">
        <f>+HE4+1</f>
        <v>37227</v>
      </c>
      <c r="HG4" s="48">
        <v>39785</v>
      </c>
      <c r="HH4" s="48">
        <f t="shared" ref="HH4:HP4" si="0">+HG4+1</f>
        <v>39786</v>
      </c>
      <c r="HI4" s="48">
        <f t="shared" si="0"/>
        <v>39787</v>
      </c>
      <c r="HJ4" s="48">
        <v>39790</v>
      </c>
      <c r="HK4" s="48">
        <f t="shared" si="0"/>
        <v>39791</v>
      </c>
      <c r="HL4" s="48">
        <f t="shared" si="0"/>
        <v>39792</v>
      </c>
      <c r="HM4" s="48">
        <f t="shared" si="0"/>
        <v>39793</v>
      </c>
      <c r="HN4" s="187">
        <f t="shared" si="0"/>
        <v>39794</v>
      </c>
      <c r="HO4" s="180">
        <v>39797</v>
      </c>
      <c r="HP4" s="48">
        <f t="shared" si="0"/>
        <v>39798</v>
      </c>
      <c r="HQ4" s="48">
        <f>HP4+1</f>
        <v>39799</v>
      </c>
      <c r="HR4" s="48">
        <f>HQ4+1</f>
        <v>39800</v>
      </c>
      <c r="HS4" s="48">
        <f t="shared" ref="HS4:IT4" si="1">HR4+1</f>
        <v>39801</v>
      </c>
      <c r="HT4" s="48">
        <v>39804</v>
      </c>
      <c r="HU4" s="48">
        <f t="shared" si="1"/>
        <v>39805</v>
      </c>
      <c r="HV4" s="48">
        <f t="shared" si="1"/>
        <v>39806</v>
      </c>
      <c r="HW4" s="54">
        <v>39808</v>
      </c>
      <c r="HX4" s="48">
        <v>39811</v>
      </c>
      <c r="HY4" s="48">
        <f t="shared" si="1"/>
        <v>39812</v>
      </c>
      <c r="HZ4" s="55">
        <f t="shared" si="1"/>
        <v>39813</v>
      </c>
      <c r="IA4" s="48">
        <v>39815</v>
      </c>
      <c r="IB4" s="48">
        <v>39818</v>
      </c>
      <c r="IC4" s="48">
        <f t="shared" si="1"/>
        <v>39819</v>
      </c>
      <c r="ID4" s="48">
        <f t="shared" si="1"/>
        <v>39820</v>
      </c>
      <c r="IE4" s="48">
        <f t="shared" si="1"/>
        <v>39821</v>
      </c>
      <c r="IF4" s="54">
        <f t="shared" si="1"/>
        <v>39822</v>
      </c>
      <c r="IG4" s="48">
        <v>39825</v>
      </c>
      <c r="IH4" s="99">
        <f t="shared" si="1"/>
        <v>39826</v>
      </c>
      <c r="II4" s="48">
        <f t="shared" si="1"/>
        <v>39827</v>
      </c>
      <c r="IJ4" s="54">
        <f t="shared" si="1"/>
        <v>39828</v>
      </c>
      <c r="IK4" s="48">
        <f t="shared" si="1"/>
        <v>39829</v>
      </c>
      <c r="IL4" s="48">
        <v>39833</v>
      </c>
      <c r="IM4" s="48">
        <f t="shared" si="1"/>
        <v>39834</v>
      </c>
      <c r="IN4" s="48">
        <f t="shared" si="1"/>
        <v>39835</v>
      </c>
      <c r="IO4" s="54">
        <f t="shared" si="1"/>
        <v>39836</v>
      </c>
      <c r="IP4" s="48">
        <v>39839</v>
      </c>
      <c r="IQ4" s="48">
        <f t="shared" si="1"/>
        <v>39840</v>
      </c>
      <c r="IR4" s="48">
        <f t="shared" si="1"/>
        <v>39841</v>
      </c>
      <c r="IS4" s="48">
        <f t="shared" si="1"/>
        <v>39842</v>
      </c>
      <c r="IT4" s="55">
        <f t="shared" si="1"/>
        <v>39843</v>
      </c>
      <c r="IU4" s="49" t="s">
        <v>73</v>
      </c>
    </row>
    <row r="5" spans="1:256" s="174" customFormat="1" ht="14.1" customHeight="1" thickBot="1">
      <c r="A5" s="167" t="s">
        <v>64</v>
      </c>
      <c r="B5" s="168"/>
      <c r="C5" s="169"/>
      <c r="D5" s="170"/>
      <c r="E5" s="170"/>
      <c r="F5" s="170"/>
      <c r="G5" s="170"/>
      <c r="H5" s="170"/>
      <c r="I5" s="171" t="s">
        <v>74</v>
      </c>
      <c r="J5" s="170"/>
      <c r="K5" s="170"/>
      <c r="L5" s="170"/>
      <c r="M5" s="170"/>
      <c r="N5" s="171" t="s">
        <v>75</v>
      </c>
      <c r="O5" s="170"/>
      <c r="P5" s="170"/>
      <c r="Q5" s="170"/>
      <c r="R5" s="171" t="s">
        <v>74</v>
      </c>
      <c r="S5" s="170"/>
      <c r="T5" s="175"/>
      <c r="W5" s="169"/>
      <c r="AB5" s="171" t="s">
        <v>74</v>
      </c>
      <c r="AF5" s="171" t="s">
        <v>75</v>
      </c>
      <c r="AL5" s="171" t="s">
        <v>74</v>
      </c>
      <c r="AR5" s="169"/>
      <c r="AV5" s="171" t="s">
        <v>74</v>
      </c>
      <c r="BC5" s="171" t="s">
        <v>75</v>
      </c>
      <c r="BF5" s="171" t="s">
        <v>74</v>
      </c>
      <c r="BN5" s="169"/>
      <c r="BP5" s="171" t="s">
        <v>74</v>
      </c>
      <c r="BY5" s="171" t="s">
        <v>75</v>
      </c>
      <c r="BZ5" s="171" t="s">
        <v>74</v>
      </c>
      <c r="CI5" s="171" t="s">
        <v>74</v>
      </c>
      <c r="CS5" s="171" t="s">
        <v>76</v>
      </c>
      <c r="DC5" s="171" t="s">
        <v>74</v>
      </c>
      <c r="DD5" s="169"/>
      <c r="DE5" s="175"/>
      <c r="DL5" s="171" t="s">
        <v>74</v>
      </c>
      <c r="DN5" s="171" t="s">
        <v>75</v>
      </c>
      <c r="DR5" s="175"/>
      <c r="DV5" s="171" t="s">
        <v>74</v>
      </c>
      <c r="DZ5" s="169"/>
      <c r="EF5" s="171" t="s">
        <v>74</v>
      </c>
      <c r="EG5" s="176"/>
      <c r="EH5" s="170"/>
      <c r="EK5" s="181" t="s">
        <v>75</v>
      </c>
      <c r="EP5" s="171" t="s">
        <v>74</v>
      </c>
      <c r="EU5" s="169"/>
      <c r="EY5" s="171" t="s">
        <v>74</v>
      </c>
      <c r="FE5" s="171" t="s">
        <v>75</v>
      </c>
      <c r="FF5" s="170"/>
      <c r="FI5" s="171" t="s">
        <v>74</v>
      </c>
      <c r="FL5" s="177"/>
      <c r="FP5" s="169"/>
      <c r="FS5" s="171" t="s">
        <v>74</v>
      </c>
      <c r="FZ5" s="184" t="s">
        <v>75</v>
      </c>
      <c r="GB5" s="171" t="s">
        <v>74</v>
      </c>
      <c r="GL5" s="171" t="s">
        <v>74</v>
      </c>
      <c r="GR5" s="179"/>
      <c r="GU5" s="171" t="s">
        <v>76</v>
      </c>
      <c r="HD5" s="171" t="s">
        <v>74</v>
      </c>
      <c r="HM5" s="172"/>
      <c r="HN5" s="188" t="s">
        <v>74</v>
      </c>
      <c r="HO5" s="181" t="s">
        <v>75</v>
      </c>
      <c r="HW5" s="171" t="s">
        <v>74</v>
      </c>
      <c r="HZ5" s="169"/>
      <c r="IF5" s="171" t="s">
        <v>74</v>
      </c>
      <c r="IH5" s="178"/>
      <c r="IJ5" s="171" t="s">
        <v>75</v>
      </c>
      <c r="IO5" s="171" t="s">
        <v>74</v>
      </c>
      <c r="IT5" s="169"/>
      <c r="IU5" s="170"/>
    </row>
    <row r="6" spans="1:256" ht="14.1" customHeight="1">
      <c r="A6" s="2" t="s">
        <v>2</v>
      </c>
      <c r="B6" s="2"/>
      <c r="C6" s="153">
        <v>218580</v>
      </c>
      <c r="D6" s="2">
        <v>120440</v>
      </c>
      <c r="E6" s="2">
        <v>219084</v>
      </c>
      <c r="F6" s="2">
        <v>289343</v>
      </c>
      <c r="G6" s="2">
        <v>329905</v>
      </c>
      <c r="H6" s="2">
        <v>-23552</v>
      </c>
      <c r="I6" s="2">
        <v>114821</v>
      </c>
      <c r="J6" s="2">
        <v>110655</v>
      </c>
      <c r="K6" s="2">
        <v>103011</v>
      </c>
      <c r="L6" s="2">
        <v>107751</v>
      </c>
      <c r="M6" s="2">
        <v>171542</v>
      </c>
      <c r="N6" s="2">
        <v>146397</v>
      </c>
      <c r="O6" s="2">
        <v>117817</v>
      </c>
      <c r="P6" s="2">
        <v>125911</v>
      </c>
      <c r="Q6" s="2">
        <v>175542</v>
      </c>
      <c r="R6" s="2">
        <v>206511</v>
      </c>
      <c r="S6" s="2">
        <v>200914</v>
      </c>
      <c r="T6" s="2">
        <v>119564</v>
      </c>
      <c r="U6" s="2">
        <v>138427</v>
      </c>
      <c r="V6" s="2">
        <v>110639</v>
      </c>
      <c r="W6" s="153">
        <v>107484</v>
      </c>
      <c r="X6" s="2">
        <v>105659</v>
      </c>
      <c r="Y6" s="2">
        <v>134605</v>
      </c>
      <c r="Z6" s="2">
        <v>184703</v>
      </c>
      <c r="AA6" s="2">
        <v>157058</v>
      </c>
      <c r="AB6" s="2">
        <v>310163</v>
      </c>
      <c r="AC6" s="2">
        <v>281129</v>
      </c>
      <c r="AD6" s="2">
        <v>137690</v>
      </c>
      <c r="AE6" s="2">
        <v>132184</v>
      </c>
      <c r="AF6" s="2">
        <v>104593</v>
      </c>
      <c r="AG6" s="2">
        <v>100177</v>
      </c>
      <c r="AH6" s="2">
        <v>100000</v>
      </c>
      <c r="AI6" s="2">
        <v>100000</v>
      </c>
      <c r="AJ6" s="2">
        <v>106477</v>
      </c>
      <c r="AK6" s="2">
        <v>173244</v>
      </c>
      <c r="AL6" s="2">
        <v>136361</v>
      </c>
      <c r="AM6" s="2">
        <v>122616</v>
      </c>
      <c r="AN6" s="2">
        <v>120696</v>
      </c>
      <c r="AO6" s="2">
        <v>114807</v>
      </c>
      <c r="AP6" s="2">
        <v>217771</v>
      </c>
      <c r="AQ6" s="2">
        <v>249779</v>
      </c>
      <c r="AR6" s="153">
        <v>129227</v>
      </c>
      <c r="AS6" s="2">
        <v>126885</v>
      </c>
      <c r="AT6" s="2">
        <v>128590</v>
      </c>
      <c r="AU6" s="2">
        <v>113842</v>
      </c>
      <c r="AV6" s="2">
        <v>129732</v>
      </c>
      <c r="AW6" s="2">
        <v>144515</v>
      </c>
      <c r="AX6" s="2">
        <v>135908</v>
      </c>
      <c r="AY6" s="2">
        <v>127487</v>
      </c>
      <c r="AZ6" s="2">
        <v>151765</v>
      </c>
      <c r="BA6" s="2">
        <v>176423</v>
      </c>
      <c r="BB6" s="2">
        <v>201392</v>
      </c>
      <c r="BC6" s="2">
        <v>143085</v>
      </c>
      <c r="BD6" s="2">
        <v>125947</v>
      </c>
      <c r="BE6" s="2">
        <v>117135</v>
      </c>
      <c r="BF6" s="2">
        <v>193360</v>
      </c>
      <c r="BG6" s="2">
        <v>149448</v>
      </c>
      <c r="BH6" s="2">
        <v>109554</v>
      </c>
      <c r="BI6" s="2">
        <v>134123</v>
      </c>
      <c r="BJ6" s="2">
        <v>134555</v>
      </c>
      <c r="BK6" s="2">
        <v>169904</v>
      </c>
      <c r="BL6" s="2">
        <v>147210</v>
      </c>
      <c r="BM6" s="2">
        <v>144152</v>
      </c>
      <c r="BN6" s="153">
        <v>138694</v>
      </c>
      <c r="BO6" s="2">
        <v>111910</v>
      </c>
      <c r="BP6" s="2">
        <v>127733</v>
      </c>
      <c r="BQ6" s="2">
        <v>153339</v>
      </c>
      <c r="BR6" s="2">
        <v>134027</v>
      </c>
      <c r="BS6" s="2">
        <v>140202</v>
      </c>
      <c r="BT6" s="2">
        <v>133694</v>
      </c>
      <c r="BU6" s="2">
        <v>109050</v>
      </c>
      <c r="BV6" s="2">
        <v>112154</v>
      </c>
      <c r="BW6" s="2">
        <v>109100</v>
      </c>
      <c r="BX6" s="2">
        <v>108332</v>
      </c>
      <c r="BY6" s="2">
        <v>104841</v>
      </c>
      <c r="BZ6" s="2">
        <v>124221</v>
      </c>
      <c r="CA6" s="2">
        <v>119536</v>
      </c>
      <c r="CB6" s="2">
        <v>124280</v>
      </c>
      <c r="CC6" s="2">
        <v>309868</v>
      </c>
      <c r="CD6" s="2">
        <v>425034</v>
      </c>
      <c r="CE6" s="2">
        <v>141021</v>
      </c>
      <c r="CF6" s="2">
        <v>152701</v>
      </c>
      <c r="CG6" s="2">
        <v>130909</v>
      </c>
      <c r="CH6" s="2">
        <v>149965</v>
      </c>
      <c r="CI6" s="153">
        <v>168613</v>
      </c>
      <c r="CJ6" s="2">
        <v>175861</v>
      </c>
      <c r="CK6" s="2">
        <v>109962</v>
      </c>
      <c r="CL6" s="2">
        <v>101698</v>
      </c>
      <c r="CM6" s="2">
        <v>100143</v>
      </c>
      <c r="CN6" s="2">
        <v>169196</v>
      </c>
      <c r="CO6" s="2">
        <v>129297</v>
      </c>
      <c r="CP6" s="2">
        <v>107456</v>
      </c>
      <c r="CQ6" s="2">
        <v>114733</v>
      </c>
      <c r="CR6" s="2">
        <v>104071</v>
      </c>
      <c r="CS6" s="2">
        <v>162335</v>
      </c>
      <c r="CT6" s="2">
        <v>253100</v>
      </c>
      <c r="CU6" s="2">
        <v>113899</v>
      </c>
      <c r="CV6" s="2">
        <v>158744</v>
      </c>
      <c r="CW6" s="2">
        <v>113803</v>
      </c>
      <c r="CX6" s="2">
        <v>139892</v>
      </c>
      <c r="CY6" s="2">
        <v>142872</v>
      </c>
      <c r="CZ6" s="2">
        <v>110474</v>
      </c>
      <c r="DA6" s="2">
        <v>121687</v>
      </c>
      <c r="DB6" s="2">
        <v>129092</v>
      </c>
      <c r="DC6" s="2">
        <v>133289</v>
      </c>
      <c r="DD6" s="153">
        <v>105447</v>
      </c>
      <c r="DE6" s="85">
        <v>104198</v>
      </c>
      <c r="DF6" s="2">
        <v>210531</v>
      </c>
      <c r="DG6" s="2">
        <v>201020</v>
      </c>
      <c r="DH6" s="2">
        <v>688484</v>
      </c>
      <c r="DI6" s="2">
        <v>531400.17000000004</v>
      </c>
      <c r="DJ6" s="2">
        <v>134089</v>
      </c>
      <c r="DK6" s="2">
        <v>100000</v>
      </c>
      <c r="DL6" s="2">
        <v>100000</v>
      </c>
      <c r="DM6" s="2">
        <v>100000</v>
      </c>
      <c r="DN6" s="2">
        <v>100000</v>
      </c>
      <c r="DO6" s="2">
        <v>100000</v>
      </c>
      <c r="DP6" s="2">
        <v>1554249</v>
      </c>
      <c r="DQ6" s="2">
        <v>358738</v>
      </c>
      <c r="DR6" s="85">
        <f>+DQ51</f>
        <v>327541.48</v>
      </c>
      <c r="DS6" s="2">
        <f>+DR51</f>
        <v>135124.47999999998</v>
      </c>
      <c r="DT6" s="2">
        <f t="shared" ref="DT6:GE6" si="2">+DS51</f>
        <v>345370.48</v>
      </c>
      <c r="DU6" s="2">
        <f t="shared" si="2"/>
        <v>182021.4800000001</v>
      </c>
      <c r="DV6" s="2">
        <f t="shared" si="2"/>
        <v>121773.47999999952</v>
      </c>
      <c r="DW6" s="2">
        <f t="shared" si="2"/>
        <v>111335.47999999952</v>
      </c>
      <c r="DX6" s="2">
        <f t="shared" si="2"/>
        <v>102465.47999999952</v>
      </c>
      <c r="DY6" s="2">
        <f t="shared" si="2"/>
        <v>202502.47999999858</v>
      </c>
      <c r="DZ6" s="153">
        <f t="shared" si="2"/>
        <v>200822.47999999858</v>
      </c>
      <c r="EA6" s="2">
        <f t="shared" si="2"/>
        <v>122632.47999999858</v>
      </c>
      <c r="EB6" s="2">
        <f t="shared" si="2"/>
        <v>454761.47999999835</v>
      </c>
      <c r="EC6" s="2">
        <f t="shared" si="2"/>
        <v>132239.47999999765</v>
      </c>
      <c r="ED6" s="2">
        <f t="shared" si="2"/>
        <v>125622.47999999858</v>
      </c>
      <c r="EE6" s="2">
        <f t="shared" si="2"/>
        <v>163018.47999999858</v>
      </c>
      <c r="EF6" s="2">
        <f t="shared" si="2"/>
        <v>176217.47999999858</v>
      </c>
      <c r="EG6" s="30">
        <f t="shared" si="2"/>
        <v>114888.47999999858</v>
      </c>
      <c r="EH6" s="2">
        <f>+EG51</f>
        <v>108176.48000000417</v>
      </c>
      <c r="EI6" s="2">
        <f t="shared" si="2"/>
        <v>107348.48000000417</v>
      </c>
      <c r="EJ6" s="2">
        <f t="shared" si="2"/>
        <v>115983.48000000406</v>
      </c>
      <c r="EK6" s="72">
        <f t="shared" si="2"/>
        <v>278444.48000000417</v>
      </c>
      <c r="EL6" s="2">
        <f t="shared" si="2"/>
        <v>274499.47999999672</v>
      </c>
      <c r="EM6" s="2">
        <f t="shared" si="2"/>
        <v>136150.47999999672</v>
      </c>
      <c r="EN6" s="2">
        <f t="shared" si="2"/>
        <v>-830482.16000000294</v>
      </c>
      <c r="EO6" s="2">
        <f t="shared" si="2"/>
        <v>102339.47999999672</v>
      </c>
      <c r="EP6" s="2">
        <f t="shared" si="2"/>
        <v>315641.47999999649</v>
      </c>
      <c r="EQ6" s="2">
        <f t="shared" si="2"/>
        <v>319464.47999999672</v>
      </c>
      <c r="ER6" s="2">
        <f t="shared" si="2"/>
        <v>307515.44999999646</v>
      </c>
      <c r="ES6" s="2">
        <f t="shared" si="2"/>
        <v>168933.44999999646</v>
      </c>
      <c r="ET6" s="2">
        <f t="shared" si="2"/>
        <v>115650.449999996</v>
      </c>
      <c r="EU6" s="153">
        <f t="shared" si="2"/>
        <v>107211.4529999959</v>
      </c>
      <c r="EV6" s="2">
        <f t="shared" si="2"/>
        <v>105193.45299999602</v>
      </c>
      <c r="EW6" s="2">
        <f t="shared" si="2"/>
        <v>111710.45299999556</v>
      </c>
      <c r="EX6" s="2">
        <f t="shared" si="2"/>
        <v>121828.53299999586</v>
      </c>
      <c r="EY6" s="2">
        <f t="shared" si="2"/>
        <v>112776.13299999596</v>
      </c>
      <c r="EZ6" s="2">
        <f t="shared" si="2"/>
        <v>160936.13299999572</v>
      </c>
      <c r="FA6" s="2">
        <f t="shared" si="2"/>
        <v>200428.13299999572</v>
      </c>
      <c r="FB6" s="2">
        <f t="shared" si="2"/>
        <v>168428.13300000131</v>
      </c>
      <c r="FC6" s="2">
        <f t="shared" si="2"/>
        <v>106950.13300000154</v>
      </c>
      <c r="FD6" s="2">
        <f t="shared" si="2"/>
        <v>116155.13300000178</v>
      </c>
      <c r="FE6" s="2">
        <f t="shared" si="2"/>
        <v>119671.13300000178</v>
      </c>
      <c r="FF6" s="2">
        <f t="shared" si="2"/>
        <v>120068.13300000131</v>
      </c>
      <c r="FG6" s="2">
        <f t="shared" si="2"/>
        <v>113406.13300000317</v>
      </c>
      <c r="FH6" s="2">
        <f t="shared" si="2"/>
        <v>102888.13300000504</v>
      </c>
      <c r="FI6" s="2">
        <f t="shared" si="2"/>
        <v>116442.13300000504</v>
      </c>
      <c r="FJ6" s="2">
        <f t="shared" si="2"/>
        <v>132752.12300000526</v>
      </c>
      <c r="FK6" s="2">
        <f t="shared" si="2"/>
        <v>111275.12300000526</v>
      </c>
      <c r="FL6" s="72">
        <f t="shared" si="2"/>
        <v>102255.12300000712</v>
      </c>
      <c r="FM6" s="2">
        <f t="shared" si="2"/>
        <v>103196.12300001085</v>
      </c>
      <c r="FN6" s="2">
        <f t="shared" si="2"/>
        <v>101784.54299999774</v>
      </c>
      <c r="FO6" s="2">
        <f t="shared" si="2"/>
        <v>127443.54299999785</v>
      </c>
      <c r="FP6" s="153">
        <f t="shared" si="2"/>
        <v>146792.38299999759</v>
      </c>
      <c r="FQ6" s="2">
        <f t="shared" si="2"/>
        <v>109914.38299999759</v>
      </c>
      <c r="FR6" s="2">
        <f t="shared" si="2"/>
        <v>319591.87299999781</v>
      </c>
      <c r="FS6" s="2">
        <f t="shared" si="2"/>
        <v>167385.18299999787</v>
      </c>
      <c r="FT6" s="2">
        <f t="shared" si="2"/>
        <v>124200.18299999833</v>
      </c>
      <c r="FU6" s="2">
        <f t="shared" si="2"/>
        <v>124743.2829999961</v>
      </c>
      <c r="FV6" s="2">
        <f t="shared" si="2"/>
        <v>160009.28299999563</v>
      </c>
      <c r="FW6" s="2">
        <f t="shared" si="2"/>
        <v>139523.27299999562</v>
      </c>
      <c r="FX6" s="2">
        <f t="shared" si="2"/>
        <v>-120426.69700000435</v>
      </c>
      <c r="FY6" s="2">
        <f t="shared" si="2"/>
        <v>298314.27299999562</v>
      </c>
      <c r="FZ6" s="100">
        <f t="shared" si="2"/>
        <v>123926.27299999539</v>
      </c>
      <c r="GA6" s="2">
        <f t="shared" si="2"/>
        <v>138982.27300000191</v>
      </c>
      <c r="GB6" s="2">
        <f t="shared" si="2"/>
        <v>131672.27300000167</v>
      </c>
      <c r="GC6" s="2">
        <f t="shared" si="2"/>
        <v>128183.27300000191</v>
      </c>
      <c r="GD6" s="2">
        <f t="shared" si="2"/>
        <v>138255.27300000284</v>
      </c>
      <c r="GE6" s="2">
        <f t="shared" si="2"/>
        <v>136528.27300000284</v>
      </c>
      <c r="GF6" s="2">
        <f t="shared" ref="GF6:IQ6" si="3">+GE51</f>
        <v>130854.27300000284</v>
      </c>
      <c r="GG6" s="2">
        <f t="shared" si="3"/>
        <v>136407.27300000284</v>
      </c>
      <c r="GH6" s="2">
        <f t="shared" si="3"/>
        <v>368495.9130000032</v>
      </c>
      <c r="GI6" s="2">
        <f t="shared" si="3"/>
        <v>174600.82299999893</v>
      </c>
      <c r="GJ6" s="2">
        <f t="shared" si="3"/>
        <v>192135.82299999893</v>
      </c>
      <c r="GK6" s="2">
        <f t="shared" si="3"/>
        <v>115353.82299999893</v>
      </c>
      <c r="GL6" s="153">
        <f t="shared" si="3"/>
        <v>114392.82299999893</v>
      </c>
      <c r="GM6" s="2">
        <f t="shared" si="3"/>
        <v>109657.822999998</v>
      </c>
      <c r="GN6" s="2">
        <f t="shared" si="3"/>
        <v>110503.822999998</v>
      </c>
      <c r="GO6" s="2">
        <f t="shared" si="3"/>
        <v>107719.822999998</v>
      </c>
      <c r="GP6" s="2">
        <f t="shared" si="3"/>
        <v>109608.82299999823</v>
      </c>
      <c r="GQ6" s="2">
        <f t="shared" si="3"/>
        <v>-13841931.987000003</v>
      </c>
      <c r="GR6" s="2">
        <f t="shared" si="3"/>
        <v>132603.82299999567</v>
      </c>
      <c r="GS6" s="2">
        <f t="shared" si="3"/>
        <v>130775.82299999427</v>
      </c>
      <c r="GT6" s="2">
        <f t="shared" si="3"/>
        <v>143485.82299999427</v>
      </c>
      <c r="GU6" s="115">
        <f t="shared" si="3"/>
        <v>183985.82299999427</v>
      </c>
      <c r="GV6" s="2">
        <f t="shared" si="3"/>
        <v>119660.82299998403</v>
      </c>
      <c r="GW6" s="2">
        <f t="shared" si="3"/>
        <v>114130.82299998356</v>
      </c>
      <c r="GX6" s="2">
        <f t="shared" si="3"/>
        <v>151187.82299998356</v>
      </c>
      <c r="GY6" s="2">
        <f t="shared" si="3"/>
        <v>133785.82299998309</v>
      </c>
      <c r="GZ6" s="2">
        <f t="shared" si="3"/>
        <v>276251.82299998356</v>
      </c>
      <c r="HA6" s="2">
        <f t="shared" si="3"/>
        <v>134702.82299998333</v>
      </c>
      <c r="HB6" s="2">
        <f t="shared" si="3"/>
        <v>120145.82299998589</v>
      </c>
      <c r="HC6" s="2">
        <f t="shared" si="3"/>
        <v>115199.82299998635</v>
      </c>
      <c r="HD6" s="153">
        <f t="shared" si="3"/>
        <v>105049.82299998589</v>
      </c>
      <c r="HE6" s="2">
        <f t="shared" si="3"/>
        <v>100423.82299998589</v>
      </c>
      <c r="HF6" s="2">
        <f t="shared" si="3"/>
        <v>99999.72299998533</v>
      </c>
      <c r="HG6" s="2">
        <f t="shared" si="3"/>
        <v>142920.72299998533</v>
      </c>
      <c r="HH6" s="2">
        <f t="shared" si="3"/>
        <v>327634.88299998455</v>
      </c>
      <c r="HI6" s="2">
        <f t="shared" si="3"/>
        <v>443818.55299998447</v>
      </c>
      <c r="HJ6" s="2">
        <f t="shared" si="3"/>
        <v>157587.02299998328</v>
      </c>
      <c r="HK6" s="2">
        <f t="shared" si="3"/>
        <v>207715.02299998328</v>
      </c>
      <c r="HL6" s="2">
        <f t="shared" si="3"/>
        <v>263312.02299998328</v>
      </c>
      <c r="HM6" s="2">
        <f t="shared" si="3"/>
        <v>162886.02299998328</v>
      </c>
      <c r="HN6" s="128">
        <f t="shared" si="3"/>
        <v>122404.02299998328</v>
      </c>
      <c r="HO6" s="72">
        <f t="shared" si="3"/>
        <v>112295.02299998421</v>
      </c>
      <c r="HP6" s="2">
        <f t="shared" si="3"/>
        <v>107663.02299998701</v>
      </c>
      <c r="HQ6" s="2">
        <f t="shared" si="3"/>
        <v>120425.02299998701</v>
      </c>
      <c r="HR6" s="2">
        <f t="shared" si="3"/>
        <v>119694.02299998701</v>
      </c>
      <c r="HS6" s="2">
        <f t="shared" si="3"/>
        <v>134196.02299998701</v>
      </c>
      <c r="HT6" s="2">
        <f t="shared" si="3"/>
        <v>317815.02299998701</v>
      </c>
      <c r="HU6" s="2">
        <f t="shared" si="3"/>
        <v>124032.02299998701</v>
      </c>
      <c r="HV6" s="2">
        <f t="shared" si="3"/>
        <v>103863.02299998887</v>
      </c>
      <c r="HW6" s="2">
        <f t="shared" si="3"/>
        <v>100136.02299998701</v>
      </c>
      <c r="HX6" s="2">
        <f t="shared" si="3"/>
        <v>100002.02299998514</v>
      </c>
      <c r="HY6" s="2">
        <f t="shared" si="3"/>
        <v>100000.02299998491</v>
      </c>
      <c r="HZ6" s="153">
        <f t="shared" si="3"/>
        <v>100000.02299998514</v>
      </c>
      <c r="IA6" s="2">
        <f t="shared" si="3"/>
        <v>100000.02299998514</v>
      </c>
      <c r="IB6" s="2">
        <f t="shared" si="3"/>
        <v>100000.02299998328</v>
      </c>
      <c r="IC6" s="2">
        <f t="shared" si="3"/>
        <v>100000.02299998328</v>
      </c>
      <c r="ID6" s="2">
        <f t="shared" si="3"/>
        <v>100000.02299998701</v>
      </c>
      <c r="IE6" s="2">
        <f t="shared" si="3"/>
        <v>127092.02299998724</v>
      </c>
      <c r="IF6" s="2">
        <f t="shared" si="3"/>
        <v>120613.02299998514</v>
      </c>
      <c r="IG6" s="2">
        <f t="shared" si="3"/>
        <v>249871.02299998701</v>
      </c>
      <c r="IH6" s="100">
        <f t="shared" si="3"/>
        <v>966117.02299998701</v>
      </c>
      <c r="II6" s="2">
        <f t="shared" si="3"/>
        <v>436795.31299997866</v>
      </c>
      <c r="IJ6" s="2">
        <f t="shared" si="3"/>
        <v>192932.02299998328</v>
      </c>
      <c r="IK6" s="2">
        <f t="shared" si="3"/>
        <v>118044.02299998701</v>
      </c>
      <c r="IL6" s="2">
        <f t="shared" si="3"/>
        <v>119878.02299998701</v>
      </c>
      <c r="IM6" s="2">
        <f t="shared" si="3"/>
        <v>245808.02299998701</v>
      </c>
      <c r="IN6" s="2">
        <f t="shared" si="3"/>
        <v>301024.02299998701</v>
      </c>
      <c r="IO6" s="2">
        <f t="shared" si="3"/>
        <v>282759.02299998701</v>
      </c>
      <c r="IP6" s="2">
        <f t="shared" si="3"/>
        <v>136069.02299998701</v>
      </c>
      <c r="IQ6" s="2">
        <f t="shared" si="3"/>
        <v>188452.02299998701</v>
      </c>
      <c r="IR6" s="2">
        <f>+IQ51</f>
        <v>105636.02299998328</v>
      </c>
      <c r="IS6" s="2">
        <f>+IR51</f>
        <v>148720.02299998328</v>
      </c>
      <c r="IT6" s="153">
        <f>+IS51</f>
        <v>110446.02299998351</v>
      </c>
      <c r="IU6" s="2"/>
    </row>
    <row r="7" spans="1:256" ht="24" customHeight="1">
      <c r="A7" s="24" t="s">
        <v>3</v>
      </c>
      <c r="B7" s="25"/>
      <c r="C7" s="154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8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31"/>
      <c r="EH7" s="26"/>
      <c r="EI7" s="26"/>
      <c r="EJ7" s="26"/>
      <c r="EK7" s="122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73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101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101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129"/>
      <c r="HO7" s="73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101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</row>
    <row r="8" spans="1:256" ht="14.1" customHeight="1">
      <c r="A8" s="58" t="s">
        <v>5</v>
      </c>
      <c r="B8" s="4"/>
      <c r="C8" s="155">
        <v>114838.5</v>
      </c>
      <c r="D8" s="4">
        <v>112148.48</v>
      </c>
      <c r="E8" s="4">
        <v>541000</v>
      </c>
      <c r="F8" s="4">
        <v>9455.43</v>
      </c>
      <c r="G8" s="4">
        <v>2800.45</v>
      </c>
      <c r="H8" s="4">
        <v>13180.43</v>
      </c>
      <c r="I8" s="4">
        <v>2071.7800000000002</v>
      </c>
      <c r="J8" s="4">
        <v>246.85</v>
      </c>
      <c r="K8" s="4">
        <v>12912.74</v>
      </c>
      <c r="L8" s="4">
        <v>99382.99</v>
      </c>
      <c r="M8" s="4">
        <v>4223.92</v>
      </c>
      <c r="N8" s="4">
        <v>12541.23</v>
      </c>
      <c r="O8" s="4">
        <v>11998.5</v>
      </c>
      <c r="P8" s="4">
        <v>68344.72</v>
      </c>
      <c r="Q8" s="4">
        <v>98755.82</v>
      </c>
      <c r="R8" s="4">
        <v>3919510.58</v>
      </c>
      <c r="S8" s="4">
        <v>11624.64</v>
      </c>
      <c r="T8" s="4">
        <v>29157.95</v>
      </c>
      <c r="U8" s="4">
        <v>7375.6</v>
      </c>
      <c r="V8" s="4">
        <v>5261.1</v>
      </c>
      <c r="W8" s="4">
        <v>137.19999999999999</v>
      </c>
      <c r="X8" s="4">
        <v>33229.279999999999</v>
      </c>
      <c r="Y8" s="4">
        <v>73019.03</v>
      </c>
      <c r="Z8" s="4">
        <v>81633.78</v>
      </c>
      <c r="AA8" s="4">
        <v>169419.69</v>
      </c>
      <c r="AB8" s="4">
        <v>13948.45</v>
      </c>
      <c r="AC8" s="4">
        <v>26098.959999999999</v>
      </c>
      <c r="AD8" s="4">
        <v>33499.910000000003</v>
      </c>
      <c r="AE8" s="4"/>
      <c r="AF8" s="4"/>
      <c r="AG8" s="4"/>
      <c r="AH8" s="4"/>
      <c r="AI8" s="4">
        <v>31882.84</v>
      </c>
      <c r="AJ8" s="4">
        <v>71821.09</v>
      </c>
      <c r="AK8" s="4">
        <v>14463.34</v>
      </c>
      <c r="AL8" s="4">
        <v>15629.02</v>
      </c>
      <c r="AM8" s="4">
        <v>21103.81</v>
      </c>
      <c r="AN8" s="4">
        <v>12133</v>
      </c>
      <c r="AO8" s="4">
        <v>110041.54</v>
      </c>
      <c r="AP8" s="4">
        <v>45818.85</v>
      </c>
      <c r="AQ8" s="4">
        <v>3216.83</v>
      </c>
      <c r="AR8" s="4">
        <v>22923.27</v>
      </c>
      <c r="AS8" s="4">
        <v>10839.87</v>
      </c>
      <c r="AT8" s="4">
        <v>3584.93</v>
      </c>
      <c r="AU8" s="4">
        <v>29366.26</v>
      </c>
      <c r="AV8" s="4">
        <v>31218</v>
      </c>
      <c r="AW8" s="4">
        <v>24673.59</v>
      </c>
      <c r="AX8" s="4">
        <v>25175.57</v>
      </c>
      <c r="AY8" s="4">
        <v>49100.35</v>
      </c>
      <c r="AZ8" s="4">
        <v>40830.870000000003</v>
      </c>
      <c r="BA8" s="4">
        <v>63449.11</v>
      </c>
      <c r="BB8" s="4">
        <v>20131.650000000001</v>
      </c>
      <c r="BC8" s="4">
        <v>5751.87</v>
      </c>
      <c r="BD8" s="4">
        <v>12643.85</v>
      </c>
      <c r="BE8" s="4">
        <v>107381.22</v>
      </c>
      <c r="BF8" s="4">
        <v>8827.4699999999993</v>
      </c>
      <c r="BG8" s="4">
        <v>5276.57</v>
      </c>
      <c r="BH8" s="4">
        <v>47045.34</v>
      </c>
      <c r="BI8" s="4">
        <v>29822.84</v>
      </c>
      <c r="BJ8" s="4">
        <v>60203.59</v>
      </c>
      <c r="BK8" s="4">
        <v>40317.35</v>
      </c>
      <c r="BL8" s="4">
        <v>6618.42</v>
      </c>
      <c r="BM8" s="4">
        <v>37214.629999999997</v>
      </c>
      <c r="BN8" s="4">
        <v>12021.94</v>
      </c>
      <c r="BO8" s="4">
        <v>24060.82</v>
      </c>
      <c r="BP8" s="4">
        <v>35720.769999999997</v>
      </c>
      <c r="BQ8" s="4">
        <v>4601</v>
      </c>
      <c r="BR8" s="4">
        <f>59309.92</f>
        <v>59309.919999999998</v>
      </c>
      <c r="BS8" s="4">
        <v>13645.09</v>
      </c>
      <c r="BT8" s="4">
        <v>1188.9100000000001</v>
      </c>
      <c r="BU8" s="4">
        <v>12554.47</v>
      </c>
      <c r="BV8" s="4">
        <v>1980.87</v>
      </c>
      <c r="BW8" s="4">
        <v>7977.26</v>
      </c>
      <c r="BX8" s="4">
        <v>16300.13</v>
      </c>
      <c r="BY8" s="4">
        <v>24082.17</v>
      </c>
      <c r="BZ8" s="4">
        <v>17662.38</v>
      </c>
      <c r="CA8" s="4">
        <v>15823.98</v>
      </c>
      <c r="CB8" s="4">
        <v>460888.68</v>
      </c>
      <c r="CC8" s="4">
        <v>10371.959999999999</v>
      </c>
      <c r="CD8" s="4">
        <v>196736.21</v>
      </c>
      <c r="CE8" s="4">
        <v>43401.47</v>
      </c>
      <c r="CF8" s="4">
        <v>25972.57</v>
      </c>
      <c r="CG8" s="4">
        <v>53675.21</v>
      </c>
      <c r="CH8" s="4">
        <v>37757.03</v>
      </c>
      <c r="CI8" s="4">
        <v>61263.76</v>
      </c>
      <c r="CJ8" s="4">
        <v>15981.13</v>
      </c>
      <c r="CK8" s="4"/>
      <c r="CL8" s="4"/>
      <c r="CM8" s="4">
        <v>78134.92</v>
      </c>
      <c r="CN8" s="4">
        <v>8984.33</v>
      </c>
      <c r="CO8" s="4"/>
      <c r="CP8" s="4">
        <v>26108.57</v>
      </c>
      <c r="CQ8" s="4"/>
      <c r="CR8" s="4">
        <v>82625.78</v>
      </c>
      <c r="CS8" s="4">
        <v>124702.76</v>
      </c>
      <c r="CT8" s="4"/>
      <c r="CU8" s="4">
        <v>66069.17</v>
      </c>
      <c r="CV8" s="4">
        <f>2149.59+14480</f>
        <v>16629.59</v>
      </c>
      <c r="CW8" s="4">
        <v>60991.39</v>
      </c>
      <c r="CX8" s="4">
        <v>37040.18</v>
      </c>
      <c r="CY8" s="4"/>
      <c r="CZ8" s="4">
        <f>31919.41+12680</f>
        <v>44599.41</v>
      </c>
      <c r="DA8" s="4">
        <v>23482.639999999999</v>
      </c>
      <c r="DB8" s="4">
        <v>33854.65</v>
      </c>
      <c r="DC8" s="4">
        <v>5626.22</v>
      </c>
      <c r="DD8" s="4"/>
      <c r="DE8" s="87">
        <f>7381.19+103311.11</f>
        <v>110692.3</v>
      </c>
      <c r="DF8" s="4"/>
      <c r="DG8" s="4">
        <f>530136.79+61018.29</f>
        <v>591155.08000000007</v>
      </c>
      <c r="DH8" s="4"/>
      <c r="DI8" s="4"/>
      <c r="DJ8" s="4"/>
      <c r="DK8" s="4"/>
      <c r="DL8" s="4"/>
      <c r="DM8" s="4"/>
      <c r="DN8" s="4"/>
      <c r="DO8" s="4">
        <f>83927.67+1369532.21+3172.23</f>
        <v>1456632.1099999999</v>
      </c>
      <c r="DP8" s="4">
        <v>10362.9</v>
      </c>
      <c r="DQ8" s="4">
        <f>159935.75</f>
        <v>159935.75</v>
      </c>
      <c r="DR8" s="87"/>
      <c r="DS8" s="4">
        <v>537665.05000000005</v>
      </c>
      <c r="DT8" s="4">
        <v>82158.05</v>
      </c>
      <c r="DU8" s="4">
        <v>18245.52</v>
      </c>
      <c r="DV8" s="4">
        <v>2817.13</v>
      </c>
      <c r="DW8" s="4"/>
      <c r="DX8" s="4">
        <v>108547.13</v>
      </c>
      <c r="DY8" s="4">
        <v>17565.62</v>
      </c>
      <c r="DZ8" s="4">
        <v>155320.78</v>
      </c>
      <c r="EA8" s="4">
        <v>349141.86</v>
      </c>
      <c r="EB8" s="4"/>
      <c r="EC8" s="4">
        <v>25503.53</v>
      </c>
      <c r="ED8" s="4">
        <v>54842.73</v>
      </c>
      <c r="EE8" s="4">
        <v>54621.31</v>
      </c>
      <c r="EF8" s="4">
        <v>9766.64</v>
      </c>
      <c r="EG8" s="32"/>
      <c r="EH8" s="4">
        <v>7141.45</v>
      </c>
      <c r="EI8" s="4">
        <v>16070.15</v>
      </c>
      <c r="EJ8" s="4">
        <v>170511.15</v>
      </c>
      <c r="EK8" s="74">
        <v>26943.17</v>
      </c>
      <c r="EL8" s="4">
        <v>4855</v>
      </c>
      <c r="EM8" s="4"/>
      <c r="EN8" s="4">
        <v>2340.9699999999998</v>
      </c>
      <c r="EO8" s="4">
        <v>214209.69</v>
      </c>
      <c r="EP8" s="4">
        <v>8173.47</v>
      </c>
      <c r="EQ8" s="4">
        <v>225725.22</v>
      </c>
      <c r="ER8" s="4">
        <v>2252.4</v>
      </c>
      <c r="ES8" s="4">
        <v>4559</v>
      </c>
      <c r="ET8" s="4">
        <v>786.48</v>
      </c>
      <c r="EU8" s="4">
        <v>4786.3100000000004</v>
      </c>
      <c r="EV8" s="4">
        <v>10563.13</v>
      </c>
      <c r="EW8" s="4">
        <v>12438.26</v>
      </c>
      <c r="EX8" s="4">
        <v>6751.2</v>
      </c>
      <c r="EY8" s="4">
        <v>57044.93</v>
      </c>
      <c r="EZ8" s="4">
        <v>136549.57999999999</v>
      </c>
      <c r="FA8" s="4">
        <v>30321.69</v>
      </c>
      <c r="FB8" s="4">
        <v>1571.13</v>
      </c>
      <c r="FC8" s="4">
        <v>12996.5</v>
      </c>
      <c r="FD8" s="4">
        <v>13431.91</v>
      </c>
      <c r="FE8" s="4">
        <v>12374.61</v>
      </c>
      <c r="FF8" s="4">
        <f>7597</f>
        <v>7597</v>
      </c>
      <c r="FG8" s="4">
        <v>925.07</v>
      </c>
      <c r="FH8" s="4">
        <v>16030.28</v>
      </c>
      <c r="FI8" s="4">
        <v>18862.72</v>
      </c>
      <c r="FJ8" s="4">
        <v>3553.5</v>
      </c>
      <c r="FK8" s="4">
        <v>1319.02</v>
      </c>
      <c r="FL8" s="74">
        <v>2297</v>
      </c>
      <c r="FM8" s="4"/>
      <c r="FN8" s="4">
        <f>22058.5+5731.05</f>
        <v>27789.55</v>
      </c>
      <c r="FO8" s="4">
        <v>31368.65</v>
      </c>
      <c r="FP8" s="4">
        <v>8088.47</v>
      </c>
      <c r="FQ8" s="4">
        <v>317901.27</v>
      </c>
      <c r="FR8" s="4">
        <v>1353.55</v>
      </c>
      <c r="FS8" s="4">
        <v>22979.84</v>
      </c>
      <c r="FT8" s="4">
        <v>9218.7900000000009</v>
      </c>
      <c r="FU8" s="4">
        <v>66858.570000000007</v>
      </c>
      <c r="FV8" s="4">
        <v>1064.3800000000001</v>
      </c>
      <c r="FW8" s="4">
        <v>11598.23</v>
      </c>
      <c r="FX8" s="4">
        <v>196523.51</v>
      </c>
      <c r="FY8" s="4"/>
      <c r="FZ8" s="102">
        <f>10166.53+8197.57+22891.08</f>
        <v>41255.18</v>
      </c>
      <c r="GA8" s="4">
        <v>8437.85</v>
      </c>
      <c r="GB8" s="4">
        <v>29268.42</v>
      </c>
      <c r="GC8" s="4">
        <v>31264.95</v>
      </c>
      <c r="GD8" s="4">
        <v>8849.7900000000009</v>
      </c>
      <c r="GE8" s="4">
        <v>28010.59</v>
      </c>
      <c r="GF8" s="4">
        <v>46745.58</v>
      </c>
      <c r="GG8" s="4">
        <v>307805.56</v>
      </c>
      <c r="GH8" s="4">
        <v>58451.62</v>
      </c>
      <c r="GI8" s="4">
        <v>40367.339999999997</v>
      </c>
      <c r="GJ8" s="4">
        <v>2633.72</v>
      </c>
      <c r="GK8" s="4">
        <v>10123.64</v>
      </c>
      <c r="GL8" s="4">
        <v>5242.84</v>
      </c>
      <c r="GM8" s="4">
        <v>9018.02</v>
      </c>
      <c r="GN8" s="4">
        <v>5059.88</v>
      </c>
      <c r="GO8" s="4">
        <v>12532.21</v>
      </c>
      <c r="GP8" s="4">
        <v>22647.8</v>
      </c>
      <c r="GQ8" s="4">
        <v>26629.96</v>
      </c>
      <c r="GR8" s="4">
        <v>12697.66</v>
      </c>
      <c r="GS8" s="4">
        <v>45057.48</v>
      </c>
      <c r="GT8" s="4">
        <v>72218.3</v>
      </c>
      <c r="GU8" s="102">
        <f>3146.06+13208</f>
        <v>16354.06</v>
      </c>
      <c r="GV8" s="4">
        <v>1865.42</v>
      </c>
      <c r="GW8" s="4">
        <v>64559.42</v>
      </c>
      <c r="GX8" s="4">
        <v>17671.77</v>
      </c>
      <c r="GY8" s="4">
        <v>171856.65</v>
      </c>
      <c r="GZ8" s="4">
        <v>22863.06</v>
      </c>
      <c r="HA8" s="4">
        <v>18205.830000000002</v>
      </c>
      <c r="HB8" s="4">
        <v>8224.94</v>
      </c>
      <c r="HC8" s="4"/>
      <c r="HD8" s="4"/>
      <c r="HE8" s="4"/>
      <c r="HF8" s="4">
        <v>44269.13</v>
      </c>
      <c r="HG8" s="4">
        <v>918599.43</v>
      </c>
      <c r="HH8" s="4">
        <f>3871.71+1894</f>
        <v>5765.71</v>
      </c>
      <c r="HI8" s="4">
        <f>1158+2260.7</f>
        <v>3418.7</v>
      </c>
      <c r="HJ8" s="4">
        <f>3106.8+51215.05+58184.87</f>
        <v>112506.72</v>
      </c>
      <c r="HK8" s="4">
        <f>1140+436416.47+91705.04+32127.25</f>
        <v>561388.76</v>
      </c>
      <c r="HL8" s="4">
        <v>10089.24</v>
      </c>
      <c r="HM8" s="4">
        <v>23361.85</v>
      </c>
      <c r="HN8" s="130">
        <v>7563</v>
      </c>
      <c r="HO8" s="74">
        <v>45</v>
      </c>
      <c r="HP8" s="4">
        <v>19558.27</v>
      </c>
      <c r="HQ8" s="4">
        <v>3029.85</v>
      </c>
      <c r="HR8" s="4">
        <v>30878.69</v>
      </c>
      <c r="HS8" s="4">
        <v>186247.61</v>
      </c>
      <c r="HT8" s="4">
        <v>3030.32</v>
      </c>
      <c r="HU8" s="4"/>
      <c r="HV8" s="4"/>
      <c r="HW8" s="4"/>
      <c r="HX8" s="4"/>
      <c r="HY8" s="4"/>
      <c r="HZ8" s="4"/>
      <c r="IA8" s="4"/>
      <c r="IB8" s="4"/>
      <c r="IC8" s="4"/>
      <c r="ID8" s="4">
        <f>18763.36+9476.45</f>
        <v>28239.81</v>
      </c>
      <c r="IE8" s="4">
        <v>17731.740000000002</v>
      </c>
      <c r="IF8" s="4">
        <v>146321.92000000001</v>
      </c>
      <c r="IG8" s="4">
        <f>767798.43+23270.33</f>
        <v>791068.76</v>
      </c>
      <c r="IH8" s="102">
        <v>40820.33</v>
      </c>
      <c r="II8" s="4">
        <v>38758.379999999997</v>
      </c>
      <c r="IJ8" s="4">
        <v>10973.7</v>
      </c>
      <c r="IK8" s="4">
        <v>8082.31</v>
      </c>
      <c r="IL8" s="4">
        <v>143665.97</v>
      </c>
      <c r="IM8" s="4">
        <v>181955.8</v>
      </c>
      <c r="IN8" s="4">
        <v>6279.56</v>
      </c>
      <c r="IO8" s="4">
        <v>22230.27</v>
      </c>
      <c r="IP8" s="4">
        <v>76107.55</v>
      </c>
      <c r="IQ8" s="4"/>
      <c r="IR8" s="4">
        <v>498962.63</v>
      </c>
      <c r="IS8" s="4"/>
      <c r="IT8" s="4">
        <v>5797.78</v>
      </c>
      <c r="IU8" s="4">
        <f t="shared" ref="IU8:IU16" si="4">SUM(D8:IT8)</f>
        <v>18728682.41</v>
      </c>
    </row>
    <row r="9" spans="1:256" ht="14.1" customHeight="1">
      <c r="A9" s="58" t="s">
        <v>6</v>
      </c>
      <c r="B9" s="4"/>
      <c r="C9" s="155"/>
      <c r="D9" s="4"/>
      <c r="E9" s="4"/>
      <c r="F9" s="4"/>
      <c r="G9" s="4"/>
      <c r="H9" s="4"/>
      <c r="I9" s="4"/>
      <c r="J9" s="4"/>
      <c r="K9" s="4"/>
      <c r="L9" s="4"/>
      <c r="M9" s="4">
        <v>160990.39000000001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v>5418.55</v>
      </c>
      <c r="AD9" s="4"/>
      <c r="AE9" s="4"/>
      <c r="AF9" s="4">
        <v>155139.51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>
        <v>24606.79</v>
      </c>
      <c r="AV9" s="4"/>
      <c r="AW9" s="4"/>
      <c r="AX9" s="4">
        <v>5384.95</v>
      </c>
      <c r="AY9" s="4">
        <v>154383.72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159546.51999999999</v>
      </c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>
        <v>1145.71</v>
      </c>
      <c r="CO9" s="4">
        <f>4749.36+157678.9</f>
        <v>162428.25999999998</v>
      </c>
      <c r="CP9" s="4">
        <v>5384.95</v>
      </c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87"/>
      <c r="DF9" s="4">
        <f>24606.79+149037.03</f>
        <v>173643.82</v>
      </c>
      <c r="DG9" s="4"/>
      <c r="DH9" s="4"/>
      <c r="DI9" s="4"/>
      <c r="DJ9" s="4"/>
      <c r="DK9" s="4">
        <v>5384.95</v>
      </c>
      <c r="DL9" s="4"/>
      <c r="DM9" s="4"/>
      <c r="DN9" s="4"/>
      <c r="DO9" s="4"/>
      <c r="DP9" s="4"/>
      <c r="DQ9" s="4"/>
      <c r="DR9" s="87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32">
        <v>5384.95</v>
      </c>
      <c r="EH9" s="4"/>
      <c r="EI9" s="4"/>
      <c r="EJ9" s="4"/>
      <c r="EK9" s="7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>
        <v>5384.95</v>
      </c>
      <c r="FE9" s="4"/>
      <c r="FF9" s="4"/>
      <c r="FG9" s="4"/>
      <c r="FH9" s="4"/>
      <c r="FI9" s="4"/>
      <c r="FJ9" s="4"/>
      <c r="FK9" s="4"/>
      <c r="FL9" s="74"/>
      <c r="FM9" s="4"/>
      <c r="FN9" s="4"/>
      <c r="FO9" s="4"/>
      <c r="FP9" s="4">
        <v>24606.79</v>
      </c>
      <c r="FQ9" s="4"/>
      <c r="FR9" s="4"/>
      <c r="FS9" s="4"/>
      <c r="FT9" s="4"/>
      <c r="FU9" s="4"/>
      <c r="FV9" s="4"/>
      <c r="FW9" s="4"/>
      <c r="FX9" s="4">
        <v>5384.95</v>
      </c>
      <c r="FY9" s="4"/>
      <c r="FZ9" s="102"/>
      <c r="GA9" s="4">
        <v>173273.08</v>
      </c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v>150847.09</v>
      </c>
      <c r="GU9" s="102"/>
      <c r="GV9" s="4">
        <v>5386.6</v>
      </c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>
        <v>146591.96</v>
      </c>
      <c r="HN9" s="130"/>
      <c r="HO9" s="74">
        <v>5386.6</v>
      </c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>
        <v>24610.84</v>
      </c>
      <c r="ID9" s="4"/>
      <c r="IE9" s="4"/>
      <c r="IF9" s="4">
        <v>5180.1000000000004</v>
      </c>
      <c r="IG9" s="4">
        <v>142139.46</v>
      </c>
      <c r="IH9" s="102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>
        <f t="shared" si="4"/>
        <v>1707635.4900000002</v>
      </c>
    </row>
    <row r="10" spans="1:256" ht="14.1" customHeight="1" thickBot="1">
      <c r="A10" s="58" t="s">
        <v>28</v>
      </c>
      <c r="B10" s="10"/>
      <c r="C10" s="155"/>
      <c r="D10" s="4"/>
      <c r="E10" s="4"/>
      <c r="F10" s="4"/>
      <c r="G10" s="4"/>
      <c r="H10" s="4">
        <v>13319.05</v>
      </c>
      <c r="I10" s="4"/>
      <c r="J10" s="4"/>
      <c r="K10" s="4"/>
      <c r="L10" s="4"/>
      <c r="M10" s="4">
        <v>60863.34</v>
      </c>
      <c r="N10" s="4"/>
      <c r="O10" s="4"/>
      <c r="P10" s="4"/>
      <c r="Q10" s="4">
        <v>38428.11</v>
      </c>
      <c r="R10" s="4"/>
      <c r="S10" s="4"/>
      <c r="T10" s="4"/>
      <c r="U10" s="4"/>
      <c r="V10" s="4">
        <v>11420.9</v>
      </c>
      <c r="W10" s="4"/>
      <c r="X10" s="4"/>
      <c r="Y10" s="4"/>
      <c r="Z10" s="4"/>
      <c r="AA10" s="4">
        <v>26051.25</v>
      </c>
      <c r="AB10" s="4"/>
      <c r="AC10" s="4"/>
      <c r="AD10" s="4"/>
      <c r="AE10" s="4"/>
      <c r="AF10" s="4">
        <v>67821.240000000005</v>
      </c>
      <c r="AG10" s="4"/>
      <c r="AH10" s="4"/>
      <c r="AI10" s="4"/>
      <c r="AJ10" s="4"/>
      <c r="AK10" s="4">
        <v>44019.71</v>
      </c>
      <c r="AL10" s="4"/>
      <c r="AM10" s="4"/>
      <c r="AN10" s="4"/>
      <c r="AO10" s="4"/>
      <c r="AP10" s="4">
        <v>72440.350000000006</v>
      </c>
      <c r="AQ10" s="4"/>
      <c r="AR10" s="4"/>
      <c r="AS10" s="4"/>
      <c r="AT10" s="4"/>
      <c r="AU10" s="4">
        <v>15606.39</v>
      </c>
      <c r="AV10" s="4"/>
      <c r="AW10" s="4"/>
      <c r="AX10" s="4"/>
      <c r="AY10" s="4"/>
      <c r="AZ10" s="4">
        <v>32275.03</v>
      </c>
      <c r="BA10" s="4"/>
      <c r="BB10" s="4"/>
      <c r="BC10" s="4"/>
      <c r="BD10" s="4"/>
      <c r="BE10" s="4">
        <v>22336.41</v>
      </c>
      <c r="BF10" s="4"/>
      <c r="BG10" s="4"/>
      <c r="BH10" s="4"/>
      <c r="BI10" s="4"/>
      <c r="BJ10" s="4">
        <v>43478.48</v>
      </c>
      <c r="BK10" s="4"/>
      <c r="BL10" s="4"/>
      <c r="BM10" s="4"/>
      <c r="BN10" s="4"/>
      <c r="BO10" s="4">
        <v>43887.63</v>
      </c>
      <c r="BP10" s="4"/>
      <c r="BQ10" s="4"/>
      <c r="BR10" s="4"/>
      <c r="BS10" s="4"/>
      <c r="BT10" s="4">
        <v>29581.040000000001</v>
      </c>
      <c r="BU10" s="4"/>
      <c r="BV10" s="4"/>
      <c r="BW10" s="4"/>
      <c r="BX10" s="4"/>
      <c r="BY10" s="4">
        <v>5317.93</v>
      </c>
      <c r="BZ10" s="4"/>
      <c r="CA10" s="4"/>
      <c r="CB10" s="4"/>
      <c r="CC10" s="4"/>
      <c r="CD10" s="4">
        <v>32235.13</v>
      </c>
      <c r="CE10" s="4"/>
      <c r="CF10" s="4"/>
      <c r="CG10" s="4"/>
      <c r="CH10" s="4"/>
      <c r="CI10" s="4">
        <f>69175.22+720</f>
        <v>69895.22</v>
      </c>
      <c r="CJ10" s="4"/>
      <c r="CK10" s="4"/>
      <c r="CL10" s="4"/>
      <c r="CM10" s="4">
        <v>54653.78</v>
      </c>
      <c r="CN10" s="4"/>
      <c r="CO10" s="4"/>
      <c r="CP10" s="4"/>
      <c r="CQ10" s="4"/>
      <c r="CR10" s="4">
        <v>80025.320000000007</v>
      </c>
      <c r="CS10" s="4"/>
      <c r="CT10" s="4"/>
      <c r="CU10" s="4"/>
      <c r="CV10" s="4"/>
      <c r="CW10" s="4">
        <f>70361.54+11251.59+240+146.62</f>
        <v>81999.749999999985</v>
      </c>
      <c r="CX10" s="4"/>
      <c r="CY10" s="4"/>
      <c r="CZ10" s="4"/>
      <c r="DA10" s="4"/>
      <c r="DB10" s="4">
        <v>162668.31</v>
      </c>
      <c r="DC10" s="4"/>
      <c r="DD10" s="4"/>
      <c r="DE10" s="87"/>
      <c r="DF10" s="4"/>
      <c r="DG10" s="4">
        <v>81882.25</v>
      </c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87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32"/>
      <c r="EH10" s="4"/>
      <c r="EI10" s="4"/>
      <c r="EJ10" s="4">
        <v>240</v>
      </c>
      <c r="EK10" s="76"/>
      <c r="EL10" s="4"/>
      <c r="EM10" s="4"/>
      <c r="EN10" s="4"/>
      <c r="EO10" s="4">
        <v>3933.27</v>
      </c>
      <c r="EP10" s="4"/>
      <c r="EQ10" s="4"/>
      <c r="ER10" s="4"/>
      <c r="ES10" s="4"/>
      <c r="ET10" s="4">
        <v>171.78</v>
      </c>
      <c r="EU10" s="5"/>
      <c r="EV10" s="4"/>
      <c r="EW10" s="4"/>
      <c r="EX10" s="4"/>
      <c r="EY10" s="4">
        <v>3092.04</v>
      </c>
      <c r="EZ10" s="4"/>
      <c r="FA10" s="4"/>
      <c r="FB10" s="4"/>
      <c r="FC10" s="4">
        <v>6304.08</v>
      </c>
      <c r="FD10" s="4"/>
      <c r="FE10" s="4"/>
      <c r="FF10" s="4"/>
      <c r="FG10" s="4"/>
      <c r="FH10" s="4"/>
      <c r="FI10" s="4"/>
      <c r="FJ10" s="4"/>
      <c r="FK10" s="4"/>
      <c r="FL10" s="7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102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102"/>
      <c r="GV10" s="4"/>
      <c r="GW10" s="4"/>
      <c r="GX10" s="4"/>
      <c r="GY10" s="4">
        <v>260</v>
      </c>
      <c r="GZ10" s="4"/>
      <c r="HA10" s="4"/>
      <c r="HB10" s="4"/>
      <c r="HC10" s="4"/>
      <c r="HD10" s="4">
        <v>1717.8</v>
      </c>
      <c r="HE10" s="4"/>
      <c r="HF10" s="4"/>
      <c r="HG10" s="4"/>
      <c r="HH10" s="4">
        <v>3847.38</v>
      </c>
      <c r="HI10" s="4"/>
      <c r="HJ10" s="4"/>
      <c r="HK10" s="4"/>
      <c r="HL10" s="4"/>
      <c r="HM10" s="4">
        <v>4949.84</v>
      </c>
      <c r="HN10" s="130"/>
      <c r="HO10" s="74"/>
      <c r="HP10" s="4"/>
      <c r="HQ10" s="4"/>
      <c r="HR10" s="4">
        <v>78053.55</v>
      </c>
      <c r="HS10" s="4"/>
      <c r="HT10" s="4"/>
      <c r="HU10" s="4"/>
      <c r="HV10" s="4"/>
      <c r="HW10" s="4">
        <v>64578.46</v>
      </c>
      <c r="HX10" s="4"/>
      <c r="HY10" s="4"/>
      <c r="HZ10" s="4"/>
      <c r="IA10" s="4">
        <v>35538.22</v>
      </c>
      <c r="IB10" s="4"/>
      <c r="IC10" s="4"/>
      <c r="ID10" s="4"/>
      <c r="IE10" s="4">
        <v>28521.38</v>
      </c>
      <c r="IF10" s="4"/>
      <c r="IG10" s="4"/>
      <c r="IH10" s="102"/>
      <c r="II10" s="4"/>
      <c r="IJ10" s="4">
        <v>89748.96</v>
      </c>
      <c r="IK10" s="4"/>
      <c r="IL10" s="4"/>
      <c r="IM10" s="4"/>
      <c r="IN10" s="4">
        <v>10153.89</v>
      </c>
      <c r="IO10" s="4"/>
      <c r="IP10" s="4"/>
      <c r="IQ10" s="4"/>
      <c r="IR10" s="4"/>
      <c r="IS10" s="4">
        <v>18719.41</v>
      </c>
      <c r="IT10" s="4"/>
      <c r="IU10" s="4">
        <f t="shared" si="4"/>
        <v>1440036.68</v>
      </c>
    </row>
    <row r="11" spans="1:256" s="8" customFormat="1" ht="14.1" customHeight="1" thickBot="1">
      <c r="A11" s="58" t="s">
        <v>7</v>
      </c>
      <c r="B11" s="4"/>
      <c r="C11" s="4"/>
      <c r="D11" s="4">
        <v>288.06</v>
      </c>
      <c r="E11" s="4">
        <v>40</v>
      </c>
      <c r="F11" s="4">
        <v>229.97</v>
      </c>
      <c r="G11" s="4">
        <f>481732.33+28197.81+227.77</f>
        <v>510157.91000000003</v>
      </c>
      <c r="H11" s="4"/>
      <c r="I11" s="4">
        <v>1393.32</v>
      </c>
      <c r="J11" s="4">
        <v>308</v>
      </c>
      <c r="K11" s="4">
        <v>1552</v>
      </c>
      <c r="L11" s="4"/>
      <c r="M11" s="4"/>
      <c r="N11" s="4">
        <v>79724.73</v>
      </c>
      <c r="O11" s="4">
        <f>4848+9777.25+657.39</f>
        <v>15282.64</v>
      </c>
      <c r="P11" s="4">
        <v>2465.09</v>
      </c>
      <c r="Q11" s="4"/>
      <c r="R11" s="4">
        <v>345</v>
      </c>
      <c r="S11" s="4">
        <v>2482.9899999999998</v>
      </c>
      <c r="T11" s="4">
        <f>20928+517.56</f>
        <v>21445.56</v>
      </c>
      <c r="U11" s="4">
        <v>334</v>
      </c>
      <c r="V11" s="4">
        <f>178.86+1005</f>
        <v>1183.8600000000001</v>
      </c>
      <c r="W11" s="4">
        <v>105</v>
      </c>
      <c r="X11" s="4">
        <f>3392.25+197.85</f>
        <v>3590.1</v>
      </c>
      <c r="Y11" s="4">
        <v>64518.29</v>
      </c>
      <c r="Z11" s="4">
        <v>1830.05</v>
      </c>
      <c r="AA11" s="4"/>
      <c r="AB11" s="4">
        <f>1294.19+1190</f>
        <v>2484.19</v>
      </c>
      <c r="AC11" s="4">
        <f>604281.57+1236.96</f>
        <v>605518.52999999991</v>
      </c>
      <c r="AD11" s="4">
        <v>1017.68</v>
      </c>
      <c r="AE11" s="4"/>
      <c r="AF11" s="4">
        <f>3500+593.79</f>
        <v>4093.79</v>
      </c>
      <c r="AG11" s="4">
        <v>45861.27</v>
      </c>
      <c r="AH11" s="4"/>
      <c r="AI11" s="4"/>
      <c r="AJ11" s="4">
        <v>777.68</v>
      </c>
      <c r="AK11" s="4">
        <f>1723+22.5</f>
        <v>1745.5</v>
      </c>
      <c r="AL11" s="4">
        <v>151.32</v>
      </c>
      <c r="AM11" s="4">
        <v>30</v>
      </c>
      <c r="AN11" s="4"/>
      <c r="AO11" s="4">
        <v>2286</v>
      </c>
      <c r="AP11" s="4">
        <v>1000</v>
      </c>
      <c r="AQ11" s="4"/>
      <c r="AR11" s="4"/>
      <c r="AS11" s="4">
        <v>241.19</v>
      </c>
      <c r="AT11" s="4"/>
      <c r="AU11" s="4">
        <v>89.08</v>
      </c>
      <c r="AV11" s="4"/>
      <c r="AW11" s="4">
        <f>481227.55+358.08</f>
        <v>481585.63</v>
      </c>
      <c r="AX11" s="4">
        <v>15651</v>
      </c>
      <c r="AY11" s="4">
        <v>1447.36</v>
      </c>
      <c r="AZ11" s="4"/>
      <c r="BA11" s="4">
        <f>1553.35+14047.85</f>
        <v>15601.2</v>
      </c>
      <c r="BB11" s="4">
        <v>223.21</v>
      </c>
      <c r="BC11" s="4">
        <v>11456.84</v>
      </c>
      <c r="BD11" s="4">
        <v>1273.1099999999999</v>
      </c>
      <c r="BE11" s="4">
        <v>20</v>
      </c>
      <c r="BF11" s="4">
        <v>10752.5</v>
      </c>
      <c r="BG11" s="4">
        <f>4175.04+35.63</f>
        <v>4210.67</v>
      </c>
      <c r="BH11" s="4">
        <v>91.91</v>
      </c>
      <c r="BI11" s="4">
        <v>1073.26</v>
      </c>
      <c r="BJ11" s="4">
        <f>3469.82+2500</f>
        <v>5969.82</v>
      </c>
      <c r="BK11" s="4"/>
      <c r="BL11" s="4">
        <f>84.9+13239.68</f>
        <v>13324.58</v>
      </c>
      <c r="BM11" s="4">
        <v>263.74</v>
      </c>
      <c r="BN11" s="4">
        <v>107.06</v>
      </c>
      <c r="BO11" s="4">
        <v>83.25</v>
      </c>
      <c r="BP11" s="4">
        <v>1950</v>
      </c>
      <c r="BQ11" s="4">
        <v>12457</v>
      </c>
      <c r="BR11" s="4">
        <f>199+4887.5</f>
        <v>5086.5</v>
      </c>
      <c r="BS11" s="4">
        <f>2326.2+107.06+8858.54</f>
        <v>11291.800000000001</v>
      </c>
      <c r="BT11" s="4">
        <f>1054.98+809062.78+1500</f>
        <v>811617.76</v>
      </c>
      <c r="BU11" s="4"/>
      <c r="BV11" s="4">
        <f>490.29+1792.21</f>
        <v>2282.5</v>
      </c>
      <c r="BW11" s="4">
        <f>1382.4+56.65</f>
        <v>1439.0500000000002</v>
      </c>
      <c r="BX11" s="4">
        <v>2184.3200000000002</v>
      </c>
      <c r="BY11" s="4">
        <v>40</v>
      </c>
      <c r="BZ11" s="4">
        <v>8613.5499999999993</v>
      </c>
      <c r="CA11" s="4">
        <f>2143.79+2193.93</f>
        <v>4337.7199999999993</v>
      </c>
      <c r="CB11" s="4">
        <v>323.94</v>
      </c>
      <c r="CC11" s="4">
        <f>2859.12+1270</f>
        <v>4129.12</v>
      </c>
      <c r="CD11" s="4"/>
      <c r="CE11" s="4">
        <v>288</v>
      </c>
      <c r="CF11" s="4">
        <f>300.09</f>
        <v>300.08999999999997</v>
      </c>
      <c r="CG11" s="4">
        <v>68.180000000000007</v>
      </c>
      <c r="CH11" s="4"/>
      <c r="CI11" s="4">
        <v>889.07</v>
      </c>
      <c r="CJ11" s="4">
        <f>219.29+42.39</f>
        <v>261.68</v>
      </c>
      <c r="CK11" s="4">
        <f>4578+123.13</f>
        <v>4701.13</v>
      </c>
      <c r="CL11" s="4">
        <v>31.31</v>
      </c>
      <c r="CM11" s="4">
        <v>142.91</v>
      </c>
      <c r="CN11" s="4">
        <f>165.39+127.26</f>
        <v>292.64999999999998</v>
      </c>
      <c r="CO11" s="4">
        <v>586.5</v>
      </c>
      <c r="CP11" s="4">
        <f>374.81+20.2</f>
        <v>395.01</v>
      </c>
      <c r="CQ11" s="4">
        <v>16.16</v>
      </c>
      <c r="CR11" s="4">
        <f>934297.12+43.94</f>
        <v>934341.05999999994</v>
      </c>
      <c r="CS11" s="4">
        <f>11+1489.93</f>
        <v>1500.93</v>
      </c>
      <c r="CT11" s="4">
        <f>2121.72+31.5</f>
        <v>2153.2199999999998</v>
      </c>
      <c r="CU11" s="4">
        <f>189.24+341</f>
        <v>530.24</v>
      </c>
      <c r="CV11" s="4">
        <f>678.97+29.79</f>
        <v>708.76</v>
      </c>
      <c r="CW11" s="4">
        <f>29.15+759.66</f>
        <v>788.81</v>
      </c>
      <c r="CX11" s="4">
        <v>10</v>
      </c>
      <c r="CY11" s="4"/>
      <c r="CZ11" s="4"/>
      <c r="DA11" s="4">
        <v>2038.93</v>
      </c>
      <c r="DB11" s="4"/>
      <c r="DC11" s="4">
        <v>979.34</v>
      </c>
      <c r="DD11" s="4">
        <v>80.95</v>
      </c>
      <c r="DE11" s="4">
        <f>77.77+86.26</f>
        <v>164.03</v>
      </c>
      <c r="DF11" s="4">
        <v>650</v>
      </c>
      <c r="DG11" s="4"/>
      <c r="DH11" s="4"/>
      <c r="DI11" s="4"/>
      <c r="DJ11" s="4"/>
      <c r="DK11" s="4"/>
      <c r="DL11" s="4">
        <v>1826.97</v>
      </c>
      <c r="DM11" s="4"/>
      <c r="DN11" s="4"/>
      <c r="DO11" s="4">
        <f>9957.7+514.89</f>
        <v>10472.59</v>
      </c>
      <c r="DP11" s="4">
        <f>5174.18+603.27</f>
        <v>5777.4500000000007</v>
      </c>
      <c r="DQ11" s="4">
        <v>646.21</v>
      </c>
      <c r="DR11" s="4">
        <v>404.23</v>
      </c>
      <c r="DS11" s="4">
        <v>234</v>
      </c>
      <c r="DT11" s="4">
        <v>697.29</v>
      </c>
      <c r="DU11" s="4">
        <v>743.2</v>
      </c>
      <c r="DV11" s="4">
        <v>1830.86</v>
      </c>
      <c r="DW11" s="4">
        <v>391.76</v>
      </c>
      <c r="DX11" s="4"/>
      <c r="DY11" s="4">
        <v>688.96</v>
      </c>
      <c r="DZ11" s="4">
        <f>6167.13+40</f>
        <v>6207.13</v>
      </c>
      <c r="EA11" s="4">
        <v>33.31</v>
      </c>
      <c r="EB11" s="4"/>
      <c r="EC11" s="4"/>
      <c r="ED11" s="4"/>
      <c r="EE11" s="4">
        <f>868.3</f>
        <v>868.3</v>
      </c>
      <c r="EF11" s="4"/>
      <c r="EG11" s="4">
        <v>258.89</v>
      </c>
      <c r="EH11" s="4">
        <v>2087.4899999999998</v>
      </c>
      <c r="EI11" s="4">
        <v>793.55</v>
      </c>
      <c r="EJ11" s="4">
        <v>1358.6</v>
      </c>
      <c r="EK11" s="190"/>
      <c r="EL11" s="4">
        <v>1198882.83</v>
      </c>
      <c r="EM11" s="4">
        <v>127.73</v>
      </c>
      <c r="EN11" s="4">
        <f>857155.19+51518.21</f>
        <v>908673.39999999991</v>
      </c>
      <c r="EO11" s="4">
        <v>6431.4</v>
      </c>
      <c r="EP11" s="4"/>
      <c r="EQ11" s="4"/>
      <c r="ER11" s="4">
        <f>12800+1023.92</f>
        <v>13823.92</v>
      </c>
      <c r="ES11" s="4">
        <f>1226.45+3681.88+1187.14</f>
        <v>6095.47</v>
      </c>
      <c r="ET11" s="4"/>
      <c r="EU11" s="4">
        <v>159.75</v>
      </c>
      <c r="EV11" s="4">
        <v>64.650000000000006</v>
      </c>
      <c r="EW11" s="4"/>
      <c r="EX11" s="4"/>
      <c r="EY11" s="4">
        <f>662.21+37.74</f>
        <v>699.95</v>
      </c>
      <c r="EZ11" s="4"/>
      <c r="FA11" s="4"/>
      <c r="FB11" s="4">
        <f>1852.76+135.56</f>
        <v>1988.32</v>
      </c>
      <c r="FC11" s="4">
        <f>333.05</f>
        <v>333.05</v>
      </c>
      <c r="FD11" s="4">
        <f>68.45+466.52</f>
        <v>534.97</v>
      </c>
      <c r="FE11" s="4">
        <v>52</v>
      </c>
      <c r="FF11" s="4">
        <f>3983.51+603.27+180.85</f>
        <v>4767.630000000001</v>
      </c>
      <c r="FG11" s="4">
        <v>863.12</v>
      </c>
      <c r="FH11" s="4"/>
      <c r="FI11" s="4"/>
      <c r="FJ11" s="4"/>
      <c r="FK11" s="4">
        <v>181648.86</v>
      </c>
      <c r="FL11" s="74">
        <v>545.45000000000005</v>
      </c>
      <c r="FM11" s="4">
        <v>14.12</v>
      </c>
      <c r="FN11" s="4"/>
      <c r="FO11" s="4"/>
      <c r="FP11" s="190"/>
      <c r="FQ11" s="4">
        <f>1802.46+58.06</f>
        <v>1860.52</v>
      </c>
      <c r="FR11" s="4"/>
      <c r="FS11" s="4"/>
      <c r="FT11" s="4"/>
      <c r="FU11" s="4">
        <v>2364.37</v>
      </c>
      <c r="FV11" s="4"/>
      <c r="FW11" s="4"/>
      <c r="FX11" s="4"/>
      <c r="FY11" s="4">
        <v>1681.11</v>
      </c>
      <c r="FZ11" s="185">
        <v>2682.08</v>
      </c>
      <c r="GA11" s="4">
        <f>1542.25+29.35</f>
        <v>1571.6</v>
      </c>
      <c r="GB11" s="4"/>
      <c r="GC11" s="4"/>
      <c r="GD11" s="4">
        <f>6744.4+17.68</f>
        <v>6762.08</v>
      </c>
      <c r="GE11" s="4"/>
      <c r="GF11" s="4"/>
      <c r="GG11" s="4">
        <f>5525.22+242.52</f>
        <v>5767.7400000000007</v>
      </c>
      <c r="GH11" s="4"/>
      <c r="GI11" s="4"/>
      <c r="GJ11" s="4"/>
      <c r="GK11" s="4">
        <v>52232</v>
      </c>
      <c r="GL11" s="4"/>
      <c r="GM11" s="4">
        <v>21.6</v>
      </c>
      <c r="GN11" s="4"/>
      <c r="GO11" s="4"/>
      <c r="GP11" s="4">
        <v>296.79000000000002</v>
      </c>
      <c r="GQ11" s="4">
        <f>52.5+1000+282.5</f>
        <v>1335</v>
      </c>
      <c r="GR11" s="4"/>
      <c r="GS11" s="4">
        <v>1530.03</v>
      </c>
      <c r="GT11" s="4"/>
      <c r="GU11" s="185">
        <v>881.32</v>
      </c>
      <c r="GV11" s="4">
        <f>946442.7+26.91</f>
        <v>946469.61</v>
      </c>
      <c r="GW11" s="4"/>
      <c r="GX11" s="4">
        <f>6053.11+4400</f>
        <v>10453.11</v>
      </c>
      <c r="GY11" s="4">
        <f>252+819.67</f>
        <v>1071.67</v>
      </c>
      <c r="GZ11" s="4"/>
      <c r="HA11" s="4">
        <v>455</v>
      </c>
      <c r="HB11" s="4">
        <v>206.15</v>
      </c>
      <c r="HC11" s="4">
        <v>3910</v>
      </c>
      <c r="HD11" s="4"/>
      <c r="HE11" s="4">
        <v>2.91</v>
      </c>
      <c r="HF11" s="4"/>
      <c r="HG11" s="4"/>
      <c r="HH11" s="4"/>
      <c r="HI11" s="4"/>
      <c r="HJ11" s="4">
        <v>706.5</v>
      </c>
      <c r="HK11" s="4">
        <f>37.44+545.82</f>
        <v>583.26</v>
      </c>
      <c r="HL11" s="4">
        <v>117</v>
      </c>
      <c r="HM11" s="4">
        <v>85908.58</v>
      </c>
      <c r="HN11" s="130">
        <f>670.99+1668.28+233805</f>
        <v>236144.27</v>
      </c>
      <c r="HO11" s="189">
        <v>542.25</v>
      </c>
      <c r="HP11" s="4">
        <v>552.58000000000004</v>
      </c>
      <c r="HQ11" s="4">
        <v>55.57</v>
      </c>
      <c r="HR11" s="4">
        <f>515+909349.94</f>
        <v>909864.94</v>
      </c>
      <c r="HS11" s="4"/>
      <c r="HT11" s="4">
        <v>1009.69</v>
      </c>
      <c r="HU11" s="4"/>
      <c r="HV11" s="4">
        <v>164.75</v>
      </c>
      <c r="HW11" s="4"/>
      <c r="HX11" s="4"/>
      <c r="HY11" s="4"/>
      <c r="HZ11" s="4"/>
      <c r="IA11" s="4">
        <v>2.48</v>
      </c>
      <c r="IB11" s="4"/>
      <c r="IC11" s="4"/>
      <c r="ID11" s="4"/>
      <c r="IE11" s="4">
        <v>230</v>
      </c>
      <c r="IF11" s="4">
        <f>20925.31+286.4</f>
        <v>21211.710000000003</v>
      </c>
      <c r="IG11" s="4"/>
      <c r="IH11" s="185">
        <v>3680</v>
      </c>
      <c r="II11" s="4">
        <f>1186+473253.58</f>
        <v>474439.58</v>
      </c>
      <c r="IJ11" s="4">
        <f>1498.3+5502.88</f>
        <v>7001.18</v>
      </c>
      <c r="IK11" s="4"/>
      <c r="IL11" s="4"/>
      <c r="IM11" s="4">
        <f>904+322.06</f>
        <v>1226.06</v>
      </c>
      <c r="IN11" s="4"/>
      <c r="IO11" s="4">
        <v>4000</v>
      </c>
      <c r="IP11" s="4">
        <v>348840</v>
      </c>
      <c r="IQ11" s="4">
        <v>394.47</v>
      </c>
      <c r="IR11" s="4">
        <v>317.19</v>
      </c>
      <c r="IS11" s="4"/>
      <c r="IT11" s="4"/>
      <c r="IU11" s="4">
        <f t="shared" si="4"/>
        <v>9252954.3200000059</v>
      </c>
    </row>
    <row r="12" spans="1:256" ht="14.1" customHeight="1">
      <c r="A12" s="4" t="s">
        <v>38</v>
      </c>
      <c r="B12" s="10"/>
      <c r="C12" s="155"/>
      <c r="D12" s="4"/>
      <c r="E12" s="4">
        <v>22216.93</v>
      </c>
      <c r="F12" s="4"/>
      <c r="G12" s="4" t="s">
        <v>49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>
        <v>84536.03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v>76505.009999999995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>
        <v>544843.11</v>
      </c>
      <c r="CU12" s="4"/>
      <c r="CV12" s="4"/>
      <c r="CW12" s="4"/>
      <c r="CX12" s="4"/>
      <c r="CY12" s="4"/>
      <c r="CZ12" s="4">
        <v>80197.08</v>
      </c>
      <c r="DA12" s="4"/>
      <c r="DB12" s="4"/>
      <c r="DC12" s="4"/>
      <c r="DD12" s="4">
        <v>38791.019999999997</v>
      </c>
      <c r="DE12" s="87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>
        <v>10605.63</v>
      </c>
      <c r="DQ12" s="4"/>
      <c r="DR12" s="87"/>
      <c r="DS12" s="4"/>
      <c r="DT12" s="4"/>
      <c r="DU12" s="4"/>
      <c r="DV12" s="4"/>
      <c r="DW12" s="4"/>
      <c r="DX12" s="4">
        <v>82502.759999999995</v>
      </c>
      <c r="DY12" s="4"/>
      <c r="DZ12" s="4"/>
      <c r="EA12" s="4"/>
      <c r="EB12" s="4"/>
      <c r="EC12" s="4"/>
      <c r="ED12" s="4"/>
      <c r="EE12" s="4">
        <v>97735.17</v>
      </c>
      <c r="EF12" s="4"/>
      <c r="EG12" s="32"/>
      <c r="EH12" s="4"/>
      <c r="EI12" s="4"/>
      <c r="EJ12" s="4"/>
      <c r="EK12" s="77"/>
      <c r="EL12" s="4"/>
      <c r="EM12" s="4"/>
      <c r="EN12" s="4"/>
      <c r="EO12" s="4"/>
      <c r="EP12" s="4"/>
      <c r="EQ12" s="4"/>
      <c r="ER12" s="4"/>
      <c r="ES12" s="4"/>
      <c r="ET12" s="4"/>
      <c r="EU12" s="3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v>87228.4</v>
      </c>
      <c r="FG12" s="4"/>
      <c r="FH12" s="4"/>
      <c r="FI12" s="4"/>
      <c r="FJ12" s="4"/>
      <c r="FK12" s="4"/>
      <c r="FL12" s="74"/>
      <c r="FM12" s="4"/>
      <c r="FN12" s="4"/>
      <c r="FO12" s="4"/>
      <c r="FP12" s="4"/>
      <c r="FQ12" s="4"/>
      <c r="FR12" s="4"/>
      <c r="FS12" s="4">
        <v>62532.9</v>
      </c>
      <c r="FT12" s="4"/>
      <c r="FU12" s="4"/>
      <c r="FV12" s="4"/>
      <c r="FW12" s="4"/>
      <c r="FX12" s="4"/>
      <c r="FY12" s="4"/>
      <c r="FZ12" s="102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102"/>
      <c r="GV12" s="4"/>
      <c r="GW12" s="4">
        <v>185.45</v>
      </c>
      <c r="GX12" s="4"/>
      <c r="GY12" s="4">
        <v>2145.5300000000002</v>
      </c>
      <c r="GZ12" s="4"/>
      <c r="HA12" s="4"/>
      <c r="HB12" s="4"/>
      <c r="HC12" s="4"/>
      <c r="HD12" s="4"/>
      <c r="HE12" s="4">
        <v>813</v>
      </c>
      <c r="HF12" s="4"/>
      <c r="HG12" s="4"/>
      <c r="HH12" s="4"/>
      <c r="HI12" s="4"/>
      <c r="HJ12" s="4"/>
      <c r="HK12" s="4"/>
      <c r="HL12" s="4"/>
      <c r="HM12" s="4"/>
      <c r="HN12" s="130"/>
      <c r="HO12" s="74"/>
      <c r="HP12" s="4"/>
      <c r="HQ12" s="4"/>
      <c r="HR12" s="4"/>
      <c r="HS12" s="4"/>
      <c r="HT12" s="4">
        <v>1968111.42</v>
      </c>
      <c r="HU12" s="4"/>
      <c r="HV12" s="4"/>
      <c r="HW12" s="4"/>
      <c r="HX12" s="4"/>
      <c r="HY12" s="4"/>
      <c r="HZ12" s="4"/>
      <c r="IA12" s="4"/>
      <c r="IB12" s="4"/>
      <c r="IC12" s="4">
        <v>57536.85</v>
      </c>
      <c r="ID12" s="4"/>
      <c r="IE12" s="4"/>
      <c r="IF12" s="4"/>
      <c r="IG12" s="4"/>
      <c r="IH12" s="102"/>
      <c r="II12" s="4"/>
      <c r="IJ12" s="4"/>
      <c r="IK12" s="4"/>
      <c r="IL12" s="4"/>
      <c r="IM12" s="4"/>
      <c r="IN12" s="4"/>
      <c r="IO12" s="4"/>
      <c r="IP12" s="4">
        <v>44885.15</v>
      </c>
      <c r="IQ12" s="4"/>
      <c r="IR12" s="4"/>
      <c r="IS12" s="4"/>
      <c r="IT12" s="4"/>
      <c r="IU12" s="4">
        <f t="shared" si="4"/>
        <v>3261371.4399999995</v>
      </c>
      <c r="IV12" s="8"/>
    </row>
    <row r="13" spans="1:256" s="38" customFormat="1" ht="14.1" customHeight="1">
      <c r="A13" s="32" t="s">
        <v>47</v>
      </c>
      <c r="B13" s="32"/>
      <c r="C13" s="32">
        <v>158585.47</v>
      </c>
      <c r="D13" s="32">
        <v>178705.55</v>
      </c>
      <c r="E13" s="32">
        <v>296489.46000000002</v>
      </c>
      <c r="F13" s="32"/>
      <c r="G13" s="32"/>
      <c r="H13" s="32"/>
      <c r="I13" s="32">
        <v>222813.81</v>
      </c>
      <c r="J13" s="32">
        <v>259118.86</v>
      </c>
      <c r="K13" s="32">
        <v>247177.56</v>
      </c>
      <c r="L13" s="32">
        <v>171049.46</v>
      </c>
      <c r="M13" s="32">
        <v>158533.95000000001</v>
      </c>
      <c r="N13" s="32">
        <v>211918.24</v>
      </c>
      <c r="O13" s="32">
        <v>294114.45</v>
      </c>
      <c r="P13" s="32">
        <v>245450.99</v>
      </c>
      <c r="Q13" s="32">
        <v>237375.42</v>
      </c>
      <c r="R13" s="32">
        <v>204960.66</v>
      </c>
      <c r="S13" s="32">
        <v>164805.78</v>
      </c>
      <c r="T13" s="32">
        <v>289755.93</v>
      </c>
      <c r="U13" s="32">
        <v>251788.13</v>
      </c>
      <c r="V13" s="32">
        <v>159822.26999999999</v>
      </c>
      <c r="W13" s="32">
        <v>260220.43</v>
      </c>
      <c r="X13" s="32">
        <v>250630.64</v>
      </c>
      <c r="Y13" s="32">
        <v>169578.7</v>
      </c>
      <c r="Z13" s="32">
        <v>39255.82</v>
      </c>
      <c r="AA13" s="32">
        <v>262096.81</v>
      </c>
      <c r="AB13" s="32">
        <v>225406.83</v>
      </c>
      <c r="AC13" s="32">
        <v>34587.269999999997</v>
      </c>
      <c r="AD13" s="32">
        <v>133731.19</v>
      </c>
      <c r="AE13" s="32">
        <v>115652.98</v>
      </c>
      <c r="AF13" s="32">
        <v>114091.07</v>
      </c>
      <c r="AG13" s="32">
        <v>270432.98</v>
      </c>
      <c r="AH13" s="32">
        <v>163545.28</v>
      </c>
      <c r="AI13" s="32">
        <v>122369.1</v>
      </c>
      <c r="AJ13" s="32">
        <v>49705.95</v>
      </c>
      <c r="AK13" s="32">
        <v>232791.3</v>
      </c>
      <c r="AL13" s="32">
        <v>8159494.6200000001</v>
      </c>
      <c r="AM13" s="32">
        <v>5368139.62</v>
      </c>
      <c r="AN13" s="32">
        <v>167261.68</v>
      </c>
      <c r="AO13" s="32">
        <v>255024.26</v>
      </c>
      <c r="AP13" s="32">
        <v>141387.66</v>
      </c>
      <c r="AQ13" s="32">
        <v>121201.77</v>
      </c>
      <c r="AR13" s="32">
        <v>273909.78999999998</v>
      </c>
      <c r="AS13" s="32">
        <v>173102.87</v>
      </c>
      <c r="AT13" s="32">
        <v>180251.39</v>
      </c>
      <c r="AU13" s="32">
        <v>1449676.42</v>
      </c>
      <c r="AV13" s="32">
        <v>137986.9</v>
      </c>
      <c r="AW13" s="32">
        <v>246028.73</v>
      </c>
      <c r="AX13" s="32">
        <v>322511.78000000003</v>
      </c>
      <c r="AY13" s="32">
        <v>137969.09</v>
      </c>
      <c r="AZ13" s="32">
        <v>170011.34</v>
      </c>
      <c r="BA13" s="32">
        <v>149716.41</v>
      </c>
      <c r="BB13" s="32">
        <v>87598.63</v>
      </c>
      <c r="BC13" s="32">
        <v>169412.23</v>
      </c>
      <c r="BD13" s="32">
        <v>256573.3</v>
      </c>
      <c r="BE13" s="32">
        <v>231200.23</v>
      </c>
      <c r="BF13" s="32">
        <v>159919.54</v>
      </c>
      <c r="BG13" s="32">
        <v>276354.28000000003</v>
      </c>
      <c r="BH13" s="32">
        <v>250028.93</v>
      </c>
      <c r="BI13" s="32">
        <v>187444.74</v>
      </c>
      <c r="BJ13" s="32">
        <v>344760.86</v>
      </c>
      <c r="BK13" s="32">
        <v>162346.66</v>
      </c>
      <c r="BL13" s="32">
        <v>167673.38</v>
      </c>
      <c r="BM13" s="32">
        <v>225717.55</v>
      </c>
      <c r="BN13" s="32">
        <v>159346.16</v>
      </c>
      <c r="BO13" s="32">
        <v>228256.22</v>
      </c>
      <c r="BP13" s="32">
        <v>159078.82999999999</v>
      </c>
      <c r="BQ13" s="32">
        <v>118824.25</v>
      </c>
      <c r="BR13" s="32">
        <v>194393.24</v>
      </c>
      <c r="BS13" s="32">
        <v>210036.7</v>
      </c>
      <c r="BT13" s="32">
        <v>203821.14</v>
      </c>
      <c r="BU13" s="32">
        <v>201206.84</v>
      </c>
      <c r="BV13" s="32">
        <v>248074.15</v>
      </c>
      <c r="BW13" s="32">
        <v>185678.24</v>
      </c>
      <c r="BX13" s="32">
        <v>216104.3</v>
      </c>
      <c r="BY13" s="32">
        <v>218690.37</v>
      </c>
      <c r="BZ13" s="32">
        <v>228431.62</v>
      </c>
      <c r="CA13" s="32">
        <v>244348.57</v>
      </c>
      <c r="CB13" s="32">
        <v>170778.57</v>
      </c>
      <c r="CC13" s="32"/>
      <c r="CD13" s="32"/>
      <c r="CE13" s="32">
        <v>142965.82999999999</v>
      </c>
      <c r="CF13" s="32">
        <v>159898.4</v>
      </c>
      <c r="CG13" s="32">
        <v>197887.53</v>
      </c>
      <c r="CH13" s="32">
        <v>181381.29</v>
      </c>
      <c r="CI13" s="32">
        <v>138106.23999999999</v>
      </c>
      <c r="CJ13" s="32">
        <v>109751.15</v>
      </c>
      <c r="CK13" s="32">
        <v>205069.06</v>
      </c>
      <c r="CL13" s="32">
        <v>643219.68999999994</v>
      </c>
      <c r="CM13" s="32">
        <v>103898.74</v>
      </c>
      <c r="CN13" s="32">
        <v>4808280.0199999996</v>
      </c>
      <c r="CO13" s="32">
        <v>247641.19</v>
      </c>
      <c r="CP13" s="32">
        <v>146150.62</v>
      </c>
      <c r="CQ13" s="32">
        <v>144199.88</v>
      </c>
      <c r="CR13" s="32">
        <v>148383.54999999999</v>
      </c>
      <c r="CS13" s="32">
        <v>70307.92</v>
      </c>
      <c r="CT13" s="32">
        <v>51023.48</v>
      </c>
      <c r="CU13" s="32">
        <v>155684.72</v>
      </c>
      <c r="CV13" s="32">
        <v>118097.3</v>
      </c>
      <c r="CW13" s="32">
        <v>185677.41</v>
      </c>
      <c r="CX13" s="32">
        <v>119207.25</v>
      </c>
      <c r="CY13" s="32">
        <v>142431.28</v>
      </c>
      <c r="CZ13" s="32">
        <v>138663.59</v>
      </c>
      <c r="DA13" s="32">
        <v>135351.15</v>
      </c>
      <c r="DB13" s="32">
        <v>109919.02</v>
      </c>
      <c r="DC13" s="32">
        <v>143527.49</v>
      </c>
      <c r="DD13" s="32">
        <v>142711.07</v>
      </c>
      <c r="DE13" s="32">
        <v>194973.67</v>
      </c>
      <c r="DF13" s="32">
        <v>2644.55</v>
      </c>
      <c r="DG13" s="32">
        <v>70572.08</v>
      </c>
      <c r="DH13" s="32">
        <v>171802.47</v>
      </c>
      <c r="DI13" s="32"/>
      <c r="DJ13" s="32">
        <v>111158.48</v>
      </c>
      <c r="DK13" s="32">
        <v>117955.22</v>
      </c>
      <c r="DL13" s="32">
        <v>121059.49</v>
      </c>
      <c r="DM13" s="32">
        <v>167296.21</v>
      </c>
      <c r="DN13" s="32">
        <v>184540.23</v>
      </c>
      <c r="DO13" s="32">
        <v>188803.97</v>
      </c>
      <c r="DP13" s="32">
        <v>221661.75</v>
      </c>
      <c r="DQ13" s="32"/>
      <c r="DR13" s="32">
        <v>122794.15</v>
      </c>
      <c r="DS13" s="32">
        <v>98721.2</v>
      </c>
      <c r="DT13" s="32"/>
      <c r="DU13" s="32">
        <v>79087.539999999994</v>
      </c>
      <c r="DV13" s="32">
        <v>203308.18</v>
      </c>
      <c r="DW13" s="32">
        <v>176111.09</v>
      </c>
      <c r="DX13" s="32">
        <v>206710.69</v>
      </c>
      <c r="DY13" s="32">
        <v>182985.94</v>
      </c>
      <c r="DZ13" s="32">
        <v>127350.63</v>
      </c>
      <c r="EA13" s="32">
        <v>347436.66</v>
      </c>
      <c r="EB13" s="32">
        <v>533663.05000000005</v>
      </c>
      <c r="EC13" s="32">
        <v>113741.24</v>
      </c>
      <c r="ED13" s="32">
        <v>507977.78</v>
      </c>
      <c r="EE13" s="32">
        <v>108473.31</v>
      </c>
      <c r="EF13" s="32">
        <v>162597.29</v>
      </c>
      <c r="EG13" s="32">
        <v>131602.60999999999</v>
      </c>
      <c r="EH13" s="32">
        <v>133053.10999999999</v>
      </c>
      <c r="EI13" s="32">
        <v>105420.68</v>
      </c>
      <c r="EJ13" s="32">
        <v>160638.47</v>
      </c>
      <c r="EK13" s="123">
        <v>126472.88</v>
      </c>
      <c r="EL13" s="32">
        <v>61334.52</v>
      </c>
      <c r="EM13" s="32">
        <v>1349852.89</v>
      </c>
      <c r="EN13" s="32"/>
      <c r="EO13" s="32">
        <v>137201.59</v>
      </c>
      <c r="EP13" s="32">
        <v>238328.15</v>
      </c>
      <c r="EQ13" s="32">
        <v>79332.63</v>
      </c>
      <c r="ER13" s="32">
        <v>190000.36</v>
      </c>
      <c r="ES13" s="32">
        <v>185103.55</v>
      </c>
      <c r="ET13" s="32">
        <v>196425.43</v>
      </c>
      <c r="EU13" s="32">
        <v>242344.39</v>
      </c>
      <c r="EV13" s="32">
        <v>466879.75</v>
      </c>
      <c r="EW13" s="32">
        <v>244698.48</v>
      </c>
      <c r="EX13" s="32">
        <v>207279.95</v>
      </c>
      <c r="EY13" s="32">
        <v>266685.03999999998</v>
      </c>
      <c r="EZ13" s="32">
        <v>177043.92</v>
      </c>
      <c r="FA13" s="32">
        <v>65068.31</v>
      </c>
      <c r="FB13" s="32">
        <v>174450.94</v>
      </c>
      <c r="FC13" s="32">
        <v>266261.71999999997</v>
      </c>
      <c r="FD13" s="32">
        <v>230556.95</v>
      </c>
      <c r="FE13" s="32">
        <v>261182.11</v>
      </c>
      <c r="FF13" s="32">
        <v>216631.72</v>
      </c>
      <c r="FG13" s="32">
        <v>201588.44</v>
      </c>
      <c r="FH13" s="32">
        <v>222596.27</v>
      </c>
      <c r="FI13" s="32">
        <v>205270.11</v>
      </c>
      <c r="FJ13" s="32">
        <v>225277.07</v>
      </c>
      <c r="FK13" s="32">
        <v>206517.16</v>
      </c>
      <c r="FL13" s="123">
        <v>401092.18</v>
      </c>
      <c r="FM13" s="32">
        <v>243334.31</v>
      </c>
      <c r="FN13" s="32">
        <v>149309.79</v>
      </c>
      <c r="FO13" s="32">
        <v>220941.85</v>
      </c>
      <c r="FP13" s="32">
        <v>1145901.0900000001</v>
      </c>
      <c r="FQ13" s="32">
        <v>177309.97</v>
      </c>
      <c r="FR13" s="32"/>
      <c r="FS13" s="32">
        <v>836155</v>
      </c>
      <c r="FT13" s="32">
        <v>274264.02</v>
      </c>
      <c r="FU13" s="32">
        <v>537200.04</v>
      </c>
      <c r="FV13" s="32">
        <v>223167.4</v>
      </c>
      <c r="FW13" s="32">
        <v>428720.41</v>
      </c>
      <c r="FX13" s="32"/>
      <c r="FY13" s="32">
        <v>473685.72</v>
      </c>
      <c r="FZ13" s="102">
        <v>261399.21</v>
      </c>
      <c r="GA13" s="32">
        <v>396323.4</v>
      </c>
      <c r="GB13" s="32">
        <v>355893.53</v>
      </c>
      <c r="GC13" s="32">
        <v>260348.23</v>
      </c>
      <c r="GD13" s="32">
        <v>180315.46</v>
      </c>
      <c r="GE13" s="32">
        <v>986207.07</v>
      </c>
      <c r="GF13" s="32">
        <v>252429.08</v>
      </c>
      <c r="GG13" s="32">
        <v>192596</v>
      </c>
      <c r="GH13" s="32"/>
      <c r="GI13" s="32">
        <v>307387.34000000003</v>
      </c>
      <c r="GJ13" s="32">
        <v>213888.01</v>
      </c>
      <c r="GK13" s="32">
        <v>1073709.17</v>
      </c>
      <c r="GL13" s="32">
        <v>380333.22</v>
      </c>
      <c r="GM13" s="32">
        <v>350394.62</v>
      </c>
      <c r="GN13" s="32">
        <v>220080.93</v>
      </c>
      <c r="GO13" s="32">
        <v>228725.79</v>
      </c>
      <c r="GP13" s="32">
        <v>312393.27</v>
      </c>
      <c r="GQ13" s="32"/>
      <c r="GR13" s="32">
        <v>204366.55</v>
      </c>
      <c r="GS13" s="32">
        <v>496550.11</v>
      </c>
      <c r="GT13" s="32">
        <v>223534.99</v>
      </c>
      <c r="GU13" s="102">
        <v>421153.87</v>
      </c>
      <c r="GV13" s="32">
        <v>385321.89</v>
      </c>
      <c r="GW13" s="32">
        <v>202452.64</v>
      </c>
      <c r="GX13" s="32">
        <v>185754.48</v>
      </c>
      <c r="GY13" s="32">
        <v>241783.06</v>
      </c>
      <c r="GZ13" s="32">
        <v>148585.59</v>
      </c>
      <c r="HA13" s="32">
        <v>849705.7</v>
      </c>
      <c r="HB13" s="32">
        <v>205424.75</v>
      </c>
      <c r="HC13" s="32">
        <v>980333.66</v>
      </c>
      <c r="HD13" s="32">
        <v>242279.3</v>
      </c>
      <c r="HE13" s="32">
        <v>167694.01999999999</v>
      </c>
      <c r="HF13" s="32">
        <v>217134.5</v>
      </c>
      <c r="HG13" s="32">
        <v>333354.06</v>
      </c>
      <c r="HH13" s="32"/>
      <c r="HI13" s="32"/>
      <c r="HJ13" s="32">
        <v>189601.13</v>
      </c>
      <c r="HK13" s="32">
        <v>2696028.61</v>
      </c>
      <c r="HL13" s="32">
        <v>586602.6</v>
      </c>
      <c r="HM13" s="32">
        <v>202969.62</v>
      </c>
      <c r="HN13" s="141">
        <v>322857.77</v>
      </c>
      <c r="HO13" s="123">
        <v>379165.1</v>
      </c>
      <c r="HP13" s="32">
        <v>306559.18</v>
      </c>
      <c r="HQ13" s="32">
        <v>203268.63</v>
      </c>
      <c r="HR13" s="32">
        <v>196000.29</v>
      </c>
      <c r="HS13" s="32">
        <v>213351.57</v>
      </c>
      <c r="HT13" s="32">
        <v>104322.06</v>
      </c>
      <c r="HU13" s="32">
        <v>236476.96</v>
      </c>
      <c r="HV13" s="32">
        <v>179086.99</v>
      </c>
      <c r="HW13" s="32">
        <v>207466.72</v>
      </c>
      <c r="HX13" s="32">
        <v>110812.96</v>
      </c>
      <c r="HY13" s="32">
        <v>180700.3</v>
      </c>
      <c r="HZ13" s="32">
        <v>195986.47</v>
      </c>
      <c r="IA13" s="32">
        <v>247063.09</v>
      </c>
      <c r="IB13" s="32">
        <v>308807.49</v>
      </c>
      <c r="IC13" s="32">
        <v>215577.57</v>
      </c>
      <c r="ID13" s="32">
        <v>125450.63</v>
      </c>
      <c r="IE13" s="32">
        <v>175502.05</v>
      </c>
      <c r="IF13" s="32">
        <v>252002.98</v>
      </c>
      <c r="IG13" s="32">
        <v>317501.37</v>
      </c>
      <c r="IH13" s="102">
        <v>128386.67</v>
      </c>
      <c r="II13" s="32"/>
      <c r="IJ13" s="32">
        <v>664205.19999999995</v>
      </c>
      <c r="IK13" s="32">
        <v>332449.74</v>
      </c>
      <c r="IL13" s="32">
        <v>575419.02</v>
      </c>
      <c r="IM13" s="32">
        <v>191636.49</v>
      </c>
      <c r="IN13" s="32">
        <v>157592.09</v>
      </c>
      <c r="IO13" s="32">
        <v>171462.2</v>
      </c>
      <c r="IP13" s="32">
        <v>302094.51</v>
      </c>
      <c r="IQ13" s="32">
        <v>175207.42</v>
      </c>
      <c r="IR13" s="32">
        <v>189458.89</v>
      </c>
      <c r="IS13" s="32">
        <v>669427.30000000005</v>
      </c>
      <c r="IT13" s="32">
        <v>203669.03</v>
      </c>
      <c r="IU13" s="32">
        <f t="shared" si="4"/>
        <v>77888817.649999946</v>
      </c>
    </row>
    <row r="14" spans="1:256" ht="14.1" customHeight="1">
      <c r="A14" s="4" t="s">
        <v>4</v>
      </c>
      <c r="B14" s="10"/>
      <c r="C14" s="155">
        <v>17607978.460000001</v>
      </c>
      <c r="D14" s="4">
        <v>55857404.630000003</v>
      </c>
      <c r="E14" s="4"/>
      <c r="F14" s="4">
        <v>34488917.549999997</v>
      </c>
      <c r="G14" s="4">
        <v>55923903.090000004</v>
      </c>
      <c r="H14" s="4">
        <v>26905694.539999999</v>
      </c>
      <c r="I14" s="4">
        <v>21635072.039999999</v>
      </c>
      <c r="J14" s="4">
        <v>168439.97</v>
      </c>
      <c r="K14" s="4">
        <v>2617724.7200000002</v>
      </c>
      <c r="L14" s="4">
        <v>52439966.210000001</v>
      </c>
      <c r="M14" s="4">
        <v>547084.71</v>
      </c>
      <c r="N14" s="4">
        <v>8686548.0800000001</v>
      </c>
      <c r="O14" s="4">
        <v>173078.17</v>
      </c>
      <c r="P14" s="4">
        <f>5944863.54+59681.19</f>
        <v>6004544.7300000004</v>
      </c>
      <c r="Q14" s="4">
        <v>557362.69999999995</v>
      </c>
      <c r="R14" s="4">
        <v>1443969.74</v>
      </c>
      <c r="S14" s="4">
        <v>1026846.49</v>
      </c>
      <c r="T14" s="4">
        <v>133070.31</v>
      </c>
      <c r="U14" s="4">
        <v>543065.47</v>
      </c>
      <c r="V14" s="4">
        <v>1967628.3</v>
      </c>
      <c r="W14" s="4">
        <v>1053491.6200000001</v>
      </c>
      <c r="X14" s="4">
        <v>940026.9</v>
      </c>
      <c r="Y14" s="4">
        <v>969463.53</v>
      </c>
      <c r="Z14" s="4">
        <v>904755.72</v>
      </c>
      <c r="AA14" s="4">
        <v>465529.38</v>
      </c>
      <c r="AB14" s="4">
        <v>657791.97</v>
      </c>
      <c r="AC14" s="4">
        <v>1606437.18</v>
      </c>
      <c r="AD14" s="4">
        <v>111132.39</v>
      </c>
      <c r="AE14" s="4">
        <v>291676.18</v>
      </c>
      <c r="AF14" s="4">
        <v>97098.35</v>
      </c>
      <c r="AG14" s="4">
        <v>881364.45</v>
      </c>
      <c r="AH14" s="4">
        <v>345428.04</v>
      </c>
      <c r="AI14" s="4">
        <v>469686.26</v>
      </c>
      <c r="AJ14" s="4">
        <v>297399.61</v>
      </c>
      <c r="AK14" s="4">
        <v>162194.54999999999</v>
      </c>
      <c r="AL14" s="4">
        <v>727995.57</v>
      </c>
      <c r="AM14" s="4">
        <v>123061.63</v>
      </c>
      <c r="AN14" s="4">
        <v>596419.69999999995</v>
      </c>
      <c r="AO14" s="4">
        <v>754420.33</v>
      </c>
      <c r="AP14" s="4">
        <v>275699.90000000002</v>
      </c>
      <c r="AQ14" s="4">
        <v>346598.72</v>
      </c>
      <c r="AR14" s="4">
        <v>232181.26</v>
      </c>
      <c r="AS14" s="4">
        <v>835982.04</v>
      </c>
      <c r="AT14" s="4">
        <v>947620.72</v>
      </c>
      <c r="AU14" s="4">
        <v>511228.15</v>
      </c>
      <c r="AV14" s="4">
        <v>585426.66</v>
      </c>
      <c r="AW14" s="4">
        <v>1330204.42</v>
      </c>
      <c r="AX14" s="4">
        <v>366156.42</v>
      </c>
      <c r="AY14" s="4">
        <v>240340.82</v>
      </c>
      <c r="AZ14" s="4">
        <v>76498.570000000007</v>
      </c>
      <c r="BA14" s="4">
        <v>192559.56</v>
      </c>
      <c r="BB14" s="4">
        <v>384861.47</v>
      </c>
      <c r="BC14" s="4">
        <v>328984.03000000003</v>
      </c>
      <c r="BD14" s="4">
        <v>289534.09999999998</v>
      </c>
      <c r="BE14" s="4">
        <v>144793.57</v>
      </c>
      <c r="BF14" s="4"/>
      <c r="BG14" s="4"/>
      <c r="BH14" s="4">
        <v>120722.7</v>
      </c>
      <c r="BI14" s="4">
        <v>1043365.23</v>
      </c>
      <c r="BJ14" s="4">
        <v>1199666.72</v>
      </c>
      <c r="BK14" s="4">
        <v>293867.21999999997</v>
      </c>
      <c r="BL14" s="4">
        <v>771451.76</v>
      </c>
      <c r="BM14" s="4">
        <v>98729.08</v>
      </c>
      <c r="BN14" s="4">
        <v>222868.32</v>
      </c>
      <c r="BO14" s="4">
        <v>268242.64</v>
      </c>
      <c r="BP14" s="4">
        <v>356672.37</v>
      </c>
      <c r="BQ14" s="4">
        <v>535403.81999999995</v>
      </c>
      <c r="BR14" s="4"/>
      <c r="BS14" s="4">
        <v>588910.47</v>
      </c>
      <c r="BT14" s="4">
        <v>297278.08000000002</v>
      </c>
      <c r="BU14" s="4">
        <v>339636.64</v>
      </c>
      <c r="BV14" s="4"/>
      <c r="BW14" s="4">
        <v>304862.39</v>
      </c>
      <c r="BX14" s="4">
        <v>332762.56</v>
      </c>
      <c r="BY14" s="4">
        <v>159369.82999999999</v>
      </c>
      <c r="BZ14" s="4">
        <v>246517.55</v>
      </c>
      <c r="CA14" s="4"/>
      <c r="CB14" s="4">
        <v>47226.33</v>
      </c>
      <c r="CC14" s="4">
        <v>300548.34000000003</v>
      </c>
      <c r="CD14" s="4">
        <v>115472.99</v>
      </c>
      <c r="CE14" s="4">
        <v>205401.34</v>
      </c>
      <c r="CF14" s="4">
        <v>338101.27</v>
      </c>
      <c r="CG14" s="4"/>
      <c r="CH14" s="4"/>
      <c r="CI14" s="4">
        <f>262860.98+377467.14+5114.33</f>
        <v>645442.44999999995</v>
      </c>
      <c r="CJ14" s="4"/>
      <c r="CK14" s="4">
        <v>239186.02</v>
      </c>
      <c r="CL14" s="4">
        <v>438185.35</v>
      </c>
      <c r="CM14" s="4">
        <v>353110.73</v>
      </c>
      <c r="CN14" s="4">
        <v>292759.37</v>
      </c>
      <c r="CO14" s="4">
        <v>313527.15999999997</v>
      </c>
      <c r="CP14" s="4">
        <v>48636</v>
      </c>
      <c r="CQ14" s="4">
        <v>526951.05000000005</v>
      </c>
      <c r="CR14" s="4">
        <v>216128.23</v>
      </c>
      <c r="CS14" s="4"/>
      <c r="CT14" s="4"/>
      <c r="CU14" s="4">
        <v>16159.93</v>
      </c>
      <c r="CV14" s="4">
        <v>102534.85</v>
      </c>
      <c r="CW14" s="4"/>
      <c r="CX14" s="4"/>
      <c r="CY14" s="4">
        <v>21139.09</v>
      </c>
      <c r="CZ14" s="4">
        <v>589229.81000000006</v>
      </c>
      <c r="DA14" s="4"/>
      <c r="DB14" s="4"/>
      <c r="DC14" s="4">
        <v>197524.02</v>
      </c>
      <c r="DD14" s="4">
        <v>172469.35</v>
      </c>
      <c r="DE14" s="87">
        <v>572500.03</v>
      </c>
      <c r="DF14" s="4">
        <v>656539.38</v>
      </c>
      <c r="DG14" s="4">
        <v>414037.78</v>
      </c>
      <c r="DH14" s="4">
        <v>454255.81</v>
      </c>
      <c r="DI14" s="4">
        <v>127468.3</v>
      </c>
      <c r="DJ14" s="4">
        <v>65196.55</v>
      </c>
      <c r="DK14" s="4">
        <v>826801.7</v>
      </c>
      <c r="DL14" s="4"/>
      <c r="DM14" s="4"/>
      <c r="DN14" s="4"/>
      <c r="DO14" s="4"/>
      <c r="DP14" s="4">
        <v>255773.78</v>
      </c>
      <c r="DQ14" s="4">
        <v>43115.39</v>
      </c>
      <c r="DR14" s="87">
        <v>147506.76999999999</v>
      </c>
      <c r="DS14" s="4">
        <v>475441.41</v>
      </c>
      <c r="DT14" s="4">
        <v>53115.66</v>
      </c>
      <c r="DU14" s="4">
        <v>40606.54</v>
      </c>
      <c r="DV14" s="4">
        <f>362588.78+46683.57</f>
        <v>409272.35000000003</v>
      </c>
      <c r="DW14" s="4"/>
      <c r="DX14" s="4"/>
      <c r="DY14" s="4"/>
      <c r="DZ14" s="4">
        <v>1946.62</v>
      </c>
      <c r="EA14" s="4"/>
      <c r="EB14" s="4">
        <v>1588.41</v>
      </c>
      <c r="EC14" s="4"/>
      <c r="ED14" s="4"/>
      <c r="EE14" s="4"/>
      <c r="EF14" s="4"/>
      <c r="EG14" s="32"/>
      <c r="EH14" s="4"/>
      <c r="EI14" s="4"/>
      <c r="EJ14" s="4"/>
      <c r="EK14" s="7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7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02"/>
      <c r="GA14" s="4"/>
      <c r="GB14" s="4"/>
      <c r="GC14" s="4"/>
      <c r="GD14" s="4"/>
      <c r="GE14" s="4"/>
      <c r="GF14" s="4"/>
      <c r="GG14" s="4"/>
      <c r="GH14" s="4"/>
      <c r="GI14" s="4">
        <v>279.62</v>
      </c>
      <c r="GJ14" s="4"/>
      <c r="GK14" s="4">
        <v>159316.82</v>
      </c>
      <c r="GL14" s="4">
        <v>149025.51999999999</v>
      </c>
      <c r="GM14" s="4">
        <v>176231.31</v>
      </c>
      <c r="GN14" s="4"/>
      <c r="GO14" s="4">
        <v>169471.32</v>
      </c>
      <c r="GP14" s="4">
        <v>211362.19</v>
      </c>
      <c r="GQ14" s="4">
        <v>1027969.74</v>
      </c>
      <c r="GR14" s="4">
        <v>748499.84</v>
      </c>
      <c r="GS14" s="4">
        <v>717639.06</v>
      </c>
      <c r="GT14" s="4">
        <v>2114386.83</v>
      </c>
      <c r="GU14" s="102">
        <v>1104735.52</v>
      </c>
      <c r="GV14" s="4">
        <v>1043590.53</v>
      </c>
      <c r="GW14" s="4">
        <v>1784892.93</v>
      </c>
      <c r="GX14" s="4">
        <v>1209534.42</v>
      </c>
      <c r="GY14" s="4">
        <v>1609133.52</v>
      </c>
      <c r="GZ14" s="4">
        <v>1132625.1399999999</v>
      </c>
      <c r="HA14" s="4">
        <v>151748.19</v>
      </c>
      <c r="HB14" s="4">
        <v>1710215.61</v>
      </c>
      <c r="HC14" s="4">
        <v>314020.03000000003</v>
      </c>
      <c r="HD14" s="4">
        <v>184457.27</v>
      </c>
      <c r="HE14" s="4"/>
      <c r="HF14" s="4">
        <v>4763172.8600000003</v>
      </c>
      <c r="HG14" s="4">
        <v>1703532.42</v>
      </c>
      <c r="HH14" s="4">
        <v>3029103.6</v>
      </c>
      <c r="HI14" s="4">
        <v>2456622.46</v>
      </c>
      <c r="HJ14" s="4">
        <v>1073178.3899999999</v>
      </c>
      <c r="HK14" s="4">
        <v>2850506.95</v>
      </c>
      <c r="HL14" s="4">
        <v>1458187.03</v>
      </c>
      <c r="HM14" s="4">
        <v>1773204.52</v>
      </c>
      <c r="HN14" s="130">
        <v>3610385.31</v>
      </c>
      <c r="HO14" s="74">
        <v>2717187.93</v>
      </c>
      <c r="HP14" s="4">
        <v>3314417.46</v>
      </c>
      <c r="HQ14" s="4">
        <v>1207745.69</v>
      </c>
      <c r="HR14" s="4">
        <v>1024372.84</v>
      </c>
      <c r="HS14" s="4">
        <v>375163.92</v>
      </c>
      <c r="HT14" s="4">
        <v>6457144.21</v>
      </c>
      <c r="HU14" s="4">
        <v>9235354.8200000003</v>
      </c>
      <c r="HV14" s="4">
        <v>9685998.1999999993</v>
      </c>
      <c r="HW14" s="4">
        <v>3811120.43</v>
      </c>
      <c r="HX14" s="4"/>
      <c r="HY14" s="4">
        <v>15968918.35</v>
      </c>
      <c r="HZ14" s="4">
        <v>7519497.96</v>
      </c>
      <c r="IA14" s="4">
        <v>18979456.870000001</v>
      </c>
      <c r="IB14" s="4"/>
      <c r="IC14" s="4">
        <v>31709063.559999999</v>
      </c>
      <c r="ID14" s="4">
        <v>663386.9</v>
      </c>
      <c r="IE14" s="4">
        <v>10164501.6</v>
      </c>
      <c r="IF14" s="4">
        <v>16913770.550000001</v>
      </c>
      <c r="IG14" s="4">
        <v>12406444.4</v>
      </c>
      <c r="IH14" s="102">
        <v>52331990.539999999</v>
      </c>
      <c r="II14" s="4">
        <v>21309890.300000001</v>
      </c>
      <c r="IJ14" s="4">
        <v>18680078.550000001</v>
      </c>
      <c r="IK14" s="4">
        <v>9475477.7799999993</v>
      </c>
      <c r="IL14" s="4">
        <v>5004925.26</v>
      </c>
      <c r="IM14" s="4">
        <v>7082612.9400000004</v>
      </c>
      <c r="IN14" s="4">
        <v>7698336.5700000003</v>
      </c>
      <c r="IO14" s="4">
        <v>4185232.29</v>
      </c>
      <c r="IP14" s="4">
        <v>10283620.25</v>
      </c>
      <c r="IQ14" s="4">
        <v>23386707.149999999</v>
      </c>
      <c r="IR14" s="4">
        <v>22888613.920000002</v>
      </c>
      <c r="IS14" s="4"/>
      <c r="IT14" s="4">
        <v>18254836.280000001</v>
      </c>
      <c r="IU14" s="4">
        <f t="shared" si="4"/>
        <v>697742489.22999978</v>
      </c>
    </row>
    <row r="15" spans="1:256" ht="14.1" customHeight="1" thickBot="1">
      <c r="A15" s="4" t="s">
        <v>53</v>
      </c>
      <c r="B15" s="10"/>
      <c r="C15" s="155">
        <v>9648.42</v>
      </c>
      <c r="D15" s="4">
        <v>866.42</v>
      </c>
      <c r="E15" s="4"/>
      <c r="F15" s="4">
        <v>962.64</v>
      </c>
      <c r="G15" s="4">
        <v>2750.48</v>
      </c>
      <c r="H15" s="4">
        <v>29.67</v>
      </c>
      <c r="I15" s="4">
        <v>1143.8</v>
      </c>
      <c r="J15" s="4">
        <v>227.39</v>
      </c>
      <c r="K15" s="4">
        <v>325.72000000000003</v>
      </c>
      <c r="L15" s="4">
        <v>4147.05</v>
      </c>
      <c r="M15" s="4">
        <v>4250.3100000000004</v>
      </c>
      <c r="N15" s="4">
        <v>883.57</v>
      </c>
      <c r="O15" s="4">
        <v>297.19</v>
      </c>
      <c r="P15" s="4">
        <v>2068.4499999999998</v>
      </c>
      <c r="Q15" s="4">
        <v>3859.25</v>
      </c>
      <c r="R15" s="4">
        <v>281.89</v>
      </c>
      <c r="S15" s="4">
        <v>941.07</v>
      </c>
      <c r="T15" s="4">
        <v>36378.03</v>
      </c>
      <c r="U15" s="4">
        <v>2361.64</v>
      </c>
      <c r="V15" s="4"/>
      <c r="W15" s="4">
        <v>307.25</v>
      </c>
      <c r="X15" s="4"/>
      <c r="Y15" s="4">
        <v>481.65</v>
      </c>
      <c r="Z15" s="4">
        <v>963.04</v>
      </c>
      <c r="AA15" s="4">
        <v>243.8</v>
      </c>
      <c r="AB15" s="4">
        <v>901.09</v>
      </c>
      <c r="AC15" s="4">
        <v>3764.83</v>
      </c>
      <c r="AD15" s="4">
        <v>446.89</v>
      </c>
      <c r="AE15" s="4">
        <v>856.54</v>
      </c>
      <c r="AF15" s="4">
        <v>2196.4699999999998</v>
      </c>
      <c r="AG15" s="4">
        <v>1460.75</v>
      </c>
      <c r="AH15" s="4">
        <v>4013.96</v>
      </c>
      <c r="AI15" s="4"/>
      <c r="AJ15" s="4">
        <v>2612.4</v>
      </c>
      <c r="AK15" s="4">
        <v>5021.63</v>
      </c>
      <c r="AL15" s="4">
        <v>1225</v>
      </c>
      <c r="AM15" s="4"/>
      <c r="AN15" s="4"/>
      <c r="AO15" s="4">
        <v>2446.5300000000002</v>
      </c>
      <c r="AP15" s="4">
        <v>262.64</v>
      </c>
      <c r="AQ15" s="4">
        <v>5370.42</v>
      </c>
      <c r="AR15" s="4"/>
      <c r="AS15" s="4">
        <v>59.68</v>
      </c>
      <c r="AT15" s="4">
        <v>506.76</v>
      </c>
      <c r="AU15" s="4">
        <v>675.31</v>
      </c>
      <c r="AV15" s="4"/>
      <c r="AW15" s="4">
        <v>958.37</v>
      </c>
      <c r="AX15" s="4">
        <v>31.46</v>
      </c>
      <c r="AY15" s="4"/>
      <c r="AZ15" s="4">
        <v>160.93</v>
      </c>
      <c r="BA15" s="4">
        <v>421.14</v>
      </c>
      <c r="BB15" s="4">
        <v>1937.28</v>
      </c>
      <c r="BC15" s="4">
        <v>55.96</v>
      </c>
      <c r="BD15" s="4">
        <v>1378.63</v>
      </c>
      <c r="BE15" s="4"/>
      <c r="BF15" s="4"/>
      <c r="BG15" s="4"/>
      <c r="BH15" s="4">
        <v>4809.6499999999996</v>
      </c>
      <c r="BI15" s="4">
        <v>6659.53</v>
      </c>
      <c r="BJ15" s="4">
        <v>523.74</v>
      </c>
      <c r="BK15" s="4">
        <v>1200.6600000000001</v>
      </c>
      <c r="BL15" s="4">
        <v>4433.09</v>
      </c>
      <c r="BM15" s="4">
        <v>667.22</v>
      </c>
      <c r="BN15" s="4"/>
      <c r="BO15" s="4"/>
      <c r="BP15" s="4">
        <v>3508.55</v>
      </c>
      <c r="BQ15" s="4">
        <v>2752.56</v>
      </c>
      <c r="BR15" s="4">
        <v>408.19</v>
      </c>
      <c r="BS15" s="4">
        <v>533.85</v>
      </c>
      <c r="BT15" s="4">
        <v>28127.45</v>
      </c>
      <c r="BU15" s="4">
        <v>165.88</v>
      </c>
      <c r="BV15" s="4">
        <v>56.82</v>
      </c>
      <c r="BW15" s="4">
        <v>360.78</v>
      </c>
      <c r="BX15" s="4">
        <v>444.24</v>
      </c>
      <c r="BY15" s="4">
        <v>58.1</v>
      </c>
      <c r="BZ15" s="4"/>
      <c r="CA15" s="4">
        <v>73.180000000000007</v>
      </c>
      <c r="CB15" s="4">
        <v>905.28</v>
      </c>
      <c r="CC15" s="4">
        <v>29.5</v>
      </c>
      <c r="CD15" s="4">
        <v>629.09</v>
      </c>
      <c r="CE15" s="4">
        <v>581.64</v>
      </c>
      <c r="CF15" s="4">
        <v>5031.74</v>
      </c>
      <c r="CG15" s="4"/>
      <c r="CH15" s="4"/>
      <c r="CI15" s="4">
        <f>773.17+3177.68</f>
        <v>3950.85</v>
      </c>
      <c r="CJ15" s="4">
        <v>1367.97</v>
      </c>
      <c r="CK15" s="4">
        <v>4128.09</v>
      </c>
      <c r="CL15" s="4"/>
      <c r="CM15" s="4">
        <v>2263.09</v>
      </c>
      <c r="CN15" s="4">
        <v>231.28</v>
      </c>
      <c r="CO15" s="4">
        <v>672.78</v>
      </c>
      <c r="CP15" s="4">
        <v>677.24</v>
      </c>
      <c r="CQ15" s="4">
        <v>798.41</v>
      </c>
      <c r="CR15" s="4">
        <v>407.35</v>
      </c>
      <c r="CS15" s="4"/>
      <c r="CT15" s="4"/>
      <c r="CU15" s="4">
        <v>1579.96</v>
      </c>
      <c r="CV15" s="4">
        <v>489.64</v>
      </c>
      <c r="CW15" s="4">
        <v>2656.24</v>
      </c>
      <c r="CX15" s="4"/>
      <c r="CY15" s="4">
        <v>1870.95</v>
      </c>
      <c r="CZ15" s="4">
        <v>1879.65</v>
      </c>
      <c r="DA15" s="4"/>
      <c r="DB15" s="4">
        <v>326.38</v>
      </c>
      <c r="DC15" s="4"/>
      <c r="DD15" s="4"/>
      <c r="DE15" s="87">
        <v>591.23</v>
      </c>
      <c r="DF15" s="4">
        <v>160.83000000000001</v>
      </c>
      <c r="DG15" s="4">
        <v>26.79</v>
      </c>
      <c r="DH15" s="4">
        <v>94.73</v>
      </c>
      <c r="DI15" s="4">
        <v>2003.08</v>
      </c>
      <c r="DJ15" s="4">
        <v>28.54</v>
      </c>
      <c r="DK15" s="4">
        <v>2059.3200000000002</v>
      </c>
      <c r="DL15" s="4"/>
      <c r="DM15" s="4"/>
      <c r="DN15" s="4"/>
      <c r="DO15" s="4"/>
      <c r="DP15" s="4">
        <v>65.739999999999995</v>
      </c>
      <c r="DQ15" s="4">
        <v>328.64</v>
      </c>
      <c r="DR15" s="87">
        <v>521.88</v>
      </c>
      <c r="DS15" s="4">
        <v>248.59</v>
      </c>
      <c r="DT15" s="4">
        <v>329.76</v>
      </c>
      <c r="DU15" s="4"/>
      <c r="DV15" s="4">
        <v>4146.99</v>
      </c>
      <c r="DW15" s="4">
        <v>3396.76</v>
      </c>
      <c r="DX15" s="4"/>
      <c r="DY15" s="4">
        <v>2205.4</v>
      </c>
      <c r="DZ15" s="4">
        <v>541.24</v>
      </c>
      <c r="EA15" s="4"/>
      <c r="EB15" s="4">
        <v>176.19</v>
      </c>
      <c r="EC15" s="4"/>
      <c r="ED15" s="4"/>
      <c r="EE15" s="4"/>
      <c r="EF15" s="4">
        <v>1154.32</v>
      </c>
      <c r="EG15" s="32">
        <v>3197.94</v>
      </c>
      <c r="EH15" s="4">
        <v>161.4</v>
      </c>
      <c r="EI15" s="4"/>
      <c r="EJ15" s="4">
        <v>7478.02</v>
      </c>
      <c r="EK15" s="74"/>
      <c r="EL15" s="4">
        <v>558.83000000000004</v>
      </c>
      <c r="EM15" s="4"/>
      <c r="EN15" s="4">
        <v>1003.67</v>
      </c>
      <c r="EO15" s="4">
        <v>4273.1899999999996</v>
      </c>
      <c r="EP15" s="4">
        <v>4485.6099999999997</v>
      </c>
      <c r="EQ15" s="4">
        <v>3873.87</v>
      </c>
      <c r="ER15" s="4"/>
      <c r="ES15" s="4">
        <v>534.96</v>
      </c>
      <c r="ET15" s="4"/>
      <c r="EU15" s="4">
        <v>466.58</v>
      </c>
      <c r="EV15" s="4">
        <v>379.54</v>
      </c>
      <c r="EW15" s="4">
        <v>455.86</v>
      </c>
      <c r="EX15" s="4">
        <v>466.52</v>
      </c>
      <c r="EY15" s="4">
        <v>256.33999999999997</v>
      </c>
      <c r="EZ15" s="4">
        <v>294.10000000000002</v>
      </c>
      <c r="FA15" s="4">
        <v>851.05</v>
      </c>
      <c r="FB15" s="5">
        <v>686.05</v>
      </c>
      <c r="FC15" s="4">
        <v>316.02999999999997</v>
      </c>
      <c r="FD15" s="4">
        <v>947.56</v>
      </c>
      <c r="FE15" s="4">
        <v>3905.8</v>
      </c>
      <c r="FF15" s="4">
        <v>533.77</v>
      </c>
      <c r="FG15" s="4">
        <v>2678.54</v>
      </c>
      <c r="FH15" s="4"/>
      <c r="FI15" s="4">
        <v>901.4</v>
      </c>
      <c r="FJ15" s="4"/>
      <c r="FK15" s="4">
        <v>3559.34</v>
      </c>
      <c r="FL15" s="74">
        <v>96.43</v>
      </c>
      <c r="FM15" s="5">
        <v>125.31</v>
      </c>
      <c r="FN15" s="4">
        <v>80.510000000000005</v>
      </c>
      <c r="FO15" s="4">
        <v>1104.3900000000001</v>
      </c>
      <c r="FP15" s="4">
        <v>490.19</v>
      </c>
      <c r="FQ15" s="4">
        <v>107.45</v>
      </c>
      <c r="FR15" s="4">
        <v>2159.6</v>
      </c>
      <c r="FS15" s="4">
        <v>25000.83</v>
      </c>
      <c r="FT15" s="4">
        <v>44.51</v>
      </c>
      <c r="FU15" s="4">
        <v>542.35</v>
      </c>
      <c r="FV15" s="4">
        <v>1979.08</v>
      </c>
      <c r="FW15" s="4">
        <v>10806.48</v>
      </c>
      <c r="FX15" s="4">
        <v>12358.38</v>
      </c>
      <c r="FY15" s="4">
        <v>595.63</v>
      </c>
      <c r="FZ15" s="102"/>
      <c r="GA15" s="4"/>
      <c r="GB15" s="4">
        <v>78.459999999999994</v>
      </c>
      <c r="GC15" s="4"/>
      <c r="GD15" s="4">
        <v>4622.53</v>
      </c>
      <c r="GE15" s="4">
        <v>448.12</v>
      </c>
      <c r="GF15" s="4">
        <v>2931.66</v>
      </c>
      <c r="GG15" s="4">
        <v>118.34</v>
      </c>
      <c r="GH15" s="5">
        <v>48.75</v>
      </c>
      <c r="GI15" s="4"/>
      <c r="GJ15" s="4"/>
      <c r="GK15" s="4">
        <v>2077.13</v>
      </c>
      <c r="GL15" s="4">
        <v>179.42</v>
      </c>
      <c r="GM15" s="4">
        <v>239.54</v>
      </c>
      <c r="GN15" s="4">
        <f>251318.31+2884.41</f>
        <v>254202.72</v>
      </c>
      <c r="GO15" s="4">
        <v>1218.8900000000001</v>
      </c>
      <c r="GP15" s="4">
        <v>35.74</v>
      </c>
      <c r="GQ15" s="4">
        <v>317.95999999999998</v>
      </c>
      <c r="GR15" s="4">
        <v>2013.43</v>
      </c>
      <c r="GS15" s="4"/>
      <c r="GT15" s="4"/>
      <c r="GU15" s="102">
        <v>402.71</v>
      </c>
      <c r="GV15" s="4">
        <v>1106.03</v>
      </c>
      <c r="GW15" s="4">
        <v>2352.65</v>
      </c>
      <c r="GX15" s="4">
        <v>65.680000000000007</v>
      </c>
      <c r="GY15" s="4">
        <v>2276.0700000000002</v>
      </c>
      <c r="GZ15" s="4">
        <v>984.9</v>
      </c>
      <c r="HA15" s="4">
        <v>155128.17000000001</v>
      </c>
      <c r="HB15" s="4"/>
      <c r="HC15" s="4">
        <v>214.42</v>
      </c>
      <c r="HD15" s="4">
        <v>1490.27</v>
      </c>
      <c r="HE15" s="4"/>
      <c r="HF15" s="4">
        <v>141.03</v>
      </c>
      <c r="HG15" s="4">
        <v>1486.19</v>
      </c>
      <c r="HH15" s="4">
        <v>439.58</v>
      </c>
      <c r="HI15" s="4">
        <v>1134.26</v>
      </c>
      <c r="HJ15" s="4">
        <v>93.84</v>
      </c>
      <c r="HK15" s="4">
        <v>159.81</v>
      </c>
      <c r="HL15" s="4">
        <v>641.86</v>
      </c>
      <c r="HM15" s="4">
        <v>317.97000000000003</v>
      </c>
      <c r="HN15" s="130">
        <v>5717.93</v>
      </c>
      <c r="HO15" s="74">
        <v>2408.71</v>
      </c>
      <c r="HP15" s="4">
        <v>3184.95</v>
      </c>
      <c r="HQ15" s="4">
        <v>1036.96</v>
      </c>
      <c r="HR15" s="4">
        <v>791.21</v>
      </c>
      <c r="HS15" s="4">
        <v>684.81</v>
      </c>
      <c r="HT15" s="4">
        <v>386.45</v>
      </c>
      <c r="HU15" s="4">
        <v>76.97</v>
      </c>
      <c r="HV15" s="4"/>
      <c r="HW15" s="4">
        <v>492.96</v>
      </c>
      <c r="HX15" s="4"/>
      <c r="HY15" s="4">
        <v>826.26</v>
      </c>
      <c r="HZ15" s="4"/>
      <c r="IA15" s="4">
        <v>7672.55</v>
      </c>
      <c r="IB15" s="4"/>
      <c r="IC15" s="4">
        <v>2051.7800000000002</v>
      </c>
      <c r="ID15" s="4">
        <v>100.1</v>
      </c>
      <c r="IE15" s="4"/>
      <c r="IF15" s="4">
        <v>479.71</v>
      </c>
      <c r="IG15" s="4">
        <v>1021.53</v>
      </c>
      <c r="IH15" s="102">
        <v>1287.01</v>
      </c>
      <c r="II15" s="4">
        <v>1556.77</v>
      </c>
      <c r="IJ15" s="4"/>
      <c r="IK15" s="4">
        <v>37.590000000000003</v>
      </c>
      <c r="IL15" s="4">
        <v>418.16</v>
      </c>
      <c r="IM15" s="4">
        <v>884.13</v>
      </c>
      <c r="IN15" s="4">
        <v>1385.26</v>
      </c>
      <c r="IO15" s="4">
        <v>3204.06</v>
      </c>
      <c r="IP15" s="4">
        <v>419.44</v>
      </c>
      <c r="IQ15" s="4">
        <v>364.7</v>
      </c>
      <c r="IR15" s="4">
        <v>428.97</v>
      </c>
      <c r="IS15" s="4"/>
      <c r="IT15" s="4">
        <v>246.82</v>
      </c>
      <c r="IU15" s="4">
        <f t="shared" si="4"/>
        <v>775766.6599999998</v>
      </c>
    </row>
    <row r="16" spans="1:256" s="209" customFormat="1" ht="14.1" customHeight="1" thickBot="1">
      <c r="A16" s="204" t="s">
        <v>82</v>
      </c>
      <c r="B16" s="205"/>
      <c r="C16" s="204"/>
      <c r="D16" s="204"/>
      <c r="E16" s="204">
        <v>5167714</v>
      </c>
      <c r="F16" s="204">
        <v>3287315.45</v>
      </c>
      <c r="G16" s="204">
        <v>10244.040000000001</v>
      </c>
      <c r="H16" s="204"/>
      <c r="I16" s="204">
        <v>755887.54</v>
      </c>
      <c r="J16" s="204">
        <v>7425.69</v>
      </c>
      <c r="K16" s="204"/>
      <c r="L16" s="204"/>
      <c r="M16" s="204"/>
      <c r="N16" s="204"/>
      <c r="O16" s="204"/>
      <c r="P16" s="204"/>
      <c r="Q16" s="204"/>
      <c r="R16" s="204">
        <v>886538.27</v>
      </c>
      <c r="S16" s="204"/>
      <c r="T16" s="204">
        <v>132</v>
      </c>
      <c r="U16" s="204">
        <v>5395776.4199999999</v>
      </c>
      <c r="V16" s="204">
        <v>2174194.6</v>
      </c>
      <c r="W16" s="204">
        <v>1920338.31</v>
      </c>
      <c r="X16" s="204"/>
      <c r="Y16" s="204">
        <v>9246298.9800000004</v>
      </c>
      <c r="Z16" s="204">
        <v>278926.53000000003</v>
      </c>
      <c r="AA16" s="204">
        <v>2758.7</v>
      </c>
      <c r="AB16" s="204">
        <v>17892.18</v>
      </c>
      <c r="AC16" s="204"/>
      <c r="AD16" s="204"/>
      <c r="AE16" s="204">
        <v>144667.54</v>
      </c>
      <c r="AF16" s="204"/>
      <c r="AG16" s="204">
        <v>444894.59</v>
      </c>
      <c r="AH16" s="204"/>
      <c r="AI16" s="204"/>
      <c r="AJ16" s="204"/>
      <c r="AK16" s="204"/>
      <c r="AL16" s="204"/>
      <c r="AM16" s="204">
        <v>566692</v>
      </c>
      <c r="AN16" s="204">
        <v>6278940</v>
      </c>
      <c r="AO16" s="204"/>
      <c r="AP16" s="204">
        <v>3030018.4</v>
      </c>
      <c r="AQ16" s="204"/>
      <c r="AR16" s="204"/>
      <c r="AS16" s="204">
        <v>51735</v>
      </c>
      <c r="AT16" s="204">
        <v>8197521.3399999999</v>
      </c>
      <c r="AU16" s="204">
        <v>2428583.9900000002</v>
      </c>
      <c r="AV16" s="204">
        <v>97298.54</v>
      </c>
      <c r="AW16" s="204"/>
      <c r="AX16" s="204">
        <v>27937.68</v>
      </c>
      <c r="AY16" s="204"/>
      <c r="AZ16" s="204">
        <v>935422.99</v>
      </c>
      <c r="BA16" s="204">
        <v>215964.43</v>
      </c>
      <c r="BB16" s="204"/>
      <c r="BC16" s="204">
        <v>381</v>
      </c>
      <c r="BD16" s="204"/>
      <c r="BE16" s="204"/>
      <c r="BF16" s="204">
        <v>55996.14</v>
      </c>
      <c r="BG16" s="204"/>
      <c r="BH16" s="204"/>
      <c r="BI16" s="204">
        <v>5157560</v>
      </c>
      <c r="BJ16" s="204">
        <v>366239.42</v>
      </c>
      <c r="BK16" s="204">
        <v>4535600</v>
      </c>
      <c r="BL16" s="204"/>
      <c r="BM16" s="204"/>
      <c r="BN16" s="204"/>
      <c r="BO16" s="204"/>
      <c r="BP16" s="204">
        <v>2125884.67</v>
      </c>
      <c r="BQ16" s="204"/>
      <c r="BR16" s="204">
        <v>161931.39000000001</v>
      </c>
      <c r="BS16" s="204"/>
      <c r="BT16" s="204"/>
      <c r="BU16" s="204">
        <v>226908</v>
      </c>
      <c r="BV16" s="204">
        <v>172946.98</v>
      </c>
      <c r="BW16" s="204"/>
      <c r="BX16" s="204"/>
      <c r="BY16" s="204"/>
      <c r="BZ16" s="204"/>
      <c r="CA16" s="204"/>
      <c r="CB16" s="204">
        <v>1350</v>
      </c>
      <c r="CC16" s="204">
        <v>94083.87</v>
      </c>
      <c r="CD16" s="204">
        <v>18</v>
      </c>
      <c r="CE16" s="204"/>
      <c r="CF16" s="204">
        <v>12039492</v>
      </c>
      <c r="CG16" s="204">
        <v>79435.67</v>
      </c>
      <c r="CH16" s="204"/>
      <c r="CI16" s="204">
        <v>1194.23</v>
      </c>
      <c r="CJ16" s="204"/>
      <c r="CK16" s="204">
        <v>225435.29</v>
      </c>
      <c r="CL16" s="204">
        <v>9949104.6400000006</v>
      </c>
      <c r="CM16" s="204">
        <v>2910953.35</v>
      </c>
      <c r="CN16" s="204"/>
      <c r="CO16" s="204"/>
      <c r="CP16" s="204">
        <v>399287.47</v>
      </c>
      <c r="CQ16" s="204"/>
      <c r="CR16" s="204">
        <v>169083.88</v>
      </c>
      <c r="CS16" s="204"/>
      <c r="CT16" s="204"/>
      <c r="CU16" s="204"/>
      <c r="CV16" s="204"/>
      <c r="CW16" s="204">
        <v>807378.69</v>
      </c>
      <c r="CX16" s="204">
        <v>112249.14</v>
      </c>
      <c r="CY16" s="204">
        <v>2734009.86</v>
      </c>
      <c r="CZ16" s="204">
        <v>338925.62</v>
      </c>
      <c r="DA16" s="204">
        <v>5059969.43</v>
      </c>
      <c r="DB16" s="204">
        <v>5835751.4900000002</v>
      </c>
      <c r="DC16" s="204">
        <v>8319635.1200000001</v>
      </c>
      <c r="DD16" s="204">
        <v>858994.46</v>
      </c>
      <c r="DE16" s="204">
        <v>326350.39</v>
      </c>
      <c r="DF16" s="204">
        <v>106373.42</v>
      </c>
      <c r="DG16" s="204">
        <v>65019.44</v>
      </c>
      <c r="DH16" s="204">
        <v>299160.96999999997</v>
      </c>
      <c r="DI16" s="204">
        <v>1883222.43</v>
      </c>
      <c r="DJ16" s="204"/>
      <c r="DK16" s="204">
        <v>155715.85</v>
      </c>
      <c r="DL16" s="204"/>
      <c r="DM16" s="204"/>
      <c r="DN16" s="204">
        <v>53982</v>
      </c>
      <c r="DO16" s="204">
        <v>192091.79</v>
      </c>
      <c r="DP16" s="204"/>
      <c r="DQ16" s="204"/>
      <c r="DR16" s="204"/>
      <c r="DS16" s="204"/>
      <c r="DT16" s="204">
        <v>138530.59</v>
      </c>
      <c r="DU16" s="204">
        <v>3072482.86</v>
      </c>
      <c r="DV16" s="204">
        <v>5093634.6900000004</v>
      </c>
      <c r="DW16" s="204">
        <v>4741674.8</v>
      </c>
      <c r="DX16" s="204">
        <v>7442973.5599999996</v>
      </c>
      <c r="DY16" s="204">
        <v>481.46</v>
      </c>
      <c r="DZ16" s="204">
        <v>3486597.38</v>
      </c>
      <c r="EA16" s="204">
        <v>322752.19</v>
      </c>
      <c r="EB16" s="204">
        <v>2614065.29</v>
      </c>
      <c r="EC16" s="204">
        <v>2291057.16</v>
      </c>
      <c r="ED16" s="204">
        <v>18241.419999999998</v>
      </c>
      <c r="EE16" s="204">
        <v>962.42</v>
      </c>
      <c r="EF16" s="204">
        <v>3360996.98</v>
      </c>
      <c r="EG16" s="204">
        <v>1805167.93</v>
      </c>
      <c r="EH16" s="204">
        <v>10278790.91</v>
      </c>
      <c r="EI16" s="204">
        <v>223045.77</v>
      </c>
      <c r="EJ16" s="204">
        <v>11911.38</v>
      </c>
      <c r="EK16" s="216"/>
      <c r="EL16" s="204">
        <v>1255880.74</v>
      </c>
      <c r="EM16" s="204">
        <v>2583615.63</v>
      </c>
      <c r="EN16" s="204">
        <v>4316412</v>
      </c>
      <c r="EO16" s="204"/>
      <c r="EP16" s="204"/>
      <c r="EQ16" s="204">
        <v>6970157.1299999999</v>
      </c>
      <c r="ER16" s="204">
        <v>113254.42</v>
      </c>
      <c r="ES16" s="206"/>
      <c r="ET16" s="204">
        <v>148372.89300000001</v>
      </c>
      <c r="EU16" s="204">
        <v>264824.8</v>
      </c>
      <c r="EV16" s="204"/>
      <c r="EW16" s="204">
        <v>55082.39</v>
      </c>
      <c r="EX16" s="204">
        <v>381547.5</v>
      </c>
      <c r="EY16" s="204"/>
      <c r="EZ16" s="204"/>
      <c r="FA16" s="207">
        <v>69900517</v>
      </c>
      <c r="FB16" s="204"/>
      <c r="FC16" s="204"/>
      <c r="FD16" s="204">
        <v>333732.56</v>
      </c>
      <c r="FE16" s="204">
        <v>65526.59</v>
      </c>
      <c r="FF16" s="204">
        <v>123615</v>
      </c>
      <c r="FG16" s="204">
        <v>9048673.2599999998</v>
      </c>
      <c r="FH16" s="204"/>
      <c r="FI16" s="204"/>
      <c r="FJ16" s="204">
        <v>6891661.25</v>
      </c>
      <c r="FK16" s="204">
        <v>9223779.5600000005</v>
      </c>
      <c r="FL16" s="216"/>
      <c r="FM16" s="208">
        <f>113633309+7149873</f>
        <v>120783182</v>
      </c>
      <c r="FN16" s="204" t="s">
        <v>49</v>
      </c>
      <c r="FO16" s="204"/>
      <c r="FP16" s="204">
        <v>23014.76</v>
      </c>
      <c r="FQ16" s="204">
        <v>101238.58</v>
      </c>
      <c r="FR16" s="204"/>
      <c r="FS16" s="204">
        <v>278510.65999999997</v>
      </c>
      <c r="FT16" s="204">
        <v>4294835.5</v>
      </c>
      <c r="FU16" s="204"/>
      <c r="FV16" s="204">
        <v>5057.67</v>
      </c>
      <c r="FW16" s="204"/>
      <c r="FX16" s="204"/>
      <c r="FY16" s="204"/>
      <c r="FZ16" s="217">
        <v>2291947.2599999998</v>
      </c>
      <c r="GA16" s="204">
        <v>371138.11</v>
      </c>
      <c r="GB16" s="204"/>
      <c r="GC16" s="204">
        <v>3034330.18</v>
      </c>
      <c r="GD16" s="204">
        <v>3456.49</v>
      </c>
      <c r="GE16" s="204"/>
      <c r="GF16" s="204">
        <v>257221.57</v>
      </c>
      <c r="GG16" s="204">
        <v>1762.74</v>
      </c>
      <c r="GH16" s="207">
        <f>89115955+270060.8+1221.23</f>
        <v>89387237.030000001</v>
      </c>
      <c r="GI16" s="204">
        <v>10257279.859999999</v>
      </c>
      <c r="GJ16" s="204"/>
      <c r="GK16" s="204">
        <v>37604.589999999997</v>
      </c>
      <c r="GL16" s="204">
        <v>891225.98</v>
      </c>
      <c r="GM16" s="204">
        <v>47.34</v>
      </c>
      <c r="GN16" s="204"/>
      <c r="GO16" s="204">
        <v>1558886.54</v>
      </c>
      <c r="GP16" s="204">
        <v>1018337.89</v>
      </c>
      <c r="GQ16" s="204">
        <v>6541178.8399999999</v>
      </c>
      <c r="GR16" s="204">
        <v>3333733.29</v>
      </c>
      <c r="GS16" s="204"/>
      <c r="GT16" s="204">
        <v>187173.73</v>
      </c>
      <c r="GU16" s="217">
        <v>113431.85</v>
      </c>
      <c r="GV16" s="204">
        <v>69307.899999999994</v>
      </c>
      <c r="GW16" s="204">
        <v>65678.929999999993</v>
      </c>
      <c r="GX16" s="204">
        <v>4580788.2699999996</v>
      </c>
      <c r="GY16" s="204">
        <v>421733.34</v>
      </c>
      <c r="GZ16" s="204"/>
      <c r="HA16" s="204"/>
      <c r="HB16" s="204">
        <v>1139463.8700000001</v>
      </c>
      <c r="HC16" s="204">
        <v>100238.72</v>
      </c>
      <c r="HD16" s="204"/>
      <c r="HE16" s="204">
        <v>7914237</v>
      </c>
      <c r="HF16" s="204">
        <v>18616.419999999998</v>
      </c>
      <c r="HG16" s="204">
        <v>2726256.51</v>
      </c>
      <c r="HH16" s="204"/>
      <c r="HI16" s="204"/>
      <c r="HJ16" s="204"/>
      <c r="HK16" s="204"/>
      <c r="HL16" s="204">
        <v>26162.09</v>
      </c>
      <c r="HM16" s="204">
        <v>5858323.25</v>
      </c>
      <c r="HN16" s="218">
        <v>110982.96</v>
      </c>
      <c r="HO16" s="216"/>
      <c r="HP16" s="204">
        <v>1055920.8899999999</v>
      </c>
      <c r="HQ16" s="204">
        <v>141145.51</v>
      </c>
      <c r="HR16" s="204">
        <v>235828.49</v>
      </c>
      <c r="HS16" s="204">
        <v>1940998.88</v>
      </c>
      <c r="HT16" s="204">
        <v>11838446.25</v>
      </c>
      <c r="HU16" s="204">
        <v>819511.83</v>
      </c>
      <c r="HV16" s="204">
        <v>8875942.0199999996</v>
      </c>
      <c r="HW16" s="204">
        <v>4863401.38</v>
      </c>
      <c r="HX16" s="204"/>
      <c r="HY16" s="204">
        <v>12063.08</v>
      </c>
      <c r="HZ16" s="204"/>
      <c r="IA16" s="204"/>
      <c r="IB16" s="204"/>
      <c r="IC16" s="204">
        <v>17104.71</v>
      </c>
      <c r="ID16" s="204"/>
      <c r="IE16" s="204">
        <v>811897.14</v>
      </c>
      <c r="IF16" s="204"/>
      <c r="IG16" s="204"/>
      <c r="IH16" s="217"/>
      <c r="II16" s="204">
        <v>63534.92</v>
      </c>
      <c r="IJ16" s="204">
        <v>1256415.77</v>
      </c>
      <c r="IK16" s="204">
        <v>57379.73</v>
      </c>
      <c r="IL16" s="204"/>
      <c r="IM16" s="204"/>
      <c r="IN16" s="204"/>
      <c r="IO16" s="204">
        <v>2513.15</v>
      </c>
      <c r="IP16" s="204">
        <v>41707.949999999997</v>
      </c>
      <c r="IQ16" s="204"/>
      <c r="IR16" s="204">
        <v>5437063</v>
      </c>
      <c r="IS16" s="204"/>
      <c r="IT16" s="204"/>
      <c r="IU16" s="204">
        <f t="shared" si="4"/>
        <v>579247351.24300003</v>
      </c>
    </row>
    <row r="17" spans="1:256" s="38" customFormat="1" ht="14.1" customHeight="1" thickBot="1">
      <c r="A17" s="32" t="s">
        <v>30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>
        <f>297+1536+539+440+780+5283.94+207.19+573.18+57.99+114.96</f>
        <v>9829.2599999999984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>
        <v>27310181.66</v>
      </c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123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5"/>
      <c r="FC17" s="32"/>
      <c r="FD17" s="32"/>
      <c r="FE17" s="32"/>
      <c r="FF17" s="32"/>
      <c r="FG17" s="32"/>
      <c r="FH17" s="32"/>
      <c r="FI17" s="32"/>
      <c r="FJ17" s="32"/>
      <c r="FK17" s="32"/>
      <c r="FL17" s="123"/>
      <c r="FM17" s="35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102"/>
      <c r="GA17" s="32"/>
      <c r="GB17" s="32"/>
      <c r="GC17" s="32"/>
      <c r="GD17" s="32">
        <f>393668.2+4350</f>
        <v>398018.2</v>
      </c>
      <c r="GE17" s="32"/>
      <c r="GF17" s="32"/>
      <c r="GG17" s="32"/>
      <c r="GH17" s="35"/>
      <c r="GI17" s="32"/>
      <c r="GJ17" s="32"/>
      <c r="GK17" s="32">
        <v>194678</v>
      </c>
      <c r="GL17" s="32"/>
      <c r="GM17" s="32"/>
      <c r="GN17" s="32"/>
      <c r="GO17" s="32"/>
      <c r="GP17" s="32"/>
      <c r="GQ17" s="32"/>
      <c r="GR17" s="32"/>
      <c r="GS17" s="32"/>
      <c r="GT17" s="32"/>
      <c r="GU17" s="102">
        <v>3375.4</v>
      </c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141"/>
      <c r="HO17" s="123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10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4" t="s">
        <v>49</v>
      </c>
      <c r="IV17" s="8"/>
    </row>
    <row r="18" spans="1:256" s="38" customFormat="1" ht="14.1" customHeight="1" thickBot="1">
      <c r="A18" s="32" t="s">
        <v>37</v>
      </c>
      <c r="B18" s="32"/>
      <c r="C18" s="32">
        <v>37367.39</v>
      </c>
      <c r="D18" s="32">
        <f>44301.06+239.3</f>
        <v>44540.36</v>
      </c>
      <c r="E18" s="32">
        <v>44877.27</v>
      </c>
      <c r="F18" s="32">
        <v>43479.33</v>
      </c>
      <c r="G18" s="32">
        <v>47051.02</v>
      </c>
      <c r="H18" s="32">
        <v>40638.43</v>
      </c>
      <c r="I18" s="32">
        <v>46672.89</v>
      </c>
      <c r="J18" s="32">
        <f>40820.65+283.38</f>
        <v>41104.03</v>
      </c>
      <c r="K18" s="32">
        <v>33063</v>
      </c>
      <c r="L18" s="32">
        <v>49995.96</v>
      </c>
      <c r="M18" s="32">
        <v>49350.84</v>
      </c>
      <c r="N18" s="32">
        <v>36131.97</v>
      </c>
      <c r="O18" s="32">
        <v>75045.429999999993</v>
      </c>
      <c r="P18" s="32">
        <v>85339.08</v>
      </c>
      <c r="Q18" s="32">
        <f>48484.48+399.6</f>
        <v>48884.08</v>
      </c>
      <c r="R18" s="32">
        <v>41697.379999999997</v>
      </c>
      <c r="S18" s="32">
        <v>44599.37</v>
      </c>
      <c r="T18" s="32">
        <v>55971.51</v>
      </c>
      <c r="U18" s="32">
        <v>52877.42</v>
      </c>
      <c r="V18" s="32">
        <v>46085.46</v>
      </c>
      <c r="W18" s="32">
        <f>100+47580.4</f>
        <v>47680.4</v>
      </c>
      <c r="X18" s="32">
        <v>38249.07</v>
      </c>
      <c r="Y18" s="32">
        <v>39701.769999999997</v>
      </c>
      <c r="Z18" s="32">
        <f>52006.8+154.05</f>
        <v>52160.850000000006</v>
      </c>
      <c r="AA18" s="32">
        <v>47988.21</v>
      </c>
      <c r="AB18" s="32">
        <v>31000.12</v>
      </c>
      <c r="AC18" s="32">
        <v>42040.68</v>
      </c>
      <c r="AD18" s="32"/>
      <c r="AE18" s="32"/>
      <c r="AF18" s="32"/>
      <c r="AG18" s="32"/>
      <c r="AH18" s="32"/>
      <c r="AI18" s="32">
        <v>35827.58</v>
      </c>
      <c r="AJ18" s="32">
        <v>50149.69</v>
      </c>
      <c r="AK18" s="32">
        <v>48830.06</v>
      </c>
      <c r="AL18" s="32">
        <v>45306.28</v>
      </c>
      <c r="AM18" s="32"/>
      <c r="AN18" s="32">
        <v>40416.78</v>
      </c>
      <c r="AO18" s="32">
        <f>46140.23+1198.5</f>
        <v>47338.73</v>
      </c>
      <c r="AP18" s="32">
        <f>44953.7+75.3</f>
        <v>45029</v>
      </c>
      <c r="AQ18" s="32">
        <v>48224.03</v>
      </c>
      <c r="AR18" s="32">
        <v>44836.09</v>
      </c>
      <c r="AS18" s="32">
        <v>39411.17</v>
      </c>
      <c r="AT18" s="32">
        <v>52337.17</v>
      </c>
      <c r="AU18" s="32">
        <v>45717.17</v>
      </c>
      <c r="AV18" s="32">
        <v>45266.58</v>
      </c>
      <c r="AW18" s="32">
        <v>44057.69</v>
      </c>
      <c r="AX18" s="32">
        <v>35879.19</v>
      </c>
      <c r="AY18" s="32">
        <v>50029.99</v>
      </c>
      <c r="AZ18" s="32">
        <v>45220.28</v>
      </c>
      <c r="BA18" s="32">
        <v>36742.879999999997</v>
      </c>
      <c r="BB18" s="32">
        <v>46754.1</v>
      </c>
      <c r="BC18" s="32">
        <v>42851.01</v>
      </c>
      <c r="BD18" s="32">
        <v>50260.959999999999</v>
      </c>
      <c r="BE18" s="32">
        <v>47314.65</v>
      </c>
      <c r="BF18" s="32">
        <v>94552.24</v>
      </c>
      <c r="BG18" s="32">
        <v>42532.7</v>
      </c>
      <c r="BH18" s="32">
        <f>39255.29+708.75</f>
        <v>39964.04</v>
      </c>
      <c r="BI18" s="32">
        <f>49261.29+171.52</f>
        <v>49432.81</v>
      </c>
      <c r="BJ18" s="32">
        <v>42759.29</v>
      </c>
      <c r="BK18" s="32">
        <v>41018.01</v>
      </c>
      <c r="BL18" s="32">
        <v>41637.769999999997</v>
      </c>
      <c r="BM18" s="32">
        <v>42144.65</v>
      </c>
      <c r="BN18" s="32">
        <v>44937.31</v>
      </c>
      <c r="BO18" s="32">
        <v>33068.6</v>
      </c>
      <c r="BP18" s="32">
        <v>30848.66</v>
      </c>
      <c r="BQ18" s="32">
        <f>30313.85+132.35</f>
        <v>30446.199999999997</v>
      </c>
      <c r="BR18" s="32">
        <v>29443.34</v>
      </c>
      <c r="BS18" s="32">
        <v>47307.22</v>
      </c>
      <c r="BT18" s="32">
        <v>44253.51</v>
      </c>
      <c r="BU18" s="32">
        <v>39928.080000000002</v>
      </c>
      <c r="BV18" s="32">
        <v>37655.050000000003</v>
      </c>
      <c r="BW18" s="32">
        <v>37080.29</v>
      </c>
      <c r="BX18" s="32">
        <f>49017.52+104.15</f>
        <v>49121.67</v>
      </c>
      <c r="BY18" s="32">
        <v>40170.629999999997</v>
      </c>
      <c r="BZ18" s="32">
        <v>42154.51</v>
      </c>
      <c r="CA18" s="32">
        <v>46782.01</v>
      </c>
      <c r="CB18" s="32">
        <f>35454.95+161.75</f>
        <v>35616.699999999997</v>
      </c>
      <c r="CC18" s="32">
        <v>60089.03</v>
      </c>
      <c r="CD18" s="32">
        <v>42102.43</v>
      </c>
      <c r="CE18" s="32">
        <v>69138.44</v>
      </c>
      <c r="CF18" s="32">
        <f>36802.42+86.3</f>
        <v>36888.720000000001</v>
      </c>
      <c r="CG18" s="32">
        <f>32026.53+438.9</f>
        <v>32465.43</v>
      </c>
      <c r="CH18" s="32">
        <f>37795.22+200.75</f>
        <v>37995.97</v>
      </c>
      <c r="CI18" s="32">
        <f>35247.41+183.39</f>
        <v>35430.800000000003</v>
      </c>
      <c r="CJ18" s="32">
        <v>28702.66</v>
      </c>
      <c r="CK18" s="32">
        <v>20099.419999999998</v>
      </c>
      <c r="CL18" s="32">
        <v>11825.17</v>
      </c>
      <c r="CM18" s="32">
        <v>25381.38</v>
      </c>
      <c r="CN18" s="32">
        <v>18971.48</v>
      </c>
      <c r="CO18" s="32">
        <v>7166.36</v>
      </c>
      <c r="CP18" s="32"/>
      <c r="CQ18" s="32"/>
      <c r="CR18" s="32">
        <v>139.25</v>
      </c>
      <c r="CS18" s="32">
        <v>3882.45</v>
      </c>
      <c r="CT18" s="32"/>
      <c r="CU18" s="32"/>
      <c r="CV18" s="32"/>
      <c r="CW18" s="32"/>
      <c r="CX18" s="32">
        <v>5174.09</v>
      </c>
      <c r="CY18" s="32"/>
      <c r="CZ18" s="32"/>
      <c r="DA18" s="32"/>
      <c r="DB18" s="32">
        <v>93.95</v>
      </c>
      <c r="DC18" s="32">
        <v>5958.01</v>
      </c>
      <c r="DD18" s="32"/>
      <c r="DE18" s="32"/>
      <c r="DF18" s="32"/>
      <c r="DG18" s="32"/>
      <c r="DH18" s="32">
        <v>4912.46</v>
      </c>
      <c r="DI18" s="32">
        <v>1607.98</v>
      </c>
      <c r="DJ18" s="32"/>
      <c r="DK18" s="32">
        <v>25.75</v>
      </c>
      <c r="DL18" s="32">
        <v>888.2</v>
      </c>
      <c r="DM18" s="32"/>
      <c r="DN18" s="32"/>
      <c r="DO18" s="32"/>
      <c r="DP18" s="32"/>
      <c r="DQ18" s="32">
        <v>526.6</v>
      </c>
      <c r="DR18" s="32"/>
      <c r="DS18" s="32"/>
      <c r="DT18" s="32"/>
      <c r="DU18" s="32"/>
      <c r="DV18" s="32">
        <v>408.35</v>
      </c>
      <c r="DW18" s="32"/>
      <c r="DX18" s="32"/>
      <c r="DY18" s="32">
        <v>3209.1</v>
      </c>
      <c r="DZ18" s="32">
        <v>6849.93</v>
      </c>
      <c r="EA18" s="32">
        <v>25</v>
      </c>
      <c r="EB18" s="32"/>
      <c r="EC18" s="32"/>
      <c r="ED18" s="32"/>
      <c r="EE18" s="32">
        <v>6.44</v>
      </c>
      <c r="EF18" s="32"/>
      <c r="EG18" s="120">
        <f>196439.86</f>
        <v>196439.86</v>
      </c>
      <c r="EH18" s="32"/>
      <c r="EI18" s="32"/>
      <c r="EJ18" s="32">
        <v>1523.2</v>
      </c>
      <c r="EK18" s="123"/>
      <c r="EL18" s="32"/>
      <c r="EM18" s="32"/>
      <c r="EN18" s="32"/>
      <c r="EO18" s="32"/>
      <c r="EP18" s="32"/>
      <c r="EQ18" s="32">
        <v>779.55</v>
      </c>
      <c r="ER18" s="32">
        <v>12376.56</v>
      </c>
      <c r="ES18" s="32">
        <v>62328.27</v>
      </c>
      <c r="ET18" s="32">
        <v>55625.279999999999</v>
      </c>
      <c r="EU18" s="32">
        <v>52394.96</v>
      </c>
      <c r="EV18" s="32">
        <v>53633.51</v>
      </c>
      <c r="EW18" s="32">
        <v>54458.49</v>
      </c>
      <c r="EX18" s="32">
        <v>56607</v>
      </c>
      <c r="EY18" s="32">
        <v>53929.55</v>
      </c>
      <c r="EZ18" s="32">
        <v>48200.62</v>
      </c>
      <c r="FA18" s="32">
        <v>43954.45</v>
      </c>
      <c r="FB18" s="32">
        <f>53462.9+672.4</f>
        <v>54135.3</v>
      </c>
      <c r="FC18" s="32">
        <f>48675.73+137.8</f>
        <v>48813.530000000006</v>
      </c>
      <c r="FD18" s="32">
        <v>48618.47</v>
      </c>
      <c r="FE18" s="32">
        <v>40294.720000000001</v>
      </c>
      <c r="FF18" s="32">
        <f>41811.3+352.65</f>
        <v>42163.950000000004</v>
      </c>
      <c r="FG18" s="32">
        <v>52382.71</v>
      </c>
      <c r="FH18" s="32">
        <v>52987.29</v>
      </c>
      <c r="FI18" s="32">
        <v>45918.51</v>
      </c>
      <c r="FJ18" s="32">
        <v>41395.51</v>
      </c>
      <c r="FK18" s="32">
        <v>30772.13</v>
      </c>
      <c r="FL18" s="123">
        <v>54058.45</v>
      </c>
      <c r="FM18" s="32">
        <v>26031.82</v>
      </c>
      <c r="FN18" s="32">
        <v>60660.41</v>
      </c>
      <c r="FO18" s="32">
        <v>814.15</v>
      </c>
      <c r="FP18" s="32">
        <v>60751.59</v>
      </c>
      <c r="FQ18" s="32">
        <v>46451.1</v>
      </c>
      <c r="FR18" s="32">
        <v>42763.95</v>
      </c>
      <c r="FS18" s="32">
        <v>43934.36</v>
      </c>
      <c r="FT18" s="32">
        <v>18920.14</v>
      </c>
      <c r="FU18" s="32">
        <v>44124.7</v>
      </c>
      <c r="FV18" s="32">
        <v>47136.94</v>
      </c>
      <c r="FW18" s="32">
        <v>47455.39</v>
      </c>
      <c r="FX18" s="32">
        <v>42532.06</v>
      </c>
      <c r="FY18" s="32">
        <v>62858.61</v>
      </c>
      <c r="FZ18" s="102">
        <v>52263.6</v>
      </c>
      <c r="GA18" s="32">
        <f>47266.37+135.85</f>
        <v>47402.22</v>
      </c>
      <c r="GB18" s="32">
        <f>46659.51+657.4</f>
        <v>47316.91</v>
      </c>
      <c r="GC18" s="32">
        <v>47578.86</v>
      </c>
      <c r="GD18" s="32">
        <v>35749.94</v>
      </c>
      <c r="GE18" s="32">
        <v>48529.87</v>
      </c>
      <c r="GF18" s="32">
        <v>49032.72</v>
      </c>
      <c r="GG18" s="32">
        <v>42940.45</v>
      </c>
      <c r="GH18" s="32">
        <v>43936.41</v>
      </c>
      <c r="GI18" s="32">
        <v>39626.699999999997</v>
      </c>
      <c r="GJ18" s="32">
        <v>49190.73</v>
      </c>
      <c r="GK18" s="32">
        <v>44184.56</v>
      </c>
      <c r="GL18" s="32">
        <v>73653.81</v>
      </c>
      <c r="GM18" s="32">
        <v>39239.629999999997</v>
      </c>
      <c r="GN18" s="32">
        <v>40119.129999999997</v>
      </c>
      <c r="GO18" s="32">
        <v>48232.7</v>
      </c>
      <c r="GP18" s="32">
        <v>46718</v>
      </c>
      <c r="GQ18" s="32">
        <f>43306.5+237.2</f>
        <v>43543.7</v>
      </c>
      <c r="GR18" s="32">
        <v>44651.02</v>
      </c>
      <c r="GS18" s="32">
        <v>90250.45</v>
      </c>
      <c r="GT18" s="32">
        <v>47492.37</v>
      </c>
      <c r="GU18" s="102">
        <v>40296.32</v>
      </c>
      <c r="GV18" s="32">
        <v>48190.03</v>
      </c>
      <c r="GW18" s="32">
        <v>43095.86</v>
      </c>
      <c r="GX18" s="32">
        <v>48104.31</v>
      </c>
      <c r="GY18" s="32">
        <v>47694.29</v>
      </c>
      <c r="GZ18" s="32">
        <v>42064.46</v>
      </c>
      <c r="HA18" s="32">
        <f>37729.43+6</f>
        <v>37735.43</v>
      </c>
      <c r="HB18" s="32">
        <v>26977.62</v>
      </c>
      <c r="HC18" s="32">
        <v>209</v>
      </c>
      <c r="HD18" s="32"/>
      <c r="HE18" s="32">
        <v>489</v>
      </c>
      <c r="HF18" s="32">
        <v>37082.92</v>
      </c>
      <c r="HG18" s="32">
        <v>48266.29</v>
      </c>
      <c r="HH18" s="32">
        <v>47106.23</v>
      </c>
      <c r="HI18" s="32">
        <v>41414.519999999997</v>
      </c>
      <c r="HJ18" s="32">
        <v>42209.599999999999</v>
      </c>
      <c r="HK18" s="32">
        <f>37830.49+349.25</f>
        <v>38179.74</v>
      </c>
      <c r="HL18" s="32">
        <v>45933.8</v>
      </c>
      <c r="HM18" s="32">
        <f>42417.31+390.6</f>
        <v>42807.909999999996</v>
      </c>
      <c r="HN18" s="141">
        <v>38850.61</v>
      </c>
      <c r="HO18" s="123">
        <v>35763.17</v>
      </c>
      <c r="HP18" s="32">
        <v>36422.71</v>
      </c>
      <c r="HQ18" s="32">
        <v>46430.1</v>
      </c>
      <c r="HR18" s="32">
        <v>51610.79</v>
      </c>
      <c r="HS18" s="32">
        <f>37819.13+473.7</f>
        <v>38292.829999999994</v>
      </c>
      <c r="HT18" s="32">
        <f>37443.3</f>
        <v>37443.300000000003</v>
      </c>
      <c r="HU18" s="32">
        <v>1489.25</v>
      </c>
      <c r="HV18" s="32"/>
      <c r="HW18" s="32"/>
      <c r="HX18" s="32"/>
      <c r="HY18" s="32">
        <v>141.19999999999999</v>
      </c>
      <c r="HZ18" s="32">
        <v>59.75</v>
      </c>
      <c r="IA18" s="32">
        <v>200.05</v>
      </c>
      <c r="IB18" s="32">
        <v>491</v>
      </c>
      <c r="IC18" s="32">
        <v>945.2</v>
      </c>
      <c r="ID18" s="32">
        <v>25607.91</v>
      </c>
      <c r="IE18" s="32">
        <v>53296.43</v>
      </c>
      <c r="IF18" s="32">
        <v>37498.92</v>
      </c>
      <c r="IG18" s="32">
        <v>55091.839999999997</v>
      </c>
      <c r="IH18" s="102">
        <v>41550.160000000003</v>
      </c>
      <c r="II18" s="32">
        <v>43252.160000000003</v>
      </c>
      <c r="IJ18" s="32">
        <v>28048.5</v>
      </c>
      <c r="IK18" s="32"/>
      <c r="IL18" s="32">
        <v>25335.46</v>
      </c>
      <c r="IM18" s="32">
        <v>5163.3</v>
      </c>
      <c r="IN18" s="32"/>
      <c r="IO18" s="32">
        <v>41467.21</v>
      </c>
      <c r="IP18" s="32">
        <v>44132.25</v>
      </c>
      <c r="IQ18" s="32">
        <f>2849.55+681.75</f>
        <v>3531.3</v>
      </c>
      <c r="IR18" s="32">
        <v>39622.639999999999</v>
      </c>
      <c r="IS18" s="32">
        <v>1789.15</v>
      </c>
      <c r="IT18" s="32">
        <v>101461.89</v>
      </c>
      <c r="IU18" s="4">
        <f>SUM(C18:IT18)</f>
        <v>7976941.8199999994</v>
      </c>
      <c r="IV18" s="8"/>
    </row>
    <row r="19" spans="1:256" s="38" customFormat="1" ht="14.1" customHeight="1" thickBot="1">
      <c r="A19" s="32" t="s">
        <v>29</v>
      </c>
      <c r="B19" s="32"/>
      <c r="C19" s="37"/>
      <c r="D19" s="37"/>
      <c r="E19" s="37">
        <f>1772408.5+193808.33</f>
        <v>1966216.83</v>
      </c>
      <c r="F19" s="37"/>
      <c r="G19" s="37"/>
      <c r="H19" s="37"/>
      <c r="I19" s="37"/>
      <c r="J19" s="37">
        <v>541305.9</v>
      </c>
      <c r="K19" s="37"/>
      <c r="L19" s="37"/>
      <c r="M19" s="37"/>
      <c r="N19" s="37"/>
      <c r="O19" s="37">
        <v>5360567.99</v>
      </c>
      <c r="P19" s="37"/>
      <c r="Q19" s="37"/>
      <c r="R19" s="37"/>
      <c r="S19" s="37"/>
      <c r="T19" s="37"/>
      <c r="U19" s="37"/>
      <c r="V19" s="37"/>
      <c r="W19" s="37"/>
      <c r="X19" s="37">
        <v>2246976.81</v>
      </c>
      <c r="Y19" s="37"/>
      <c r="Z19" s="37"/>
      <c r="AA19" s="37"/>
      <c r="AB19" s="37"/>
      <c r="AC19" s="37">
        <v>371714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>
        <v>1356417.38</v>
      </c>
      <c r="AN19" s="37"/>
      <c r="AO19" s="37"/>
      <c r="AP19" s="37"/>
      <c r="AQ19" s="37"/>
      <c r="AR19" s="37"/>
      <c r="AS19" s="37"/>
      <c r="AT19" s="37">
        <v>3789440.5</v>
      </c>
      <c r="AU19" s="37"/>
      <c r="AV19" s="37"/>
      <c r="AW19" s="37">
        <v>2688689.52</v>
      </c>
      <c r="AX19" s="37"/>
      <c r="AY19" s="37"/>
      <c r="AZ19" s="37"/>
      <c r="BA19" s="37"/>
      <c r="BB19" s="37">
        <v>4949756.63</v>
      </c>
      <c r="BC19" s="37"/>
      <c r="BD19" s="37">
        <v>156597.13</v>
      </c>
      <c r="BE19" s="37"/>
      <c r="BF19" s="37"/>
      <c r="BG19" s="37">
        <v>3709449.16</v>
      </c>
      <c r="BH19" s="37"/>
      <c r="BI19" s="37"/>
      <c r="BJ19" s="37"/>
      <c r="BK19" s="37"/>
      <c r="BL19" s="37"/>
      <c r="BM19" s="37">
        <v>2059091.15</v>
      </c>
      <c r="BN19" s="37"/>
      <c r="BO19" s="37">
        <v>250000</v>
      </c>
      <c r="BP19" s="37"/>
      <c r="BQ19" s="37">
        <f>346491.59+557068.62</f>
        <v>903560.21</v>
      </c>
      <c r="BR19" s="37"/>
      <c r="BS19" s="37"/>
      <c r="BT19" s="37"/>
      <c r="BU19" s="37"/>
      <c r="BV19" s="37">
        <f>369155.99</f>
        <v>369155.99</v>
      </c>
      <c r="BW19" s="37"/>
      <c r="BX19" s="37"/>
      <c r="BY19" s="37"/>
      <c r="BZ19" s="37"/>
      <c r="CA19" s="37">
        <v>975192.34</v>
      </c>
      <c r="CB19" s="37"/>
      <c r="CC19" s="37"/>
      <c r="CD19" s="37"/>
      <c r="CE19" s="37"/>
      <c r="CF19" s="37">
        <v>2622539.16</v>
      </c>
      <c r="CG19" s="37"/>
      <c r="CH19" s="37"/>
      <c r="CI19" s="37"/>
      <c r="CJ19" s="37">
        <v>1983630.36</v>
      </c>
      <c r="CK19" s="37"/>
      <c r="CL19" s="37"/>
      <c r="CM19" s="37"/>
      <c r="CN19" s="37"/>
      <c r="CO19" s="37">
        <v>158212.14000000001</v>
      </c>
      <c r="CP19" s="37"/>
      <c r="CQ19" s="37"/>
      <c r="CR19" s="37"/>
      <c r="CS19" s="37"/>
      <c r="CT19" s="37">
        <v>98532.38</v>
      </c>
      <c r="CU19" s="37"/>
      <c r="CV19" s="37"/>
      <c r="CW19" s="37"/>
      <c r="CX19" s="37"/>
      <c r="CY19" s="37"/>
      <c r="CZ19" s="37">
        <v>1929231.49</v>
      </c>
      <c r="DA19" s="37"/>
      <c r="DB19" s="37"/>
      <c r="DC19" s="37"/>
      <c r="DD19" s="37">
        <v>2357159.25</v>
      </c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>
        <v>896997.15</v>
      </c>
      <c r="DS19" s="37"/>
      <c r="DT19" s="37"/>
      <c r="DU19" s="37"/>
      <c r="DV19" s="37"/>
      <c r="DW19" s="37">
        <f>263124.38+500000</f>
        <v>763124.38</v>
      </c>
      <c r="DX19" s="37"/>
      <c r="DY19" s="37"/>
      <c r="DZ19" s="37"/>
      <c r="EA19" s="37"/>
      <c r="EB19" s="37"/>
      <c r="EC19" s="37">
        <f>799438.63</f>
        <v>799438.63</v>
      </c>
      <c r="ED19" s="37"/>
      <c r="EE19" s="37"/>
      <c r="EF19" s="37"/>
      <c r="EG19" s="194">
        <v>125341750</v>
      </c>
      <c r="EH19" s="37"/>
      <c r="EI19" s="37"/>
      <c r="EJ19" s="37"/>
      <c r="EK19" s="195"/>
      <c r="EL19" s="37">
        <v>1404227.94</v>
      </c>
      <c r="EM19" s="37"/>
      <c r="EN19" s="37"/>
      <c r="EO19" s="37"/>
      <c r="EP19" s="37"/>
      <c r="EQ19" s="37"/>
      <c r="ER19" s="37"/>
      <c r="ES19" s="37">
        <v>120312.77</v>
      </c>
      <c r="ET19" s="37"/>
      <c r="EU19" s="37">
        <v>1300000</v>
      </c>
      <c r="EV19" s="37"/>
      <c r="EW19" s="37"/>
      <c r="EX19" s="37">
        <v>1196754.83</v>
      </c>
      <c r="EY19" s="37"/>
      <c r="EZ19" s="37"/>
      <c r="FA19" s="37"/>
      <c r="FB19" s="37">
        <v>1396524.06</v>
      </c>
      <c r="FC19" s="37"/>
      <c r="FD19" s="37"/>
      <c r="FE19" s="37"/>
      <c r="FF19" s="37">
        <v>1036527.92</v>
      </c>
      <c r="FG19" s="37"/>
      <c r="FH19" s="37"/>
      <c r="FI19" s="37"/>
      <c r="FJ19" s="37"/>
      <c r="FK19" s="37"/>
      <c r="FL19" s="195">
        <f>68000.26+17149063</f>
        <v>17217063.260000002</v>
      </c>
      <c r="FM19" s="37">
        <v>28579</v>
      </c>
      <c r="FN19" s="37"/>
      <c r="FO19" s="37"/>
      <c r="FP19" s="37">
        <v>261642.45</v>
      </c>
      <c r="FQ19" s="37"/>
      <c r="FR19" s="37"/>
      <c r="FS19" s="37"/>
      <c r="FT19" s="37">
        <f>6698998.8+142953.7+250000</f>
        <v>7091952.5</v>
      </c>
      <c r="FU19" s="37">
        <v>747292.93</v>
      </c>
      <c r="FV19" s="37"/>
      <c r="FW19" s="37">
        <v>52895.37</v>
      </c>
      <c r="FX19" s="37"/>
      <c r="FY19" s="37"/>
      <c r="FZ19" s="103">
        <f>308.04+6916+69081.36</f>
        <v>76305.399999999994</v>
      </c>
      <c r="GA19" s="37"/>
      <c r="GB19" s="37"/>
      <c r="GC19" s="37"/>
      <c r="GD19" s="37">
        <v>284750.18</v>
      </c>
      <c r="GE19" s="37"/>
      <c r="GF19" s="37"/>
      <c r="GG19" s="37"/>
      <c r="GH19" s="37"/>
      <c r="GI19" s="37">
        <f>154610.9+75000000</f>
        <v>75154610.900000006</v>
      </c>
      <c r="GJ19" s="37"/>
      <c r="GK19" s="37">
        <v>99607.37</v>
      </c>
      <c r="GL19" s="37">
        <f>62742.58+164.31</f>
        <v>62906.89</v>
      </c>
      <c r="GM19" s="37"/>
      <c r="GN19" s="37">
        <v>497906.83</v>
      </c>
      <c r="GO19" s="37"/>
      <c r="GP19" s="37"/>
      <c r="GQ19" s="37"/>
      <c r="GR19" s="37"/>
      <c r="GS19" s="37">
        <v>165086.37</v>
      </c>
      <c r="GT19" s="37"/>
      <c r="GU19" s="103">
        <v>75203125</v>
      </c>
      <c r="GV19" s="37">
        <f>1476.52+4.5</f>
        <v>1481.02</v>
      </c>
      <c r="GW19" s="37">
        <v>79837.490000000005</v>
      </c>
      <c r="GX19" s="37"/>
      <c r="GY19" s="37"/>
      <c r="GZ19" s="37"/>
      <c r="HA19" s="37"/>
      <c r="HB19" s="37"/>
      <c r="HC19" s="37"/>
      <c r="HD19" s="37"/>
      <c r="HE19" s="37"/>
      <c r="HF19" s="37"/>
      <c r="HG19" s="37">
        <f>386293.34+189288.33</f>
        <v>575581.67000000004</v>
      </c>
      <c r="HH19" s="37"/>
      <c r="HI19" s="37"/>
      <c r="HJ19" s="37"/>
      <c r="HK19" s="37">
        <v>260899.37</v>
      </c>
      <c r="HL19" s="37"/>
      <c r="HM19" s="37"/>
      <c r="HN19" s="196"/>
      <c r="HO19" s="195"/>
      <c r="HP19" s="37">
        <v>80951.72</v>
      </c>
      <c r="HQ19" s="37"/>
      <c r="HR19" s="37"/>
      <c r="HS19" s="37"/>
      <c r="HT19" s="37">
        <v>93487.67</v>
      </c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>
        <v>1593827.38</v>
      </c>
      <c r="IF19" s="37"/>
      <c r="IG19" s="37"/>
      <c r="IH19" s="103">
        <v>743207.15</v>
      </c>
      <c r="II19" s="37"/>
      <c r="IJ19" s="37"/>
      <c r="IK19" s="37"/>
      <c r="IL19" s="37"/>
      <c r="IM19" s="37">
        <v>66247.460000000006</v>
      </c>
      <c r="IN19" s="37"/>
      <c r="IO19" s="37"/>
      <c r="IP19" s="37"/>
      <c r="IQ19" s="37">
        <v>181403.22</v>
      </c>
      <c r="IR19" s="37"/>
      <c r="IS19" s="37"/>
      <c r="IT19" s="37"/>
      <c r="IU19" s="4"/>
      <c r="IV19" s="8"/>
    </row>
    <row r="20" spans="1:256" s="38" customFormat="1" ht="14.1" customHeight="1">
      <c r="A20" s="32" t="s">
        <v>31</v>
      </c>
      <c r="B20" s="32"/>
      <c r="C20" s="32"/>
      <c r="D20" s="32"/>
      <c r="E20" s="32"/>
      <c r="F20" s="32"/>
      <c r="G20" s="32"/>
      <c r="H20" s="32">
        <v>350000000</v>
      </c>
      <c r="I20" s="32"/>
      <c r="J20" s="32">
        <v>800000.4</v>
      </c>
      <c r="K20" s="32">
        <v>1000000</v>
      </c>
      <c r="L20" s="32"/>
      <c r="M20" s="32">
        <v>400000</v>
      </c>
      <c r="N20" s="32">
        <v>58900000</v>
      </c>
      <c r="O20" s="32"/>
      <c r="P20" s="32"/>
      <c r="Q20" s="32">
        <v>6700000</v>
      </c>
      <c r="R20" s="32"/>
      <c r="S20" s="32">
        <v>5600000</v>
      </c>
      <c r="T20" s="32">
        <v>1359081.08</v>
      </c>
      <c r="U20" s="32"/>
      <c r="V20" s="32"/>
      <c r="W20" s="32"/>
      <c r="X20" s="32"/>
      <c r="Y20" s="32"/>
      <c r="Z20" s="32">
        <v>3200000</v>
      </c>
      <c r="AA20" s="32">
        <v>14000000</v>
      </c>
      <c r="AB20" s="32">
        <v>3000000</v>
      </c>
      <c r="AC20" s="32">
        <v>2600000</v>
      </c>
      <c r="AD20" s="32">
        <v>1700000</v>
      </c>
      <c r="AE20" s="32">
        <v>700000</v>
      </c>
      <c r="AF20" s="32">
        <v>58900000</v>
      </c>
      <c r="AG20" s="32">
        <v>9500000</v>
      </c>
      <c r="AH20" s="32">
        <v>300000</v>
      </c>
      <c r="AI20" s="32">
        <v>500000</v>
      </c>
      <c r="AJ20" s="32">
        <v>1900000</v>
      </c>
      <c r="AK20" s="32">
        <v>8000000</v>
      </c>
      <c r="AL20" s="32"/>
      <c r="AM20" s="32"/>
      <c r="AN20" s="32"/>
      <c r="AO20" s="32">
        <v>2700000</v>
      </c>
      <c r="AP20" s="32"/>
      <c r="AQ20" s="32">
        <v>1900000</v>
      </c>
      <c r="AR20" s="32">
        <v>1800000</v>
      </c>
      <c r="AS20" s="32">
        <v>750000</v>
      </c>
      <c r="AT20" s="32">
        <v>1500000</v>
      </c>
      <c r="AU20" s="32"/>
      <c r="AV20" s="32">
        <v>20700000</v>
      </c>
      <c r="AW20" s="32"/>
      <c r="AX20" s="32"/>
      <c r="AY20" s="32">
        <v>1600000</v>
      </c>
      <c r="AZ20" s="32"/>
      <c r="BA20" s="32">
        <v>4100000</v>
      </c>
      <c r="BB20" s="32"/>
      <c r="BC20" s="32">
        <v>8800000</v>
      </c>
      <c r="BD20" s="32">
        <v>16000000</v>
      </c>
      <c r="BE20" s="32">
        <v>2200000</v>
      </c>
      <c r="BF20" s="32">
        <v>4200000</v>
      </c>
      <c r="BG20" s="32"/>
      <c r="BH20" s="32">
        <v>1200000</v>
      </c>
      <c r="BI20" s="32"/>
      <c r="BJ20" s="32">
        <v>1800000</v>
      </c>
      <c r="BK20" s="32"/>
      <c r="BL20" s="32">
        <v>4500000</v>
      </c>
      <c r="BM20" s="32"/>
      <c r="BN20" s="32">
        <v>900000</v>
      </c>
      <c r="BO20" s="32"/>
      <c r="BP20" s="32">
        <v>1400000</v>
      </c>
      <c r="BQ20" s="32">
        <v>1900000</v>
      </c>
      <c r="BR20" s="32">
        <v>14500000</v>
      </c>
      <c r="BS20" s="32">
        <v>500000</v>
      </c>
      <c r="BT20" s="32"/>
      <c r="BU20" s="32"/>
      <c r="BV20" s="32"/>
      <c r="BW20" s="32"/>
      <c r="BX20" s="32">
        <v>400000</v>
      </c>
      <c r="BY20" s="32">
        <v>60900000</v>
      </c>
      <c r="BZ20" s="32">
        <v>16500000</v>
      </c>
      <c r="CA20" s="32">
        <v>6500000</v>
      </c>
      <c r="CB20" s="32">
        <v>1200000</v>
      </c>
      <c r="CC20" s="32">
        <v>2300000</v>
      </c>
      <c r="CD20" s="32">
        <v>500000</v>
      </c>
      <c r="CE20" s="32">
        <v>600000</v>
      </c>
      <c r="CF20" s="32"/>
      <c r="CG20" s="32">
        <v>1400000</v>
      </c>
      <c r="CH20" s="32">
        <v>1150000</v>
      </c>
      <c r="CI20" s="32">
        <v>4000000</v>
      </c>
      <c r="CJ20" s="32">
        <v>1200000</v>
      </c>
      <c r="CK20" s="32">
        <v>3000000</v>
      </c>
      <c r="CL20" s="32"/>
      <c r="CM20" s="32">
        <v>2000000</v>
      </c>
      <c r="CN20" s="32"/>
      <c r="CO20" s="32"/>
      <c r="CP20" s="32">
        <v>1750000</v>
      </c>
      <c r="CQ20" s="32">
        <v>700000</v>
      </c>
      <c r="CR20" s="32"/>
      <c r="CS20" s="32"/>
      <c r="CT20" s="32">
        <v>10600000</v>
      </c>
      <c r="CU20" s="32">
        <v>1600000</v>
      </c>
      <c r="CV20" s="32">
        <v>2600000</v>
      </c>
      <c r="CW20" s="32">
        <v>1700000</v>
      </c>
      <c r="CX20" s="32">
        <v>2300000</v>
      </c>
      <c r="CY20" s="32">
        <v>2300000</v>
      </c>
      <c r="CZ20" s="32"/>
      <c r="DA20" s="32"/>
      <c r="DB20" s="32"/>
      <c r="DC20" s="32"/>
      <c r="DD20" s="32">
        <v>800000</v>
      </c>
      <c r="DE20" s="32">
        <v>8200000</v>
      </c>
      <c r="DF20" s="32">
        <v>1100000</v>
      </c>
      <c r="DG20" s="32">
        <v>6800000</v>
      </c>
      <c r="DH20" s="32">
        <v>1500000</v>
      </c>
      <c r="DI20" s="32"/>
      <c r="DJ20" s="32">
        <v>200000</v>
      </c>
      <c r="DK20" s="32"/>
      <c r="DL20" s="32">
        <v>2000000</v>
      </c>
      <c r="DM20" s="32"/>
      <c r="DN20" s="32">
        <v>62000000</v>
      </c>
      <c r="DO20" s="32"/>
      <c r="DP20" s="32"/>
      <c r="DQ20" s="32">
        <v>1900000</v>
      </c>
      <c r="DR20" s="32"/>
      <c r="DS20" s="32"/>
      <c r="DT20" s="32">
        <v>600000</v>
      </c>
      <c r="DU20" s="32"/>
      <c r="DV20" s="32"/>
      <c r="DW20" s="32"/>
      <c r="DX20" s="32"/>
      <c r="DY20" s="32">
        <v>600000</v>
      </c>
      <c r="DZ20" s="32">
        <v>1400000</v>
      </c>
      <c r="EA20" s="32">
        <v>1400000</v>
      </c>
      <c r="EB20" s="32">
        <v>300000</v>
      </c>
      <c r="EC20" s="32">
        <f>250000+5000000</f>
        <v>5250000</v>
      </c>
      <c r="ED20" s="32">
        <v>15400000</v>
      </c>
      <c r="EE20" s="32">
        <v>800000</v>
      </c>
      <c r="EF20" s="32">
        <v>1100000</v>
      </c>
      <c r="EG20" s="35">
        <v>0</v>
      </c>
      <c r="EH20" s="32"/>
      <c r="EI20" s="32">
        <v>500000</v>
      </c>
      <c r="EJ20" s="32">
        <v>1500000</v>
      </c>
      <c r="EK20" s="123">
        <v>60500000</v>
      </c>
      <c r="EL20" s="32">
        <v>11600000</v>
      </c>
      <c r="EM20" s="32"/>
      <c r="EN20" s="32"/>
      <c r="EO20" s="32">
        <v>1000000</v>
      </c>
      <c r="EP20" s="32">
        <v>3000000</v>
      </c>
      <c r="EQ20" s="32"/>
      <c r="ER20" s="32">
        <v>100000</v>
      </c>
      <c r="ES20" s="32">
        <v>2400000</v>
      </c>
      <c r="ET20" s="32">
        <v>250000</v>
      </c>
      <c r="EU20" s="32"/>
      <c r="EV20" s="32">
        <v>2100000</v>
      </c>
      <c r="EW20" s="32">
        <v>1600000</v>
      </c>
      <c r="EX20" s="32"/>
      <c r="EY20" s="32">
        <v>16300000</v>
      </c>
      <c r="EZ20" s="32">
        <v>450000</v>
      </c>
      <c r="FA20" s="32">
        <v>0</v>
      </c>
      <c r="FB20" s="32"/>
      <c r="FC20" s="32">
        <v>750000</v>
      </c>
      <c r="FD20" s="32"/>
      <c r="FE20" s="32">
        <v>60200000</v>
      </c>
      <c r="FF20" s="32">
        <v>9150000</v>
      </c>
      <c r="FG20" s="32"/>
      <c r="FH20" s="32">
        <v>1800000</v>
      </c>
      <c r="FI20" s="32">
        <v>4500000</v>
      </c>
      <c r="FJ20" s="32"/>
      <c r="FK20" s="32"/>
      <c r="FL20" s="123"/>
      <c r="FM20" s="32"/>
      <c r="FN20" s="32">
        <v>700000</v>
      </c>
      <c r="FO20" s="32">
        <v>2800000</v>
      </c>
      <c r="FP20" s="32">
        <v>2200000</v>
      </c>
      <c r="FQ20" s="32">
        <v>700000</v>
      </c>
      <c r="FR20" s="32">
        <v>1850000</v>
      </c>
      <c r="FS20" s="32">
        <v>4300000</v>
      </c>
      <c r="FT20" s="32">
        <v>4800000</v>
      </c>
      <c r="FU20" s="32">
        <v>2700000</v>
      </c>
      <c r="FV20" s="32">
        <v>700000</v>
      </c>
      <c r="FW20" s="32"/>
      <c r="FX20" s="32">
        <v>1300000</v>
      </c>
      <c r="FY20" s="32">
        <v>2500000</v>
      </c>
      <c r="FZ20" s="102">
        <f>70400000+75000000</f>
        <v>145400000</v>
      </c>
      <c r="GA20" s="32">
        <v>1000000</v>
      </c>
      <c r="GB20" s="32">
        <v>5000000</v>
      </c>
      <c r="GC20" s="32">
        <v>3750000</v>
      </c>
      <c r="GD20" s="32">
        <v>1200000</v>
      </c>
      <c r="GE20" s="32">
        <v>1000000</v>
      </c>
      <c r="GF20" s="32">
        <v>750000</v>
      </c>
      <c r="GG20" s="32">
        <v>800000</v>
      </c>
      <c r="GH20" s="32"/>
      <c r="GI20" s="32"/>
      <c r="GJ20" s="32">
        <v>1700000</v>
      </c>
      <c r="GK20" s="32">
        <v>150000</v>
      </c>
      <c r="GL20" s="32">
        <v>3500000</v>
      </c>
      <c r="GM20" s="32">
        <v>2300000</v>
      </c>
      <c r="GN20" s="32">
        <v>200000</v>
      </c>
      <c r="GO20" s="32"/>
      <c r="GP20" s="32"/>
      <c r="GQ20" s="32">
        <v>7200000</v>
      </c>
      <c r="GR20" s="32"/>
      <c r="GS20" s="32">
        <v>500000</v>
      </c>
      <c r="GT20" s="32"/>
      <c r="GU20" s="102"/>
      <c r="GV20" s="32">
        <v>1300000</v>
      </c>
      <c r="GW20" s="32"/>
      <c r="GX20" s="32"/>
      <c r="GY20" s="32"/>
      <c r="GZ20" s="32">
        <v>100000</v>
      </c>
      <c r="HA20" s="32">
        <v>7700000</v>
      </c>
      <c r="HB20" s="32"/>
      <c r="HC20" s="32">
        <v>2800000</v>
      </c>
      <c r="HD20" s="32">
        <v>750000</v>
      </c>
      <c r="HE20" s="32"/>
      <c r="HF20" s="32"/>
      <c r="HG20" s="32"/>
      <c r="HH20" s="32"/>
      <c r="HI20" s="32">
        <v>13200000</v>
      </c>
      <c r="HJ20" s="32">
        <v>3500000</v>
      </c>
      <c r="HK20" s="32"/>
      <c r="HL20" s="32"/>
      <c r="HM20" s="32"/>
      <c r="HN20" s="141"/>
      <c r="HO20" s="123">
        <v>73300000</v>
      </c>
      <c r="HP20" s="32"/>
      <c r="HQ20" s="32"/>
      <c r="HR20" s="32"/>
      <c r="HS20" s="32"/>
      <c r="HT20" s="32"/>
      <c r="HU20" s="32"/>
      <c r="HV20" s="32"/>
      <c r="HW20" s="32">
        <v>281.35000000000002</v>
      </c>
      <c r="HX20" s="32">
        <v>1700000</v>
      </c>
      <c r="HY20" s="32"/>
      <c r="HZ20" s="32"/>
      <c r="IA20" s="32"/>
      <c r="IB20" s="32">
        <v>800000</v>
      </c>
      <c r="IC20" s="32"/>
      <c r="ID20" s="32"/>
      <c r="IE20" s="32"/>
      <c r="IF20" s="32"/>
      <c r="IG20" s="32">
        <v>88800000</v>
      </c>
      <c r="IH20" s="102"/>
      <c r="II20" s="32"/>
      <c r="IJ20" s="32">
        <v>49800000</v>
      </c>
      <c r="IK20" s="32">
        <v>24805.82</v>
      </c>
      <c r="IL20" s="32">
        <v>46000000</v>
      </c>
      <c r="IM20" s="32"/>
      <c r="IN20" s="32">
        <v>24735.91</v>
      </c>
      <c r="IO20" s="32"/>
      <c r="IP20" s="32"/>
      <c r="IQ20" s="32"/>
      <c r="IR20" s="32"/>
      <c r="IS20" s="32">
        <v>1000000</v>
      </c>
      <c r="IT20" s="32"/>
      <c r="IU20" s="4"/>
      <c r="IV20" s="8"/>
    </row>
    <row r="21" spans="1:256" s="38" customFormat="1" ht="14.1" customHeight="1">
      <c r="A21" s="32" t="s">
        <v>57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>
        <v>50000000</v>
      </c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>
        <v>25000000</v>
      </c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>
        <v>10000000</v>
      </c>
      <c r="CP21" s="32"/>
      <c r="CQ21" s="32"/>
      <c r="CR21" s="32"/>
      <c r="CS21" s="32">
        <v>5000000</v>
      </c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>
        <v>10000000</v>
      </c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123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123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10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10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141"/>
      <c r="HO21" s="123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10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4"/>
      <c r="IV21" s="8"/>
    </row>
    <row r="22" spans="1:256" s="38" customFormat="1" ht="14.1" customHeight="1">
      <c r="A22" s="32" t="s">
        <v>35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>
        <v>25000000</v>
      </c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>
        <v>10000000</v>
      </c>
      <c r="CP22" s="32"/>
      <c r="CQ22" s="32"/>
      <c r="CR22" s="32"/>
      <c r="CS22" s="32">
        <v>5000000</v>
      </c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>
        <v>10000000</v>
      </c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123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>
        <v>472440</v>
      </c>
      <c r="FG22" s="32"/>
      <c r="FH22" s="32"/>
      <c r="FI22" s="32"/>
      <c r="FJ22" s="32"/>
      <c r="FK22" s="32"/>
      <c r="FL22" s="123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10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10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141"/>
      <c r="HO22" s="123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10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4"/>
      <c r="IV22" s="8"/>
    </row>
    <row r="23" spans="1:256" s="38" customFormat="1" ht="14.1" customHeight="1">
      <c r="A23" s="32" t="s">
        <v>32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>
        <v>10000000</v>
      </c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>
        <v>10000000</v>
      </c>
      <c r="CP23" s="32"/>
      <c r="CQ23" s="32"/>
      <c r="CR23" s="32"/>
      <c r="CS23" s="32">
        <v>40000000</v>
      </c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>
        <v>10000000</v>
      </c>
      <c r="DN23" s="32"/>
      <c r="DO23" s="32">
        <v>10000000</v>
      </c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123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123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10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10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141"/>
      <c r="HO23" s="123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10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4"/>
      <c r="IV23" s="8"/>
    </row>
    <row r="24" spans="1:256" s="38" customFormat="1" ht="14.1" customHeight="1">
      <c r="A24" s="32" t="s">
        <v>33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>
        <v>25000000</v>
      </c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>
        <v>10000000</v>
      </c>
      <c r="CO24" s="32"/>
      <c r="CP24" s="32"/>
      <c r="CQ24" s="32"/>
      <c r="CR24" s="32"/>
      <c r="CS24" s="32">
        <v>20000000</v>
      </c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>
        <v>10000000</v>
      </c>
      <c r="DN24" s="32"/>
      <c r="DO24" s="32">
        <v>10000000</v>
      </c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123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123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10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10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141"/>
      <c r="HO24" s="123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10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4"/>
      <c r="IV24" s="8"/>
    </row>
    <row r="25" spans="1:256" s="38" customFormat="1" ht="14.1" customHeight="1">
      <c r="A25" s="33" t="s">
        <v>34</v>
      </c>
      <c r="B25" s="53"/>
      <c r="C25" s="33"/>
      <c r="D25" s="33"/>
      <c r="E25" s="33"/>
      <c r="F25" s="33"/>
      <c r="G25" s="33"/>
      <c r="H25" s="33">
        <v>50000000</v>
      </c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>
        <v>15000000</v>
      </c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>
        <v>10000000</v>
      </c>
      <c r="CO25" s="33"/>
      <c r="CP25" s="33"/>
      <c r="CQ25" s="33"/>
      <c r="CR25" s="33"/>
      <c r="CS25" s="33">
        <v>5000000</v>
      </c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>
        <v>10000000</v>
      </c>
      <c r="DN25" s="33"/>
      <c r="DO25" s="33">
        <v>10000000</v>
      </c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197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197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104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104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198"/>
      <c r="HO25" s="197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104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4"/>
      <c r="IV25" s="8"/>
    </row>
    <row r="26" spans="1:256" s="42" customFormat="1" ht="13.5" customHeight="1" thickBot="1">
      <c r="A26" s="43" t="s">
        <v>8</v>
      </c>
      <c r="B26" s="43"/>
      <c r="C26" s="43">
        <f t="shared" ref="C26:BN26" si="5">SUM(C8:C25)</f>
        <v>17928418.240000002</v>
      </c>
      <c r="D26" s="43">
        <f t="shared" si="5"/>
        <v>56193953.500000007</v>
      </c>
      <c r="E26" s="43">
        <f t="shared" si="5"/>
        <v>8038554.4900000002</v>
      </c>
      <c r="F26" s="43">
        <f t="shared" si="5"/>
        <v>37830360.369999997</v>
      </c>
      <c r="G26" s="43">
        <f t="shared" si="5"/>
        <v>56496906.990000002</v>
      </c>
      <c r="H26" s="43">
        <f t="shared" si="5"/>
        <v>426972862.12</v>
      </c>
      <c r="I26" s="43">
        <f t="shared" si="5"/>
        <v>22665055.18</v>
      </c>
      <c r="J26" s="43">
        <f t="shared" si="5"/>
        <v>1818177.09</v>
      </c>
      <c r="K26" s="43">
        <f t="shared" si="5"/>
        <v>3912755.74</v>
      </c>
      <c r="L26" s="43">
        <f t="shared" si="5"/>
        <v>52764541.670000002</v>
      </c>
      <c r="M26" s="43">
        <f t="shared" si="5"/>
        <v>1385297.46</v>
      </c>
      <c r="N26" s="43">
        <f t="shared" si="5"/>
        <v>67927747.819999993</v>
      </c>
      <c r="O26" s="43">
        <f t="shared" si="5"/>
        <v>5930384.3700000001</v>
      </c>
      <c r="P26" s="43">
        <f t="shared" si="5"/>
        <v>6408213.0600000005</v>
      </c>
      <c r="Q26" s="43">
        <f t="shared" si="5"/>
        <v>7684665.3799999999</v>
      </c>
      <c r="R26" s="43">
        <f t="shared" si="5"/>
        <v>6497303.5200000005</v>
      </c>
      <c r="S26" s="43">
        <f t="shared" si="5"/>
        <v>6851300.3399999999</v>
      </c>
      <c r="T26" s="43">
        <f t="shared" si="5"/>
        <v>1924992.37</v>
      </c>
      <c r="U26" s="43">
        <f t="shared" si="5"/>
        <v>6253578.6799999997</v>
      </c>
      <c r="V26" s="43">
        <f t="shared" si="5"/>
        <v>4365596.49</v>
      </c>
      <c r="W26" s="43">
        <f t="shared" si="5"/>
        <v>3282280.21</v>
      </c>
      <c r="X26" s="43">
        <f t="shared" si="5"/>
        <v>3512702.8</v>
      </c>
      <c r="Y26" s="43">
        <f t="shared" si="5"/>
        <v>10563061.949999999</v>
      </c>
      <c r="Z26" s="43">
        <f t="shared" si="5"/>
        <v>4559525.79</v>
      </c>
      <c r="AA26" s="43">
        <f t="shared" si="5"/>
        <v>14974087.84</v>
      </c>
      <c r="AB26" s="43">
        <f t="shared" si="5"/>
        <v>3949424.83</v>
      </c>
      <c r="AC26" s="43">
        <f t="shared" si="5"/>
        <v>5295580</v>
      </c>
      <c r="AD26" s="43">
        <f t="shared" si="5"/>
        <v>1979828.06</v>
      </c>
      <c r="AE26" s="43">
        <f t="shared" si="5"/>
        <v>1252853.24</v>
      </c>
      <c r="AF26" s="43">
        <f t="shared" si="5"/>
        <v>59340440.43</v>
      </c>
      <c r="AG26" s="43">
        <f t="shared" si="5"/>
        <v>11144014.039999999</v>
      </c>
      <c r="AH26" s="43">
        <f t="shared" si="5"/>
        <v>812987.28</v>
      </c>
      <c r="AI26" s="43">
        <f t="shared" si="5"/>
        <v>1169595.04</v>
      </c>
      <c r="AJ26" s="43">
        <f t="shared" si="5"/>
        <v>2372466.42</v>
      </c>
      <c r="AK26" s="43">
        <f t="shared" si="5"/>
        <v>8509066.0899999999</v>
      </c>
      <c r="AL26" s="43">
        <f t="shared" si="5"/>
        <v>8949801.8099999987</v>
      </c>
      <c r="AM26" s="43">
        <f t="shared" si="5"/>
        <v>7435444.4399999995</v>
      </c>
      <c r="AN26" s="43">
        <f t="shared" si="5"/>
        <v>7095171.1600000001</v>
      </c>
      <c r="AO26" s="43">
        <f t="shared" si="5"/>
        <v>3871557.3899999997</v>
      </c>
      <c r="AP26" s="43">
        <f t="shared" si="5"/>
        <v>3611656.8</v>
      </c>
      <c r="AQ26" s="43">
        <f t="shared" si="5"/>
        <v>2424611.77</v>
      </c>
      <c r="AR26" s="43">
        <f t="shared" si="5"/>
        <v>2373850.41</v>
      </c>
      <c r="AS26" s="43">
        <f t="shared" si="5"/>
        <v>1861371.8199999998</v>
      </c>
      <c r="AT26" s="43">
        <f t="shared" si="5"/>
        <v>14671262.810000001</v>
      </c>
      <c r="AU26" s="43">
        <f t="shared" si="5"/>
        <v>4505549.5600000005</v>
      </c>
      <c r="AV26" s="43">
        <f t="shared" si="5"/>
        <v>21597196.68</v>
      </c>
      <c r="AW26" s="43">
        <f t="shared" si="5"/>
        <v>4816197.95</v>
      </c>
      <c r="AX26" s="43">
        <f t="shared" si="5"/>
        <v>798728.05</v>
      </c>
      <c r="AY26" s="43">
        <f t="shared" si="5"/>
        <v>2233271.33</v>
      </c>
      <c r="AZ26" s="43">
        <f t="shared" si="5"/>
        <v>1300420.01</v>
      </c>
      <c r="BA26" s="43">
        <f t="shared" si="5"/>
        <v>4774454.7300000004</v>
      </c>
      <c r="BB26" s="43">
        <f t="shared" si="5"/>
        <v>5491262.9699999997</v>
      </c>
      <c r="BC26" s="43">
        <f t="shared" si="5"/>
        <v>59358892.939999998</v>
      </c>
      <c r="BD26" s="43">
        <f t="shared" si="5"/>
        <v>16768261.08</v>
      </c>
      <c r="BE26" s="43">
        <f t="shared" si="5"/>
        <v>2753046.08</v>
      </c>
      <c r="BF26" s="43">
        <f t="shared" si="5"/>
        <v>4530047.8899999997</v>
      </c>
      <c r="BG26" s="43">
        <f t="shared" si="5"/>
        <v>4037823.3800000004</v>
      </c>
      <c r="BH26" s="43">
        <f t="shared" si="5"/>
        <v>1662662.57</v>
      </c>
      <c r="BI26" s="43">
        <f t="shared" si="5"/>
        <v>6475358.4099999992</v>
      </c>
      <c r="BJ26" s="43">
        <f t="shared" si="5"/>
        <v>3863601.92</v>
      </c>
      <c r="BK26" s="43">
        <f t="shared" si="5"/>
        <v>5074349.8999999994</v>
      </c>
      <c r="BL26" s="43">
        <f t="shared" si="5"/>
        <v>5505139</v>
      </c>
      <c r="BM26" s="43">
        <f t="shared" si="5"/>
        <v>2463828.02</v>
      </c>
      <c r="BN26" s="43">
        <f t="shared" si="5"/>
        <v>28649462.449999999</v>
      </c>
      <c r="BO26" s="43">
        <f t="shared" ref="BO26:DX26" si="6">SUM(BO8:BO25)</f>
        <v>847599.16</v>
      </c>
      <c r="BP26" s="43">
        <f t="shared" si="6"/>
        <v>4198199.88</v>
      </c>
      <c r="BQ26" s="43">
        <f t="shared" si="6"/>
        <v>3508045.04</v>
      </c>
      <c r="BR26" s="43">
        <f t="shared" si="6"/>
        <v>14950572.58</v>
      </c>
      <c r="BS26" s="43">
        <f t="shared" si="6"/>
        <v>1371725.13</v>
      </c>
      <c r="BT26" s="43">
        <f t="shared" si="6"/>
        <v>1415867.89</v>
      </c>
      <c r="BU26" s="43">
        <f t="shared" si="6"/>
        <v>979946.42999999993</v>
      </c>
      <c r="BV26" s="43">
        <f t="shared" si="6"/>
        <v>65832152.359999999</v>
      </c>
      <c r="BW26" s="43">
        <f t="shared" si="6"/>
        <v>35537398.010000005</v>
      </c>
      <c r="BX26" s="43">
        <f t="shared" si="6"/>
        <v>1016917.2200000001</v>
      </c>
      <c r="BY26" s="43">
        <f t="shared" si="6"/>
        <v>61347729.030000001</v>
      </c>
      <c r="BZ26" s="43">
        <f t="shared" si="6"/>
        <v>17043379.609999999</v>
      </c>
      <c r="CA26" s="43">
        <f t="shared" si="6"/>
        <v>7786557.7999999998</v>
      </c>
      <c r="CB26" s="43">
        <f t="shared" si="6"/>
        <v>1917089.5</v>
      </c>
      <c r="CC26" s="43">
        <f t="shared" si="6"/>
        <v>2769251.8200000003</v>
      </c>
      <c r="CD26" s="43">
        <f t="shared" si="6"/>
        <v>963698.86</v>
      </c>
      <c r="CE26" s="43">
        <f t="shared" si="6"/>
        <v>1061776.72</v>
      </c>
      <c r="CF26" s="43">
        <f t="shared" si="6"/>
        <v>15228223.950000001</v>
      </c>
      <c r="CG26" s="43">
        <f t="shared" si="6"/>
        <v>1763532.02</v>
      </c>
      <c r="CH26" s="43">
        <f t="shared" si="6"/>
        <v>1407134.29</v>
      </c>
      <c r="CI26" s="43">
        <f t="shared" si="6"/>
        <v>4956172.62</v>
      </c>
      <c r="CJ26" s="43">
        <f t="shared" si="6"/>
        <v>3339694.95</v>
      </c>
      <c r="CK26" s="43">
        <f t="shared" si="6"/>
        <v>3698619.01</v>
      </c>
      <c r="CL26" s="43">
        <f t="shared" si="6"/>
        <v>11042366.16</v>
      </c>
      <c r="CM26" s="43">
        <f t="shared" si="6"/>
        <v>5528538.9000000004</v>
      </c>
      <c r="CN26" s="43">
        <f t="shared" si="6"/>
        <v>25130664.84</v>
      </c>
      <c r="CO26" s="43">
        <f t="shared" si="6"/>
        <v>30890234.390000001</v>
      </c>
      <c r="CP26" s="43">
        <f t="shared" si="6"/>
        <v>2376639.86</v>
      </c>
      <c r="CQ26" s="43">
        <f t="shared" si="6"/>
        <v>1371965.5</v>
      </c>
      <c r="CR26" s="43">
        <f t="shared" si="6"/>
        <v>1631134.42</v>
      </c>
      <c r="CS26" s="43">
        <f t="shared" si="6"/>
        <v>75200394.060000002</v>
      </c>
      <c r="CT26" s="43">
        <f t="shared" si="6"/>
        <v>11296552.189999999</v>
      </c>
      <c r="CU26" s="43">
        <f t="shared" si="6"/>
        <v>1840024.02</v>
      </c>
      <c r="CV26" s="43">
        <f t="shared" si="6"/>
        <v>2838460.14</v>
      </c>
      <c r="CW26" s="43">
        <f t="shared" si="6"/>
        <v>2839492.29</v>
      </c>
      <c r="CX26" s="43">
        <f t="shared" si="6"/>
        <v>2573680.66</v>
      </c>
      <c r="CY26" s="43">
        <f t="shared" si="6"/>
        <v>5199451.18</v>
      </c>
      <c r="CZ26" s="43">
        <f t="shared" si="6"/>
        <v>3122726.6500000004</v>
      </c>
      <c r="DA26" s="43">
        <f t="shared" si="6"/>
        <v>5220842.1499999994</v>
      </c>
      <c r="DB26" s="43">
        <f t="shared" si="6"/>
        <v>6142613.8000000007</v>
      </c>
      <c r="DC26" s="43">
        <f t="shared" si="6"/>
        <v>8673250.1999999993</v>
      </c>
      <c r="DD26" s="43">
        <f t="shared" si="6"/>
        <v>4370206.0999999996</v>
      </c>
      <c r="DE26" s="43">
        <f t="shared" si="6"/>
        <v>9405271.6500000004</v>
      </c>
      <c r="DF26" s="43">
        <f t="shared" si="6"/>
        <v>2040012</v>
      </c>
      <c r="DG26" s="43">
        <f t="shared" si="6"/>
        <v>8022693.4199999999</v>
      </c>
      <c r="DH26" s="43">
        <f t="shared" si="6"/>
        <v>2430226.44</v>
      </c>
      <c r="DI26" s="43">
        <f t="shared" si="6"/>
        <v>2014301.79</v>
      </c>
      <c r="DJ26" s="43">
        <f t="shared" si="6"/>
        <v>376383.57</v>
      </c>
      <c r="DK26" s="43">
        <f t="shared" si="6"/>
        <v>1107942.79</v>
      </c>
      <c r="DL26" s="43">
        <f t="shared" si="6"/>
        <v>2123774.66</v>
      </c>
      <c r="DM26" s="43">
        <f t="shared" si="6"/>
        <v>50167296.210000001</v>
      </c>
      <c r="DN26" s="43">
        <f t="shared" si="6"/>
        <v>62238522.229999997</v>
      </c>
      <c r="DO26" s="43">
        <f t="shared" si="6"/>
        <v>31848000.460000001</v>
      </c>
      <c r="DP26" s="43">
        <f t="shared" si="6"/>
        <v>504247.25</v>
      </c>
      <c r="DQ26" s="43">
        <f t="shared" si="6"/>
        <v>2104552.59</v>
      </c>
      <c r="DR26" s="43">
        <f t="shared" si="6"/>
        <v>1168224.18</v>
      </c>
      <c r="DS26" s="43">
        <f t="shared" si="6"/>
        <v>1112310.25</v>
      </c>
      <c r="DT26" s="43">
        <f t="shared" si="6"/>
        <v>874831.35</v>
      </c>
      <c r="DU26" s="43">
        <f t="shared" si="6"/>
        <v>3211165.6599999997</v>
      </c>
      <c r="DV26" s="43">
        <f t="shared" si="6"/>
        <v>5715418.5499999998</v>
      </c>
      <c r="DW26" s="43">
        <f t="shared" si="6"/>
        <v>5684698.79</v>
      </c>
      <c r="DX26" s="43">
        <f t="shared" si="6"/>
        <v>7840734.1399999997</v>
      </c>
      <c r="DY26" s="43">
        <f t="shared" ref="DY26:FQ26" si="7">SUM(DY8:DY25)</f>
        <v>807136.48</v>
      </c>
      <c r="DZ26" s="43">
        <f t="shared" si="7"/>
        <v>5184813.71</v>
      </c>
      <c r="EA26" s="43">
        <f t="shared" si="7"/>
        <v>2419389.02</v>
      </c>
      <c r="EB26" s="43">
        <f t="shared" si="7"/>
        <v>3449492.94</v>
      </c>
      <c r="EC26" s="43">
        <f t="shared" si="7"/>
        <v>8479740.5600000005</v>
      </c>
      <c r="ED26" s="43">
        <f t="shared" si="7"/>
        <v>15981061.93</v>
      </c>
      <c r="EE26" s="43">
        <f t="shared" si="7"/>
        <v>1062666.95</v>
      </c>
      <c r="EF26" s="43">
        <f t="shared" si="7"/>
        <v>4634515.2300000004</v>
      </c>
      <c r="EG26" s="43">
        <f t="shared" si="7"/>
        <v>127483802.18000001</v>
      </c>
      <c r="EH26" s="43">
        <f t="shared" si="7"/>
        <v>10421234.359999999</v>
      </c>
      <c r="EI26" s="43">
        <f t="shared" si="7"/>
        <v>845330.14999999991</v>
      </c>
      <c r="EJ26" s="43">
        <f t="shared" si="7"/>
        <v>1853660.82</v>
      </c>
      <c r="EK26" s="65">
        <f t="shared" si="7"/>
        <v>60653416.049999997</v>
      </c>
      <c r="EL26" s="43">
        <f t="shared" si="7"/>
        <v>15525739.859999999</v>
      </c>
      <c r="EM26" s="43">
        <f t="shared" si="7"/>
        <v>3933596.25</v>
      </c>
      <c r="EN26" s="43">
        <f t="shared" si="7"/>
        <v>5228430.04</v>
      </c>
      <c r="EO26" s="43">
        <f t="shared" si="7"/>
        <v>1366049.14</v>
      </c>
      <c r="EP26" s="43">
        <f t="shared" si="7"/>
        <v>3250987.23</v>
      </c>
      <c r="EQ26" s="43">
        <f t="shared" si="7"/>
        <v>7279868.3999999994</v>
      </c>
      <c r="ER26" s="43">
        <f t="shared" si="7"/>
        <v>431707.66</v>
      </c>
      <c r="ES26" s="43">
        <f t="shared" si="7"/>
        <v>2778934.02</v>
      </c>
      <c r="ET26" s="43">
        <f t="shared" si="7"/>
        <v>651381.86300000001</v>
      </c>
      <c r="EU26" s="43">
        <f t="shared" si="7"/>
        <v>1864976.79</v>
      </c>
      <c r="EV26" s="43">
        <f t="shared" si="7"/>
        <v>2631520.58</v>
      </c>
      <c r="EW26" s="43">
        <f t="shared" si="7"/>
        <v>1967133.48</v>
      </c>
      <c r="EX26" s="43">
        <f t="shared" si="7"/>
        <v>1849407</v>
      </c>
      <c r="EY26" s="43">
        <f t="shared" si="7"/>
        <v>16681707.85</v>
      </c>
      <c r="EZ26" s="43">
        <f t="shared" si="7"/>
        <v>812088.22</v>
      </c>
      <c r="FA26" s="43">
        <f t="shared" si="7"/>
        <v>70040712.5</v>
      </c>
      <c r="FB26" s="43">
        <f t="shared" si="7"/>
        <v>1629355.8</v>
      </c>
      <c r="FC26" s="43">
        <f t="shared" si="7"/>
        <v>1085024.9100000001</v>
      </c>
      <c r="FD26" s="43">
        <f t="shared" si="7"/>
        <v>633207.37</v>
      </c>
      <c r="FE26" s="43">
        <f t="shared" si="7"/>
        <v>60583335.829999998</v>
      </c>
      <c r="FF26" s="43">
        <f t="shared" si="7"/>
        <v>11141505.390000001</v>
      </c>
      <c r="FG26" s="43">
        <f t="shared" si="7"/>
        <v>9307111.1400000006</v>
      </c>
      <c r="FH26" s="43">
        <f t="shared" si="7"/>
        <v>2091613.8399999999</v>
      </c>
      <c r="FI26" s="43">
        <f t="shared" si="7"/>
        <v>4770952.74</v>
      </c>
      <c r="FJ26" s="43">
        <f t="shared" si="7"/>
        <v>7161887.3300000001</v>
      </c>
      <c r="FK26" s="43">
        <f t="shared" si="7"/>
        <v>9647596.0700000022</v>
      </c>
      <c r="FL26" s="65">
        <f t="shared" si="7"/>
        <v>17675152.770000003</v>
      </c>
      <c r="FM26" s="43">
        <f t="shared" si="7"/>
        <v>121081266.55999999</v>
      </c>
      <c r="FN26" s="43">
        <f t="shared" si="7"/>
        <v>937840.26</v>
      </c>
      <c r="FO26" s="43">
        <f t="shared" si="7"/>
        <v>3054229.04</v>
      </c>
      <c r="FP26" s="43">
        <f t="shared" si="7"/>
        <v>3724495.34</v>
      </c>
      <c r="FQ26" s="43">
        <f t="shared" si="7"/>
        <v>1344868.8900000001</v>
      </c>
      <c r="FR26" s="43">
        <f t="shared" ref="FR26:HD26" si="8">SUM(FR8:FR25)</f>
        <v>1896277.1</v>
      </c>
      <c r="FS26" s="43">
        <f t="shared" si="8"/>
        <v>5569113.5899999999</v>
      </c>
      <c r="FT26" s="43">
        <f t="shared" si="8"/>
        <v>16489235.460000001</v>
      </c>
      <c r="FU26" s="43">
        <f t="shared" si="8"/>
        <v>4098382.96</v>
      </c>
      <c r="FV26" s="43">
        <f t="shared" si="8"/>
        <v>978405.47</v>
      </c>
      <c r="FW26" s="43">
        <f t="shared" si="8"/>
        <v>551475.88</v>
      </c>
      <c r="FX26" s="43">
        <f t="shared" si="8"/>
        <v>1556798.9</v>
      </c>
      <c r="FY26" s="43">
        <f t="shared" si="8"/>
        <v>3038821.07</v>
      </c>
      <c r="FZ26" s="105">
        <f t="shared" si="8"/>
        <v>148125852.72999999</v>
      </c>
      <c r="GA26" s="43">
        <f t="shared" si="8"/>
        <v>1998146.26</v>
      </c>
      <c r="GB26" s="43">
        <f t="shared" si="8"/>
        <v>5432557.3200000003</v>
      </c>
      <c r="GC26" s="43">
        <f t="shared" si="8"/>
        <v>7123522.2200000007</v>
      </c>
      <c r="GD26" s="43">
        <f t="shared" si="8"/>
        <v>2122524.67</v>
      </c>
      <c r="GE26" s="43">
        <f t="shared" si="8"/>
        <v>2063195.65</v>
      </c>
      <c r="GF26" s="43">
        <f t="shared" si="8"/>
        <v>1358360.6099999999</v>
      </c>
      <c r="GG26" s="43">
        <f t="shared" si="8"/>
        <v>1350990.83</v>
      </c>
      <c r="GH26" s="43">
        <f t="shared" si="8"/>
        <v>89489673.810000002</v>
      </c>
      <c r="GI26" s="43">
        <f t="shared" si="8"/>
        <v>85799551.760000005</v>
      </c>
      <c r="GJ26" s="43">
        <f t="shared" si="8"/>
        <v>1965712.46</v>
      </c>
      <c r="GK26" s="43">
        <f t="shared" si="8"/>
        <v>1823533.2799999998</v>
      </c>
      <c r="GL26" s="43">
        <f t="shared" si="8"/>
        <v>5062567.68</v>
      </c>
      <c r="GM26" s="43">
        <f t="shared" si="8"/>
        <v>2875192.06</v>
      </c>
      <c r="GN26" s="43">
        <f t="shared" si="8"/>
        <v>1217369.49</v>
      </c>
      <c r="GO26" s="43">
        <f t="shared" si="8"/>
        <v>2019067.45</v>
      </c>
      <c r="GP26" s="43">
        <f t="shared" si="8"/>
        <v>1611791.6800000002</v>
      </c>
      <c r="GQ26" s="43">
        <f t="shared" si="8"/>
        <v>14840975.199999999</v>
      </c>
      <c r="GR26" s="43">
        <f t="shared" si="8"/>
        <v>4345961.7899999991</v>
      </c>
      <c r="GS26" s="43">
        <f t="shared" si="8"/>
        <v>2016113.5</v>
      </c>
      <c r="GT26" s="43">
        <f t="shared" si="8"/>
        <v>2795653.31</v>
      </c>
      <c r="GU26" s="105">
        <f t="shared" si="8"/>
        <v>76903756.049999997</v>
      </c>
      <c r="GV26" s="43">
        <f t="shared" si="8"/>
        <v>3802719.0299999993</v>
      </c>
      <c r="GW26" s="43">
        <f t="shared" si="8"/>
        <v>2243055.37</v>
      </c>
      <c r="GX26" s="43">
        <f t="shared" si="8"/>
        <v>6052372.0399999991</v>
      </c>
      <c r="GY26" s="43">
        <f t="shared" si="8"/>
        <v>2497954.1300000004</v>
      </c>
      <c r="GZ26" s="43">
        <f t="shared" si="8"/>
        <v>1447123.1499999997</v>
      </c>
      <c r="HA26" s="43">
        <f t="shared" si="8"/>
        <v>8912978.3200000003</v>
      </c>
      <c r="HB26" s="43">
        <f t="shared" si="8"/>
        <v>3090512.9400000004</v>
      </c>
      <c r="HC26" s="43">
        <f t="shared" si="8"/>
        <v>4198925.83</v>
      </c>
      <c r="HD26" s="43">
        <f t="shared" si="8"/>
        <v>1179944.6400000001</v>
      </c>
      <c r="HE26" s="43">
        <f t="shared" ref="HE26:IU26" si="9">SUM(HE8:HE25)</f>
        <v>8083235.9299999997</v>
      </c>
      <c r="HF26" s="43">
        <f t="shared" si="9"/>
        <v>5080416.8600000003</v>
      </c>
      <c r="HG26" s="43">
        <f t="shared" si="9"/>
        <v>6307076.5699999994</v>
      </c>
      <c r="HH26" s="43">
        <f t="shared" si="9"/>
        <v>3086262.5</v>
      </c>
      <c r="HI26" s="43">
        <f t="shared" si="9"/>
        <v>15702589.939999999</v>
      </c>
      <c r="HJ26" s="43">
        <f t="shared" si="9"/>
        <v>4918296.18</v>
      </c>
      <c r="HK26" s="43">
        <f t="shared" si="9"/>
        <v>6407746.5</v>
      </c>
      <c r="HL26" s="43">
        <f t="shared" si="9"/>
        <v>2127733.62</v>
      </c>
      <c r="HM26" s="43">
        <f t="shared" si="9"/>
        <v>8138435.5</v>
      </c>
      <c r="HN26" s="144">
        <f t="shared" si="9"/>
        <v>4332501.8500000006</v>
      </c>
      <c r="HO26" s="65">
        <f t="shared" si="9"/>
        <v>76440498.760000005</v>
      </c>
      <c r="HP26" s="43">
        <f t="shared" si="9"/>
        <v>4817567.76</v>
      </c>
      <c r="HQ26" s="43">
        <f t="shared" si="9"/>
        <v>1602712.31</v>
      </c>
      <c r="HR26" s="43">
        <f t="shared" si="9"/>
        <v>2527400.7999999998</v>
      </c>
      <c r="HS26" s="43">
        <f t="shared" si="9"/>
        <v>2754739.62</v>
      </c>
      <c r="HT26" s="43">
        <f t="shared" si="9"/>
        <v>20503381.370000001</v>
      </c>
      <c r="HU26" s="43">
        <f t="shared" si="9"/>
        <v>10292909.830000002</v>
      </c>
      <c r="HV26" s="43">
        <f t="shared" si="9"/>
        <v>18741191.960000001</v>
      </c>
      <c r="HW26" s="43">
        <f t="shared" si="9"/>
        <v>8947341.2999999989</v>
      </c>
      <c r="HX26" s="43">
        <f t="shared" si="9"/>
        <v>1810812.96</v>
      </c>
      <c r="HY26" s="43">
        <f t="shared" si="9"/>
        <v>16162649.189999999</v>
      </c>
      <c r="HZ26" s="43">
        <f t="shared" si="9"/>
        <v>7715544.1799999997</v>
      </c>
      <c r="IA26" s="43">
        <f t="shared" si="9"/>
        <v>19269933.260000002</v>
      </c>
      <c r="IB26" s="43">
        <f t="shared" si="9"/>
        <v>1109298.49</v>
      </c>
      <c r="IC26" s="43">
        <f t="shared" si="9"/>
        <v>32026890.510000002</v>
      </c>
      <c r="ID26" s="43">
        <f t="shared" si="9"/>
        <v>842785.35000000009</v>
      </c>
      <c r="IE26" s="43">
        <f t="shared" si="9"/>
        <v>12845507.719999999</v>
      </c>
      <c r="IF26" s="43">
        <f t="shared" si="9"/>
        <v>17376465.890000004</v>
      </c>
      <c r="IG26" s="43">
        <f t="shared" si="9"/>
        <v>102513267.36</v>
      </c>
      <c r="IH26" s="105">
        <f t="shared" si="9"/>
        <v>53290921.859999992</v>
      </c>
      <c r="II26" s="43">
        <f t="shared" si="9"/>
        <v>21931432.110000003</v>
      </c>
      <c r="IJ26" s="43">
        <f t="shared" si="9"/>
        <v>70536471.859999999</v>
      </c>
      <c r="IK26" s="43">
        <f t="shared" si="9"/>
        <v>9898232.9700000007</v>
      </c>
      <c r="IL26" s="43">
        <f t="shared" si="9"/>
        <v>51749763.869999997</v>
      </c>
      <c r="IM26" s="43">
        <f t="shared" si="9"/>
        <v>7529726.1799999997</v>
      </c>
      <c r="IN26" s="43">
        <f t="shared" si="9"/>
        <v>7898483.2800000003</v>
      </c>
      <c r="IO26" s="43">
        <f t="shared" si="9"/>
        <v>4430109.18</v>
      </c>
      <c r="IP26" s="43">
        <f t="shared" si="9"/>
        <v>11141807.1</v>
      </c>
      <c r="IQ26" s="43">
        <f t="shared" si="9"/>
        <v>23747608.259999998</v>
      </c>
      <c r="IR26" s="43">
        <f t="shared" si="9"/>
        <v>29054467.240000002</v>
      </c>
      <c r="IS26" s="43">
        <f t="shared" si="9"/>
        <v>1689935.86</v>
      </c>
      <c r="IT26" s="43">
        <f t="shared" si="9"/>
        <v>18566011.800000001</v>
      </c>
      <c r="IU26" s="43">
        <f t="shared" si="9"/>
        <v>1398022046.9429996</v>
      </c>
      <c r="IV26" s="8"/>
    </row>
    <row r="27" spans="1:256" ht="14.1" customHeight="1" thickTop="1">
      <c r="A27" s="14"/>
      <c r="B27" s="14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F27" s="8"/>
      <c r="DG27" s="8"/>
      <c r="DH27" s="8"/>
      <c r="DI27" s="8"/>
      <c r="DJ27" s="8"/>
      <c r="DK27" s="8"/>
      <c r="DL27" s="8"/>
      <c r="DM27" s="8"/>
      <c r="DO27" s="8"/>
      <c r="DP27" s="8"/>
      <c r="DQ27" s="8"/>
      <c r="DS27" s="8"/>
      <c r="DT27" s="8"/>
      <c r="DU27" s="8"/>
      <c r="DV27" s="8"/>
      <c r="DW27" s="8"/>
      <c r="DX27" s="8"/>
      <c r="DY27" s="8"/>
      <c r="EA27" s="8"/>
      <c r="EB27" s="8"/>
      <c r="EC27" s="8"/>
      <c r="ED27" s="8"/>
      <c r="EE27" s="8"/>
      <c r="EF27" s="8"/>
      <c r="EH27" s="124"/>
      <c r="EI27" s="8"/>
      <c r="EJ27" s="8"/>
      <c r="EK27" s="71"/>
      <c r="EL27" s="8"/>
      <c r="EM27" s="8"/>
      <c r="EN27" s="8"/>
      <c r="EO27" s="8"/>
      <c r="EP27" s="8"/>
      <c r="EQ27" s="8"/>
      <c r="ER27" s="8"/>
      <c r="ES27" s="8"/>
      <c r="ET27" s="8"/>
      <c r="EV27" s="8"/>
      <c r="EW27" s="8"/>
      <c r="EX27" s="8"/>
      <c r="EY27" s="8"/>
      <c r="EZ27" s="8"/>
      <c r="FA27" s="8"/>
      <c r="FB27" s="8"/>
      <c r="FC27" s="8"/>
      <c r="FD27" s="8"/>
      <c r="FG27" s="8"/>
      <c r="FH27" s="8"/>
      <c r="FI27" s="8"/>
      <c r="FJ27" s="8"/>
      <c r="FK27" s="8"/>
      <c r="FL27" s="71"/>
      <c r="FM27" s="8"/>
      <c r="FN27" s="8"/>
      <c r="FO27" s="8"/>
      <c r="FQ27" s="8"/>
      <c r="FR27" s="8"/>
      <c r="FS27" s="8"/>
      <c r="FT27" s="8"/>
      <c r="FU27" s="8"/>
      <c r="FV27" s="8"/>
      <c r="FW27" s="8"/>
      <c r="FX27" s="8"/>
      <c r="FY27" s="8"/>
      <c r="FZ27" s="9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M27" s="8"/>
      <c r="GN27" s="8"/>
      <c r="GO27" s="8"/>
      <c r="GP27" s="8"/>
      <c r="GQ27" s="8"/>
      <c r="GR27" s="8"/>
      <c r="GS27" s="8"/>
      <c r="GT27" s="8"/>
      <c r="GU27" s="98"/>
      <c r="GV27" s="8"/>
      <c r="GW27" s="8"/>
      <c r="GX27" s="8"/>
      <c r="GY27" s="8"/>
      <c r="GZ27" s="8"/>
      <c r="HA27" s="8"/>
      <c r="HB27" s="8"/>
      <c r="HC27" s="8"/>
      <c r="HE27" s="8"/>
      <c r="HF27" s="8"/>
      <c r="HG27" s="8"/>
      <c r="HH27" s="8"/>
      <c r="HI27" s="8"/>
      <c r="HJ27" s="8"/>
      <c r="HK27" s="8"/>
      <c r="HL27" s="8"/>
      <c r="HM27" s="140"/>
      <c r="HN27" s="127"/>
      <c r="HO27" s="71"/>
      <c r="HP27" s="8"/>
      <c r="HQ27" s="8"/>
      <c r="HR27" s="8"/>
      <c r="HS27" s="8"/>
      <c r="HT27" s="8"/>
      <c r="HU27" s="8"/>
      <c r="HV27" s="8"/>
      <c r="HW27" s="8"/>
      <c r="HX27" s="8"/>
      <c r="HY27" s="8"/>
      <c r="IA27" s="8"/>
      <c r="IB27" s="8"/>
      <c r="IC27" s="8"/>
      <c r="ID27" s="8"/>
      <c r="IE27" s="8"/>
      <c r="IF27" s="8"/>
      <c r="IG27" s="8"/>
      <c r="IH27" s="9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6" ht="14.1" customHeight="1">
      <c r="A28" s="20" t="s">
        <v>9</v>
      </c>
      <c r="B28" s="20"/>
      <c r="C28" s="15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158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158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158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158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158"/>
      <c r="DE28" s="90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90"/>
      <c r="DS28" s="3"/>
      <c r="DT28" s="3"/>
      <c r="DU28" s="3"/>
      <c r="DV28" s="3"/>
      <c r="DW28" s="3"/>
      <c r="DX28" s="3"/>
      <c r="DY28" s="3"/>
      <c r="DZ28" s="158"/>
      <c r="EA28" s="3"/>
      <c r="EB28" s="3"/>
      <c r="EC28" s="3"/>
      <c r="ED28" s="3"/>
      <c r="EE28" s="3"/>
      <c r="EF28" s="3"/>
      <c r="EG28" s="35"/>
      <c r="EH28" s="3"/>
      <c r="EI28" s="3"/>
      <c r="EJ28" s="3"/>
      <c r="EK28" s="77"/>
      <c r="EL28" s="3"/>
      <c r="EM28" s="3"/>
      <c r="EN28" s="3"/>
      <c r="EO28" s="3"/>
      <c r="EP28" s="3"/>
      <c r="EQ28" s="3"/>
      <c r="ER28" s="3"/>
      <c r="ES28" s="3"/>
      <c r="ET28" s="3"/>
      <c r="EU28" s="158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77"/>
      <c r="FM28" s="3"/>
      <c r="FN28" s="3"/>
      <c r="FO28" s="3"/>
      <c r="FP28" s="158"/>
      <c r="FQ28" s="3"/>
      <c r="FR28" s="3"/>
      <c r="FS28" s="3"/>
      <c r="FT28" s="3"/>
      <c r="FU28" s="3"/>
      <c r="FV28" s="3"/>
      <c r="FW28" s="3"/>
      <c r="FX28" s="3"/>
      <c r="FY28" s="3"/>
      <c r="FZ28" s="106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58"/>
      <c r="GM28" s="3"/>
      <c r="GN28" s="3"/>
      <c r="GO28" s="3"/>
      <c r="GP28" s="3"/>
      <c r="GQ28" s="3"/>
      <c r="GR28" s="3"/>
      <c r="GS28" s="3"/>
      <c r="GT28" s="3"/>
      <c r="GU28" s="106"/>
      <c r="GV28" s="3"/>
      <c r="GW28" s="3"/>
      <c r="GX28" s="3"/>
      <c r="GY28" s="3"/>
      <c r="GZ28" s="3"/>
      <c r="HA28" s="3"/>
      <c r="HB28" s="3"/>
      <c r="HC28" s="3"/>
      <c r="HD28" s="158"/>
      <c r="HE28" s="3"/>
      <c r="HF28" s="3"/>
      <c r="HG28" s="3"/>
      <c r="HH28" s="3"/>
      <c r="HI28" s="3"/>
      <c r="HJ28" s="3"/>
      <c r="HK28" s="3"/>
      <c r="HL28" s="3"/>
      <c r="HM28" s="3"/>
      <c r="HN28" s="133"/>
      <c r="HO28" s="77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158"/>
      <c r="IA28" s="3"/>
      <c r="IB28" s="3"/>
      <c r="IC28" s="3"/>
      <c r="ID28" s="3"/>
      <c r="IE28" s="3"/>
      <c r="IF28" s="3"/>
      <c r="IG28" s="3"/>
      <c r="IH28" s="106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158"/>
      <c r="IU28" s="3"/>
    </row>
    <row r="29" spans="1:256" ht="14.1" customHeight="1">
      <c r="A29" s="4" t="s">
        <v>13</v>
      </c>
      <c r="B29" s="12"/>
      <c r="C29" s="155"/>
      <c r="D29" s="4"/>
      <c r="E29" s="4"/>
      <c r="F29" s="4"/>
      <c r="G29" s="4"/>
      <c r="H29" s="4"/>
      <c r="I29" s="4"/>
      <c r="J29" s="4"/>
      <c r="K29" s="4"/>
      <c r="L29" s="4"/>
      <c r="M29" s="4"/>
      <c r="N29" s="4">
        <f>8007.43+96.41+3.14</f>
        <v>8106.9800000000005</v>
      </c>
      <c r="O29" s="4"/>
      <c r="P29" s="4"/>
      <c r="Q29" s="4"/>
      <c r="R29" s="4"/>
      <c r="S29" s="4"/>
      <c r="T29" s="4"/>
      <c r="U29" s="4"/>
      <c r="V29" s="4"/>
      <c r="W29" s="155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>
        <f>16269.84+654.2+96.42</f>
        <v>17020.46</v>
      </c>
      <c r="AI29" s="4"/>
      <c r="AJ29" s="4"/>
      <c r="AK29" s="4"/>
      <c r="AL29" s="4"/>
      <c r="AM29" s="4"/>
      <c r="AN29" s="4"/>
      <c r="AO29" s="4"/>
      <c r="AP29" s="4"/>
      <c r="AQ29" s="4"/>
      <c r="AR29" s="155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>
        <f>9068.19</f>
        <v>9068.19</v>
      </c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155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>
        <f>9676.89+1855.21+107.45</f>
        <v>11639.55</v>
      </c>
      <c r="BZ29" s="4"/>
      <c r="CA29" s="4"/>
      <c r="CB29" s="4"/>
      <c r="CC29" s="4"/>
      <c r="CD29" s="4"/>
      <c r="CE29" s="4"/>
      <c r="CF29" s="4"/>
      <c r="CG29" s="4"/>
      <c r="CH29" s="4"/>
      <c r="CI29" s="155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>
        <v>10802.86</v>
      </c>
      <c r="CU29" s="4"/>
      <c r="CV29" s="4"/>
      <c r="CW29" s="4"/>
      <c r="CX29" s="4"/>
      <c r="CY29" s="4"/>
      <c r="CZ29" s="4"/>
      <c r="DA29" s="4"/>
      <c r="DB29" s="4"/>
      <c r="DC29" s="4"/>
      <c r="DD29" s="155"/>
      <c r="DE29" s="87"/>
      <c r="DF29" s="4"/>
      <c r="DG29" s="4"/>
      <c r="DH29" s="4"/>
      <c r="DI29" s="4"/>
      <c r="DJ29" s="4"/>
      <c r="DK29" s="4"/>
      <c r="DL29" s="4"/>
      <c r="DM29" s="4"/>
      <c r="DN29" s="4">
        <v>9857.0300000000007</v>
      </c>
      <c r="DO29" s="4"/>
      <c r="DP29" s="4"/>
      <c r="DQ29" s="4"/>
      <c r="DR29" s="87"/>
      <c r="DS29" s="4"/>
      <c r="DT29" s="4"/>
      <c r="DU29" s="4"/>
      <c r="DV29" s="4"/>
      <c r="DW29" s="4"/>
      <c r="DX29" s="4"/>
      <c r="DY29" s="4"/>
      <c r="DZ29" s="155"/>
      <c r="EA29" s="4"/>
      <c r="EB29" s="4"/>
      <c r="EC29" s="4"/>
      <c r="ED29" s="4"/>
      <c r="EE29" s="4"/>
      <c r="EF29" s="4"/>
      <c r="EG29" s="32"/>
      <c r="EH29" s="4"/>
      <c r="EI29" s="4"/>
      <c r="EJ29" s="4"/>
      <c r="EK29" s="74">
        <v>8533.27</v>
      </c>
      <c r="EL29" s="4"/>
      <c r="EM29" s="4"/>
      <c r="EN29" s="4"/>
      <c r="EO29" s="4"/>
      <c r="EP29" s="4"/>
      <c r="EQ29" s="4"/>
      <c r="ER29" s="4"/>
      <c r="ES29" s="4"/>
      <c r="ET29" s="4"/>
      <c r="EU29" s="155"/>
      <c r="EV29" s="4"/>
      <c r="EW29" s="4"/>
      <c r="EX29" s="4"/>
      <c r="EY29" s="4"/>
      <c r="EZ29" s="4"/>
      <c r="FA29" s="4"/>
      <c r="FB29" s="4"/>
      <c r="FC29" s="4"/>
      <c r="FD29" s="4"/>
      <c r="FE29" s="4">
        <v>8158.43</v>
      </c>
      <c r="FF29" s="4"/>
      <c r="FG29" s="4"/>
      <c r="FH29" s="4"/>
      <c r="FI29" s="4"/>
      <c r="FJ29" s="4"/>
      <c r="FK29" s="4"/>
      <c r="FL29" s="74"/>
      <c r="FM29" s="4"/>
      <c r="FN29" s="4"/>
      <c r="FO29" s="4"/>
      <c r="FP29" s="155"/>
      <c r="FQ29" s="4"/>
      <c r="FR29" s="4"/>
      <c r="FS29" s="4"/>
      <c r="FT29" s="4"/>
      <c r="FU29" s="4"/>
      <c r="FV29" s="4"/>
      <c r="FW29" s="4"/>
      <c r="FX29" s="4"/>
      <c r="FY29" s="4"/>
      <c r="FZ29" s="102">
        <v>10596.02</v>
      </c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155"/>
      <c r="GM29" s="4"/>
      <c r="GN29" s="4"/>
      <c r="GO29" s="4"/>
      <c r="GP29" s="4"/>
      <c r="GQ29" s="4"/>
      <c r="GR29" s="4"/>
      <c r="GS29" s="4"/>
      <c r="GT29" s="4"/>
      <c r="GU29" s="102"/>
      <c r="GV29" s="4">
        <v>11727.14</v>
      </c>
      <c r="GW29" s="4"/>
      <c r="GX29" s="4"/>
      <c r="GY29" s="4"/>
      <c r="GZ29" s="4"/>
      <c r="HA29" s="4"/>
      <c r="HB29" s="4"/>
      <c r="HC29" s="4"/>
      <c r="HD29" s="155"/>
      <c r="HE29" s="4"/>
      <c r="HF29" s="4"/>
      <c r="HG29" s="4"/>
      <c r="HH29" s="4"/>
      <c r="HI29" s="4"/>
      <c r="HJ29" s="4"/>
      <c r="HK29" s="4"/>
      <c r="HL29" s="4"/>
      <c r="HM29" s="4"/>
      <c r="HN29" s="130"/>
      <c r="HO29" s="74">
        <v>14612.11</v>
      </c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155"/>
      <c r="IA29" s="4"/>
      <c r="IB29" s="4"/>
      <c r="IC29" s="4"/>
      <c r="ID29" s="4"/>
      <c r="IE29" s="4"/>
      <c r="IF29" s="4"/>
      <c r="IG29" s="4"/>
      <c r="IH29" s="102"/>
      <c r="II29" s="4"/>
      <c r="IJ29" s="4">
        <f>9346.75+2588.45+111.27</f>
        <v>12046.470000000001</v>
      </c>
      <c r="IK29" s="4"/>
      <c r="IL29" s="4"/>
      <c r="IM29" s="4"/>
      <c r="IN29" s="4"/>
      <c r="IO29" s="4"/>
      <c r="IP29" s="4"/>
      <c r="IQ29" s="4"/>
      <c r="IR29" s="4"/>
      <c r="IS29" s="4"/>
      <c r="IT29" s="155"/>
      <c r="IU29" s="4">
        <f t="shared" ref="IU29:IU46" si="10">SUM(D29:IT29)</f>
        <v>132168.51</v>
      </c>
    </row>
    <row r="30" spans="1:256" ht="14.1" customHeight="1">
      <c r="A30" s="4" t="s">
        <v>51</v>
      </c>
      <c r="B30" s="12"/>
      <c r="C30" s="155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>
        <f>160355.31+1821.63</f>
        <v>162176.94</v>
      </c>
      <c r="R30" s="4"/>
      <c r="S30" s="4"/>
      <c r="T30" s="4"/>
      <c r="U30" s="4"/>
      <c r="V30" s="4"/>
      <c r="W30" s="155"/>
      <c r="X30" s="4"/>
      <c r="Y30" s="4"/>
      <c r="Z30" s="4"/>
      <c r="AA30" s="4">
        <v>1875.22</v>
      </c>
      <c r="AB30" s="4"/>
      <c r="AC30" s="4"/>
      <c r="AD30" s="4">
        <f>151671.81+1807.62</f>
        <v>153479.43</v>
      </c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155"/>
      <c r="AS30" s="4">
        <v>1882.62</v>
      </c>
      <c r="AT30" s="4">
        <v>1818.16</v>
      </c>
      <c r="AU30" s="4"/>
      <c r="AV30" s="4"/>
      <c r="AW30" s="4">
        <v>150070.57</v>
      </c>
      <c r="AX30" s="4"/>
      <c r="AY30" s="4"/>
      <c r="AZ30" s="4"/>
      <c r="BA30" s="4"/>
      <c r="BB30" s="4">
        <v>1880.22</v>
      </c>
      <c r="BC30" s="4"/>
      <c r="BD30" s="4"/>
      <c r="BE30" s="4"/>
      <c r="BF30" s="4"/>
      <c r="BG30" s="4"/>
      <c r="BH30" s="4"/>
      <c r="BI30" s="4"/>
      <c r="BJ30" s="4"/>
      <c r="BK30" s="4">
        <v>1867.62</v>
      </c>
      <c r="BL30" s="4"/>
      <c r="BM30" s="4"/>
      <c r="BN30" s="155"/>
      <c r="BO30" s="4"/>
      <c r="BP30" s="4"/>
      <c r="BQ30" s="4"/>
      <c r="BR30" s="4"/>
      <c r="BS30" s="4">
        <v>153036.35999999999</v>
      </c>
      <c r="BT30" s="4"/>
      <c r="BU30" s="4"/>
      <c r="BV30" s="4"/>
      <c r="BW30" s="4"/>
      <c r="BX30" s="4"/>
      <c r="BY30" s="4"/>
      <c r="BZ30" s="4"/>
      <c r="CA30" s="4"/>
      <c r="CB30" s="4"/>
      <c r="CC30" s="4">
        <v>1882.62</v>
      </c>
      <c r="CD30" s="4"/>
      <c r="CE30" s="4"/>
      <c r="CF30" s="4"/>
      <c r="CG30" s="4">
        <v>1862.62</v>
      </c>
      <c r="CH30" s="4"/>
      <c r="CI30" s="155"/>
      <c r="CJ30" s="4"/>
      <c r="CK30" s="4"/>
      <c r="CL30" s="4"/>
      <c r="CM30" s="4"/>
      <c r="CN30" s="4">
        <v>149762.49</v>
      </c>
      <c r="CO30" s="4"/>
      <c r="CP30" s="4"/>
      <c r="CQ30" s="4"/>
      <c r="CR30" s="4"/>
      <c r="CS30" s="4"/>
      <c r="CT30" s="4"/>
      <c r="CU30" s="4"/>
      <c r="CV30" s="4"/>
      <c r="CW30" s="4"/>
      <c r="CX30" s="4">
        <v>1910</v>
      </c>
      <c r="CY30" s="4"/>
      <c r="CZ30" s="4"/>
      <c r="DA30" s="4"/>
      <c r="DB30" s="4"/>
      <c r="DC30" s="4"/>
      <c r="DD30" s="155"/>
      <c r="DE30" s="87"/>
      <c r="DF30" s="4"/>
      <c r="DG30" s="4"/>
      <c r="DH30" s="4"/>
      <c r="DI30" s="4"/>
      <c r="DJ30" s="4"/>
      <c r="DK30" s="4"/>
      <c r="DL30" s="4"/>
      <c r="DM30" s="4"/>
      <c r="DN30" s="4"/>
      <c r="DO30" s="4">
        <f>148174.96+1406.11</f>
        <v>149581.06999999998</v>
      </c>
      <c r="DP30" s="4"/>
      <c r="DQ30" s="4"/>
      <c r="DR30" s="87">
        <v>1409.11</v>
      </c>
      <c r="DS30" s="4"/>
      <c r="DT30" s="4"/>
      <c r="DU30" s="4"/>
      <c r="DV30" s="4"/>
      <c r="DW30" s="4"/>
      <c r="DX30" s="4"/>
      <c r="DY30" s="4"/>
      <c r="DZ30" s="155"/>
      <c r="EA30" s="4">
        <v>1409.11</v>
      </c>
      <c r="EB30" s="4"/>
      <c r="EC30" s="4"/>
      <c r="ED30" s="4"/>
      <c r="EE30" s="4"/>
      <c r="EF30" s="4"/>
      <c r="EG30" s="32"/>
      <c r="EH30" s="4"/>
      <c r="EI30" s="4"/>
      <c r="EJ30" s="4"/>
      <c r="EK30" s="74">
        <v>147194.12</v>
      </c>
      <c r="EL30" s="4"/>
      <c r="EM30" s="4"/>
      <c r="EN30" s="4"/>
      <c r="EO30" s="4"/>
      <c r="EP30" s="4"/>
      <c r="EQ30" s="4"/>
      <c r="ER30" s="4"/>
      <c r="ES30" s="4"/>
      <c r="ET30" s="4"/>
      <c r="EU30" s="155"/>
      <c r="EV30" s="4"/>
      <c r="EW30" s="4"/>
      <c r="EX30" s="4"/>
      <c r="EY30" s="4">
        <f>138133.69+1504.11+1504.11</f>
        <v>141141.90999999997</v>
      </c>
      <c r="EZ30" s="4"/>
      <c r="FA30" s="4"/>
      <c r="FB30" s="4"/>
      <c r="FC30" s="4"/>
      <c r="FD30" s="4"/>
      <c r="FE30" s="4"/>
      <c r="FF30" s="4"/>
      <c r="FG30" s="4"/>
      <c r="FH30" s="4">
        <v>1755.73</v>
      </c>
      <c r="FI30" s="4"/>
      <c r="FJ30" s="4"/>
      <c r="FK30" s="4"/>
      <c r="FL30" s="74"/>
      <c r="FM30" s="4"/>
      <c r="FN30" s="4"/>
      <c r="FO30" s="4"/>
      <c r="FP30" s="155"/>
      <c r="FQ30" s="4"/>
      <c r="FR30" s="4"/>
      <c r="FS30" s="4"/>
      <c r="FT30" s="4"/>
      <c r="FU30" s="4">
        <v>1892.31</v>
      </c>
      <c r="FV30" s="4">
        <v>127213.74</v>
      </c>
      <c r="FW30" s="4"/>
      <c r="FX30" s="4"/>
      <c r="FY30" s="4"/>
      <c r="FZ30" s="102">
        <v>1985.1</v>
      </c>
      <c r="GA30" s="4"/>
      <c r="GB30" s="4"/>
      <c r="GC30" s="4"/>
      <c r="GD30" s="4"/>
      <c r="GE30" s="4"/>
      <c r="GF30" s="4"/>
      <c r="GG30" s="4"/>
      <c r="GH30" s="4">
        <v>2055.1</v>
      </c>
      <c r="GI30" s="4"/>
      <c r="GJ30" s="4"/>
      <c r="GK30" s="4"/>
      <c r="GL30" s="155"/>
      <c r="GM30" s="4"/>
      <c r="GN30" s="4"/>
      <c r="GO30" s="4"/>
      <c r="GP30" s="4"/>
      <c r="GQ30" s="4"/>
      <c r="GR30" s="4">
        <v>128815.84</v>
      </c>
      <c r="GS30" s="4"/>
      <c r="GT30" s="4"/>
      <c r="GU30" s="102"/>
      <c r="GV30" s="4"/>
      <c r="GW30" s="4"/>
      <c r="GX30" s="4"/>
      <c r="GY30" s="4"/>
      <c r="GZ30" s="4"/>
      <c r="HA30" s="4">
        <v>1685.1</v>
      </c>
      <c r="HB30" s="4"/>
      <c r="HC30" s="4"/>
      <c r="HD30" s="155"/>
      <c r="HE30" s="4"/>
      <c r="HF30" s="4"/>
      <c r="HG30" s="4"/>
      <c r="HH30" s="4"/>
      <c r="HI30" s="4">
        <v>120771.77</v>
      </c>
      <c r="HJ30" s="4"/>
      <c r="HK30" s="4">
        <v>1669.79</v>
      </c>
      <c r="HL30" s="4"/>
      <c r="HM30" s="4"/>
      <c r="HN30" s="130"/>
      <c r="HO30" s="74"/>
      <c r="HP30" s="4"/>
      <c r="HQ30" s="4"/>
      <c r="HR30" s="4"/>
      <c r="HS30" s="4">
        <v>1644.54</v>
      </c>
      <c r="HT30" s="4"/>
      <c r="HU30" s="4"/>
      <c r="HV30" s="4"/>
      <c r="HW30" s="4"/>
      <c r="HX30" s="4"/>
      <c r="HY30" s="4"/>
      <c r="HZ30" s="155"/>
      <c r="IA30" s="4"/>
      <c r="IB30" s="4"/>
      <c r="IC30" s="4"/>
      <c r="ID30" s="4"/>
      <c r="IE30" s="4">
        <f>115319.93+1644.11</f>
        <v>116964.04</v>
      </c>
      <c r="IF30" s="4"/>
      <c r="IG30" s="4"/>
      <c r="IH30" s="102"/>
      <c r="II30" s="4"/>
      <c r="IJ30" s="4"/>
      <c r="IK30" s="4"/>
      <c r="IL30" s="4"/>
      <c r="IM30" s="4"/>
      <c r="IN30" s="4">
        <v>1296.24</v>
      </c>
      <c r="IO30" s="4"/>
      <c r="IP30" s="4"/>
      <c r="IQ30" s="4"/>
      <c r="IR30" s="4"/>
      <c r="IS30" s="4"/>
      <c r="IT30" s="155"/>
      <c r="IU30" s="4">
        <f t="shared" si="10"/>
        <v>1731989.4900000002</v>
      </c>
    </row>
    <row r="31" spans="1:256" ht="14.1" customHeight="1">
      <c r="A31" s="4" t="s">
        <v>48</v>
      </c>
      <c r="B31" s="12"/>
      <c r="C31" s="155"/>
      <c r="D31" s="4"/>
      <c r="E31" s="4"/>
      <c r="F31" s="4"/>
      <c r="G31" s="4">
        <v>14080935.539999999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155"/>
      <c r="X31" s="4"/>
      <c r="Y31" s="4"/>
      <c r="Z31" s="4"/>
      <c r="AA31" s="4">
        <v>14165643.859999999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155"/>
      <c r="AS31" s="4"/>
      <c r="AT31" s="4"/>
      <c r="AU31" s="4"/>
      <c r="AV31" s="4">
        <v>14046276.84</v>
      </c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155"/>
      <c r="BO31" s="4"/>
      <c r="BP31" s="4"/>
      <c r="BQ31" s="4"/>
      <c r="BR31" s="4">
        <v>14059442.060000001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155"/>
      <c r="CJ31" s="4"/>
      <c r="CK31" s="4"/>
      <c r="CL31" s="4"/>
      <c r="CM31" s="4"/>
      <c r="CN31" s="4">
        <v>14273803.99</v>
      </c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155"/>
      <c r="DE31" s="87">
        <v>7828121.7000000002</v>
      </c>
      <c r="DF31" s="4"/>
      <c r="DG31" s="4">
        <v>6846757.4900000002</v>
      </c>
      <c r="DH31" s="4"/>
      <c r="DI31" s="4"/>
      <c r="DJ31" s="4"/>
      <c r="DK31" s="4"/>
      <c r="DL31" s="4"/>
      <c r="DM31" s="4"/>
      <c r="DN31" s="4"/>
      <c r="DO31" s="4">
        <v>2070.25</v>
      </c>
      <c r="DP31" s="4"/>
      <c r="DQ31" s="4"/>
      <c r="DR31" s="87"/>
      <c r="DS31" s="4"/>
      <c r="DT31" s="4"/>
      <c r="DU31" s="4"/>
      <c r="DV31" s="4"/>
      <c r="DW31" s="4"/>
      <c r="DX31" s="4"/>
      <c r="DY31" s="4"/>
      <c r="DZ31" s="155"/>
      <c r="EA31" s="4"/>
      <c r="EB31" s="4"/>
      <c r="EC31" s="4">
        <v>5603735.71</v>
      </c>
      <c r="ED31" s="4">
        <v>14405307.76</v>
      </c>
      <c r="EE31" s="4"/>
      <c r="EF31" s="4">
        <v>8348.7900000000009</v>
      </c>
      <c r="EG31" s="32"/>
      <c r="EH31" s="4"/>
      <c r="EI31" s="4"/>
      <c r="EJ31" s="4"/>
      <c r="EK31" s="74"/>
      <c r="EL31" s="4">
        <v>2500000</v>
      </c>
      <c r="EM31" s="4"/>
      <c r="EN31" s="4"/>
      <c r="EO31" s="4"/>
      <c r="EP31" s="4"/>
      <c r="EQ31" s="4"/>
      <c r="ER31" s="4"/>
      <c r="ES31" s="4"/>
      <c r="ET31" s="4"/>
      <c r="EU31" s="155"/>
      <c r="EV31" s="4"/>
      <c r="EW31" s="4"/>
      <c r="EX31" s="4"/>
      <c r="EY31" s="4">
        <v>11962199.52</v>
      </c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74"/>
      <c r="FM31" s="4"/>
      <c r="FN31" s="4"/>
      <c r="FO31" s="4"/>
      <c r="FP31" s="155"/>
      <c r="FQ31" s="4"/>
      <c r="FR31" s="4"/>
      <c r="FS31" s="4"/>
      <c r="FT31" s="4">
        <v>14062252.43</v>
      </c>
      <c r="FU31" s="4"/>
      <c r="FV31" s="4"/>
      <c r="FW31" s="4"/>
      <c r="FX31" s="4"/>
      <c r="FY31" s="4"/>
      <c r="FZ31" s="102"/>
      <c r="GA31" s="4"/>
      <c r="GB31" s="4"/>
      <c r="GC31" s="4">
        <v>2834.73</v>
      </c>
      <c r="GD31" s="4"/>
      <c r="GE31" s="4"/>
      <c r="GF31" s="4"/>
      <c r="GG31" s="4"/>
      <c r="GH31" s="4"/>
      <c r="GI31" s="4"/>
      <c r="GJ31" s="4"/>
      <c r="GK31" s="4"/>
      <c r="GL31" s="155"/>
      <c r="GM31" s="4"/>
      <c r="GN31" s="4"/>
      <c r="GO31" s="4"/>
      <c r="GP31" s="4">
        <v>14573912.390000001</v>
      </c>
      <c r="GQ31" s="4"/>
      <c r="GR31" s="4"/>
      <c r="GS31" s="4"/>
      <c r="GT31" s="4"/>
      <c r="GU31" s="102"/>
      <c r="GV31" s="4">
        <v>10699.42</v>
      </c>
      <c r="GW31" s="4"/>
      <c r="GX31" s="4"/>
      <c r="GY31" s="4"/>
      <c r="GZ31" s="4"/>
      <c r="HA31" s="4"/>
      <c r="HB31" s="4"/>
      <c r="HC31" s="4"/>
      <c r="HD31" s="155">
        <v>236456.75</v>
      </c>
      <c r="HE31" s="4"/>
      <c r="HF31" s="4"/>
      <c r="HG31" s="4"/>
      <c r="HH31" s="4"/>
      <c r="HI31" s="4">
        <v>15202803.970000001</v>
      </c>
      <c r="HJ31" s="4"/>
      <c r="HK31" s="4"/>
      <c r="HL31" s="4"/>
      <c r="HM31" s="4"/>
      <c r="HN31" s="130"/>
      <c r="HO31" s="74"/>
      <c r="HP31" s="4"/>
      <c r="HQ31" s="4"/>
      <c r="HR31" s="4"/>
      <c r="HS31" s="4"/>
      <c r="HT31" s="4">
        <v>8465013</v>
      </c>
      <c r="HU31" s="4"/>
      <c r="HV31" s="4"/>
      <c r="HW31" s="4"/>
      <c r="HX31" s="4"/>
      <c r="HY31" s="4"/>
      <c r="HZ31" s="155"/>
      <c r="IA31" s="4"/>
      <c r="IB31" s="4"/>
      <c r="IC31" s="4">
        <v>14373003.359999999</v>
      </c>
      <c r="ID31" s="4"/>
      <c r="IE31" s="4"/>
      <c r="IF31" s="4"/>
      <c r="IG31" s="4"/>
      <c r="IH31" s="102"/>
      <c r="II31" s="4"/>
      <c r="IJ31" s="4"/>
      <c r="IK31" s="4">
        <v>13707.73</v>
      </c>
      <c r="IL31" s="4"/>
      <c r="IM31" s="4"/>
      <c r="IN31" s="4"/>
      <c r="IO31" s="4"/>
      <c r="IP31" s="4"/>
      <c r="IQ31" s="4"/>
      <c r="IR31" s="4"/>
      <c r="IS31" s="4"/>
      <c r="IT31" s="155"/>
      <c r="IU31" s="4">
        <f t="shared" si="10"/>
        <v>186723327.28999999</v>
      </c>
    </row>
    <row r="32" spans="1:256" ht="14.1" customHeight="1">
      <c r="A32" s="4" t="s">
        <v>27</v>
      </c>
      <c r="B32" s="12"/>
      <c r="C32" s="155"/>
      <c r="D32" s="4"/>
      <c r="E32" s="4"/>
      <c r="F32" s="4"/>
      <c r="G32" s="4"/>
      <c r="H32" s="4">
        <v>320.35000000000002</v>
      </c>
      <c r="I32" s="4">
        <v>120203.64</v>
      </c>
      <c r="J32" s="4"/>
      <c r="K32" s="4">
        <v>280</v>
      </c>
      <c r="L32" s="4"/>
      <c r="M32" s="4"/>
      <c r="N32" s="4">
        <v>1716403.25</v>
      </c>
      <c r="O32" s="4"/>
      <c r="P32" s="4"/>
      <c r="Q32" s="4"/>
      <c r="R32" s="4">
        <f>116243.83+978.24</f>
        <v>117222.07</v>
      </c>
      <c r="S32" s="4"/>
      <c r="T32" s="4"/>
      <c r="U32" s="4"/>
      <c r="V32" s="4"/>
      <c r="W32" s="155"/>
      <c r="X32" s="4"/>
      <c r="Y32" s="4"/>
      <c r="Z32" s="4"/>
      <c r="AA32" s="4"/>
      <c r="AB32" s="4">
        <v>116623.31</v>
      </c>
      <c r="AC32" s="4"/>
      <c r="AD32" s="4"/>
      <c r="AE32" s="4"/>
      <c r="AF32" s="4">
        <v>1708338.5</v>
      </c>
      <c r="AG32" s="4"/>
      <c r="AH32" s="4"/>
      <c r="AI32" s="4">
        <v>150</v>
      </c>
      <c r="AJ32" s="4"/>
      <c r="AK32" s="4"/>
      <c r="AL32" s="4">
        <f>115920.73+130</f>
        <v>116050.73</v>
      </c>
      <c r="AM32" s="4"/>
      <c r="AN32" s="4"/>
      <c r="AO32" s="4"/>
      <c r="AP32" s="4"/>
      <c r="AQ32" s="4"/>
      <c r="AR32" s="155"/>
      <c r="AS32" s="4"/>
      <c r="AT32" s="4">
        <v>529.28</v>
      </c>
      <c r="AU32" s="4"/>
      <c r="AV32" s="4">
        <v>116954.86</v>
      </c>
      <c r="AW32" s="4"/>
      <c r="AX32" s="4"/>
      <c r="AY32" s="4"/>
      <c r="AZ32" s="4"/>
      <c r="BA32" s="4"/>
      <c r="BB32" s="4"/>
      <c r="BC32" s="4">
        <v>1710424.05</v>
      </c>
      <c r="BD32" s="4"/>
      <c r="BE32" s="4"/>
      <c r="BF32" s="4">
        <f>116379.86+400</f>
        <v>116779.86</v>
      </c>
      <c r="BG32" s="4"/>
      <c r="BH32" s="4"/>
      <c r="BI32" s="4"/>
      <c r="BJ32" s="4"/>
      <c r="BK32" s="4"/>
      <c r="BL32" s="4"/>
      <c r="BM32" s="4"/>
      <c r="BN32" s="155"/>
      <c r="BO32" s="4"/>
      <c r="BP32" s="4">
        <v>116196.27</v>
      </c>
      <c r="BQ32" s="4"/>
      <c r="BR32" s="4"/>
      <c r="BS32" s="4"/>
      <c r="BT32" s="4"/>
      <c r="BU32" s="4"/>
      <c r="BV32" s="4"/>
      <c r="BW32" s="4"/>
      <c r="BX32" s="4"/>
      <c r="BY32" s="4">
        <v>1701377.5</v>
      </c>
      <c r="BZ32" s="4">
        <v>117085.8</v>
      </c>
      <c r="CA32" s="4"/>
      <c r="CB32" s="4"/>
      <c r="CC32" s="4"/>
      <c r="CD32" s="4">
        <v>475</v>
      </c>
      <c r="CE32" s="4"/>
      <c r="CF32" s="4"/>
      <c r="CG32" s="4"/>
      <c r="CH32" s="4"/>
      <c r="CI32" s="155"/>
      <c r="CJ32" s="4"/>
      <c r="CK32" s="4"/>
      <c r="CL32" s="4"/>
      <c r="CM32" s="4"/>
      <c r="CN32" s="4"/>
      <c r="CO32" s="4"/>
      <c r="CP32" s="4"/>
      <c r="CQ32" s="4"/>
      <c r="CR32" s="4"/>
      <c r="CS32" s="4">
        <f>1809356.86+776.93</f>
        <v>1810133.79</v>
      </c>
      <c r="CT32" s="4"/>
      <c r="CU32" s="4">
        <v>3099.24</v>
      </c>
      <c r="CV32" s="4"/>
      <c r="CW32" s="4">
        <v>148.56</v>
      </c>
      <c r="CX32" s="4"/>
      <c r="CY32" s="4"/>
      <c r="CZ32" s="4"/>
      <c r="DA32" s="4"/>
      <c r="DB32" s="4"/>
      <c r="DC32" s="4">
        <v>100439.98</v>
      </c>
      <c r="DD32" s="155"/>
      <c r="DE32" s="87"/>
      <c r="DF32" s="4"/>
      <c r="DG32" s="4"/>
      <c r="DH32" s="4"/>
      <c r="DI32" s="4"/>
      <c r="DJ32" s="4"/>
      <c r="DK32" s="4"/>
      <c r="DL32" s="4">
        <v>98450.17</v>
      </c>
      <c r="DM32" s="4"/>
      <c r="DN32" s="4">
        <f>1704688.21+5034.86</f>
        <v>1709723.07</v>
      </c>
      <c r="DO32" s="4">
        <v>175</v>
      </c>
      <c r="DP32" s="4">
        <v>400</v>
      </c>
      <c r="DQ32" s="4"/>
      <c r="DR32" s="87"/>
      <c r="DS32" s="4"/>
      <c r="DT32" s="4"/>
      <c r="DU32" s="4"/>
      <c r="DV32" s="4">
        <v>96390.75</v>
      </c>
      <c r="DW32" s="4"/>
      <c r="DX32" s="4"/>
      <c r="DY32" s="4"/>
      <c r="DZ32" s="155"/>
      <c r="EA32" s="4"/>
      <c r="EB32" s="4"/>
      <c r="EC32" s="4"/>
      <c r="ED32" s="4"/>
      <c r="EE32" s="4"/>
      <c r="EF32" s="4">
        <v>95455.679999999993</v>
      </c>
      <c r="EG32" s="32"/>
      <c r="EH32" s="4">
        <v>146.74</v>
      </c>
      <c r="EI32" s="4"/>
      <c r="EJ32" s="4">
        <v>291</v>
      </c>
      <c r="EK32" s="74">
        <v>1702030.79</v>
      </c>
      <c r="EL32" s="4"/>
      <c r="EM32" s="4"/>
      <c r="EN32" s="4"/>
      <c r="EO32" s="4"/>
      <c r="EP32" s="4">
        <v>96510.720000000001</v>
      </c>
      <c r="EQ32" s="4"/>
      <c r="ER32" s="4"/>
      <c r="ES32" s="4"/>
      <c r="ET32" s="4"/>
      <c r="EU32" s="155"/>
      <c r="EV32" s="4"/>
      <c r="EW32" s="4"/>
      <c r="EX32" s="4"/>
      <c r="EY32" s="4">
        <f>112612.06+3103.96+449.09</f>
        <v>116165.11</v>
      </c>
      <c r="EZ32" s="4"/>
      <c r="FA32" s="4"/>
      <c r="FB32" s="4">
        <v>1117</v>
      </c>
      <c r="FC32" s="4"/>
      <c r="FD32" s="4"/>
      <c r="FE32" s="4">
        <v>1603131.91</v>
      </c>
      <c r="FF32" s="4">
        <v>1649.32</v>
      </c>
      <c r="FG32" s="4"/>
      <c r="FH32" s="4"/>
      <c r="FI32" s="4">
        <v>111247.88</v>
      </c>
      <c r="FJ32" s="4"/>
      <c r="FK32" s="4">
        <f>1678.51+432.53</f>
        <v>2111.04</v>
      </c>
      <c r="FL32" s="74"/>
      <c r="FM32" s="4">
        <v>661.96</v>
      </c>
      <c r="FN32" s="4"/>
      <c r="FO32" s="4"/>
      <c r="FP32" s="155"/>
      <c r="FQ32" s="4"/>
      <c r="FR32" s="4"/>
      <c r="FS32" s="4">
        <v>113034.14</v>
      </c>
      <c r="FT32" s="4"/>
      <c r="FU32" s="4">
        <v>225</v>
      </c>
      <c r="FV32" s="4"/>
      <c r="FW32" s="4"/>
      <c r="FX32" s="4"/>
      <c r="FY32" s="4">
        <v>1605210.76</v>
      </c>
      <c r="FZ32" s="102">
        <v>600</v>
      </c>
      <c r="GA32" s="4"/>
      <c r="GB32" s="4">
        <f>1286.68+113971.43+861.96</f>
        <v>116120.06999999999</v>
      </c>
      <c r="GC32" s="4"/>
      <c r="GD32" s="4"/>
      <c r="GE32" s="4">
        <v>50</v>
      </c>
      <c r="GF32" s="4"/>
      <c r="GG32" s="4"/>
      <c r="GH32" s="4"/>
      <c r="GI32" s="4"/>
      <c r="GJ32" s="4"/>
      <c r="GK32" s="4">
        <v>291.20999999999998</v>
      </c>
      <c r="GL32" s="155"/>
      <c r="GM32" s="4"/>
      <c r="GN32" s="4"/>
      <c r="GO32" s="4"/>
      <c r="GP32" s="4"/>
      <c r="GQ32" s="4"/>
      <c r="GR32" s="4"/>
      <c r="GS32" s="4"/>
      <c r="GT32" s="4"/>
      <c r="GU32" s="102">
        <v>1707074.11</v>
      </c>
      <c r="GV32" s="4"/>
      <c r="GW32" s="4"/>
      <c r="GX32" s="4">
        <v>100</v>
      </c>
      <c r="GY32" s="4"/>
      <c r="GZ32" s="4"/>
      <c r="HA32" s="4"/>
      <c r="HB32" s="4"/>
      <c r="HC32" s="4">
        <v>112883.01</v>
      </c>
      <c r="HD32" s="155"/>
      <c r="HE32" s="4">
        <v>130</v>
      </c>
      <c r="HF32" s="4"/>
      <c r="HG32" s="4"/>
      <c r="HH32" s="4"/>
      <c r="HI32" s="4"/>
      <c r="HJ32" s="4"/>
      <c r="HK32" s="4"/>
      <c r="HL32" s="4"/>
      <c r="HM32" s="4">
        <v>425</v>
      </c>
      <c r="HN32" s="130">
        <v>109522.99</v>
      </c>
      <c r="HO32" s="74">
        <v>1595397.52</v>
      </c>
      <c r="HP32" s="4">
        <v>1924.82</v>
      </c>
      <c r="HQ32" s="4"/>
      <c r="HR32" s="4"/>
      <c r="HS32" s="4">
        <v>2205</v>
      </c>
      <c r="HT32" s="4"/>
      <c r="HU32" s="4">
        <v>112888.01</v>
      </c>
      <c r="HV32" s="4"/>
      <c r="HW32" s="4"/>
      <c r="HX32" s="4"/>
      <c r="HY32" s="4"/>
      <c r="HZ32" s="155"/>
      <c r="IA32" s="4"/>
      <c r="IB32" s="4"/>
      <c r="IC32" s="4"/>
      <c r="ID32" s="4"/>
      <c r="IE32" s="4"/>
      <c r="IF32" s="4">
        <v>93029.51</v>
      </c>
      <c r="IG32" s="4"/>
      <c r="IH32" s="102">
        <f>130+155</f>
        <v>285</v>
      </c>
      <c r="II32" s="4"/>
      <c r="IJ32" s="4">
        <v>1591665.95</v>
      </c>
      <c r="IK32" s="4"/>
      <c r="IL32" s="4"/>
      <c r="IM32" s="4"/>
      <c r="IN32" s="4"/>
      <c r="IO32" s="4">
        <f>111095.15+1854.89</f>
        <v>112950.04</v>
      </c>
      <c r="IP32" s="4"/>
      <c r="IQ32" s="4"/>
      <c r="IR32" s="4"/>
      <c r="IS32" s="4"/>
      <c r="IT32" s="155"/>
      <c r="IU32" s="4">
        <f t="shared" si="10"/>
        <v>22600906.320000008</v>
      </c>
    </row>
    <row r="33" spans="1:256" s="8" customFormat="1" ht="14.1" customHeight="1">
      <c r="A33" s="4" t="s">
        <v>78</v>
      </c>
      <c r="B33" s="12"/>
      <c r="C33" s="155"/>
      <c r="D33" s="4"/>
      <c r="E33" s="4"/>
      <c r="F33" s="4"/>
      <c r="G33" s="4"/>
      <c r="H33" s="4"/>
      <c r="I33" s="4"/>
      <c r="J33" s="4"/>
      <c r="K33" s="4"/>
      <c r="L33" s="4"/>
      <c r="M33" s="4">
        <v>5600</v>
      </c>
      <c r="N33" s="4"/>
      <c r="O33" s="4"/>
      <c r="P33" s="4"/>
      <c r="Q33" s="4"/>
      <c r="R33" s="4"/>
      <c r="S33" s="4"/>
      <c r="T33" s="4"/>
      <c r="U33" s="4"/>
      <c r="V33" s="4"/>
      <c r="W33" s="155">
        <f>604162.01+604188.92</f>
        <v>1208350.9300000002</v>
      </c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155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155">
        <v>344321</v>
      </c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155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155"/>
      <c r="DE33" s="87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87"/>
      <c r="DS33" s="4"/>
      <c r="DT33" s="4"/>
      <c r="DU33" s="4"/>
      <c r="DV33" s="4"/>
      <c r="DW33" s="4"/>
      <c r="DX33" s="4"/>
      <c r="DY33" s="4"/>
      <c r="DZ33" s="155"/>
      <c r="EA33" s="4"/>
      <c r="EB33" s="4"/>
      <c r="EC33" s="4"/>
      <c r="ED33" s="4"/>
      <c r="EE33" s="4"/>
      <c r="EF33" s="4"/>
      <c r="EG33" s="32"/>
      <c r="EH33" s="4"/>
      <c r="EI33" s="4"/>
      <c r="EJ33" s="4">
        <v>5600</v>
      </c>
      <c r="EK33" s="74"/>
      <c r="EL33" s="4"/>
      <c r="EM33" s="4"/>
      <c r="EN33" s="4"/>
      <c r="EO33" s="4"/>
      <c r="EP33" s="4"/>
      <c r="EQ33" s="4"/>
      <c r="ER33" s="4"/>
      <c r="ES33" s="4"/>
      <c r="ET33" s="4"/>
      <c r="EU33" s="155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74"/>
      <c r="FM33" s="4"/>
      <c r="FN33" s="4"/>
      <c r="FO33" s="4"/>
      <c r="FP33" s="155"/>
      <c r="FQ33" s="4"/>
      <c r="FR33" s="4"/>
      <c r="FS33" s="4"/>
      <c r="FT33" s="4"/>
      <c r="FU33" s="4"/>
      <c r="FV33" s="4"/>
      <c r="FW33" s="4"/>
      <c r="FX33" s="4"/>
      <c r="FY33" s="4"/>
      <c r="FZ33" s="102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155"/>
      <c r="GM33" s="4"/>
      <c r="GN33" s="4"/>
      <c r="GO33" s="4"/>
      <c r="GP33" s="4"/>
      <c r="GQ33" s="4"/>
      <c r="GR33" s="4"/>
      <c r="GS33" s="4"/>
      <c r="GT33" s="4"/>
      <c r="GU33" s="102"/>
      <c r="GV33" s="4"/>
      <c r="GW33" s="4"/>
      <c r="GX33" s="4"/>
      <c r="GY33" s="4"/>
      <c r="GZ33" s="4"/>
      <c r="HA33" s="4"/>
      <c r="HB33" s="4"/>
      <c r="HC33" s="4"/>
      <c r="HD33" s="155"/>
      <c r="HE33" s="4"/>
      <c r="HF33" s="4"/>
      <c r="HG33" s="4"/>
      <c r="HH33" s="4"/>
      <c r="HI33" s="4"/>
      <c r="HJ33" s="4"/>
      <c r="HK33" s="4"/>
      <c r="HL33" s="4"/>
      <c r="HM33" s="4"/>
      <c r="HN33" s="130"/>
      <c r="HO33" s="7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155"/>
      <c r="IA33" s="4"/>
      <c r="IB33" s="4"/>
      <c r="IC33" s="4"/>
      <c r="ID33" s="4"/>
      <c r="IE33" s="4"/>
      <c r="IF33" s="4"/>
      <c r="IG33" s="4"/>
      <c r="IH33" s="102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155"/>
      <c r="IU33" s="4">
        <f t="shared" si="10"/>
        <v>1563871.9300000002</v>
      </c>
    </row>
    <row r="34" spans="1:256" ht="14.1" customHeight="1">
      <c r="A34" s="4" t="s">
        <v>54</v>
      </c>
      <c r="B34" s="12"/>
      <c r="C34" s="155"/>
      <c r="D34" s="4"/>
      <c r="E34" s="4"/>
      <c r="F34" s="4"/>
      <c r="G34" s="4"/>
      <c r="H34" s="4"/>
      <c r="I34" s="4"/>
      <c r="J34" s="4"/>
      <c r="K34" s="4"/>
      <c r="L34" s="4">
        <v>8809.43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155"/>
      <c r="X34" s="4"/>
      <c r="Y34" s="4"/>
      <c r="Z34" s="4"/>
      <c r="AA34" s="4"/>
      <c r="AB34" s="4"/>
      <c r="AC34" s="4"/>
      <c r="AD34" s="4"/>
      <c r="AE34" s="4"/>
      <c r="AF34" s="4">
        <v>4826.68</v>
      </c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155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>
        <v>3656.58</v>
      </c>
      <c r="BF34" s="4"/>
      <c r="BG34" s="4"/>
      <c r="BH34" s="4"/>
      <c r="BI34" s="4"/>
      <c r="BJ34" s="4"/>
      <c r="BK34" s="4"/>
      <c r="BL34" s="4"/>
      <c r="BM34" s="4"/>
      <c r="BN34" s="155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>
        <v>3008.81</v>
      </c>
      <c r="CI34" s="155"/>
      <c r="CJ34" s="4"/>
      <c r="CK34" s="4"/>
      <c r="CL34" s="4"/>
      <c r="CM34" s="4"/>
      <c r="CN34" s="4"/>
      <c r="CO34" s="4"/>
      <c r="CP34" s="4"/>
      <c r="CQ34" s="4"/>
      <c r="CR34" s="4">
        <v>4592.2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155"/>
      <c r="DE34" s="87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87">
        <v>1906.82</v>
      </c>
      <c r="DS34" s="4"/>
      <c r="DT34" s="4"/>
      <c r="DU34" s="4"/>
      <c r="DV34" s="4"/>
      <c r="DW34" s="4"/>
      <c r="DX34" s="4"/>
      <c r="DY34" s="4"/>
      <c r="DZ34" s="155"/>
      <c r="EA34" s="4"/>
      <c r="EB34" s="4"/>
      <c r="EC34" s="4"/>
      <c r="ED34" s="4"/>
      <c r="EE34" s="4"/>
      <c r="EF34" s="4"/>
      <c r="EG34" s="32"/>
      <c r="EH34" s="4"/>
      <c r="EI34" s="4"/>
      <c r="EJ34" s="4"/>
      <c r="EK34" s="74"/>
      <c r="EL34" s="4">
        <v>12635.76</v>
      </c>
      <c r="EM34" s="4"/>
      <c r="EN34" s="4"/>
      <c r="EO34" s="4"/>
      <c r="EP34" s="4"/>
      <c r="EQ34" s="4"/>
      <c r="ER34" s="4"/>
      <c r="ES34" s="4"/>
      <c r="ET34" s="4"/>
      <c r="EU34" s="155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v>16158.5</v>
      </c>
      <c r="FG34" s="4"/>
      <c r="FH34" s="4"/>
      <c r="FI34" s="4"/>
      <c r="FJ34" s="4"/>
      <c r="FK34" s="4"/>
      <c r="FL34" s="74"/>
      <c r="FM34" s="4"/>
      <c r="FN34" s="4"/>
      <c r="FO34" s="4"/>
      <c r="FP34" s="155"/>
      <c r="FQ34" s="4"/>
      <c r="FR34" s="4"/>
      <c r="FS34" s="4"/>
      <c r="FT34" s="4"/>
      <c r="FU34" s="4"/>
      <c r="FV34" s="4"/>
      <c r="FW34" s="4"/>
      <c r="FX34" s="4"/>
      <c r="FY34" s="4"/>
      <c r="FZ34" s="102"/>
      <c r="GA34" s="4"/>
      <c r="GB34" s="4"/>
      <c r="GC34" s="4"/>
      <c r="GD34" s="4"/>
      <c r="GE34" s="4"/>
      <c r="GF34" s="4"/>
      <c r="GG34" s="4"/>
      <c r="GH34" s="4"/>
      <c r="GI34" s="4"/>
      <c r="GJ34" s="4">
        <v>3714.56</v>
      </c>
      <c r="GK34" s="4"/>
      <c r="GL34" s="155"/>
      <c r="GM34" s="4"/>
      <c r="GN34" s="4"/>
      <c r="GO34" s="4"/>
      <c r="GP34" s="4"/>
      <c r="GQ34" s="4"/>
      <c r="GR34" s="4"/>
      <c r="GS34" s="4"/>
      <c r="GT34" s="4"/>
      <c r="GU34" s="102"/>
      <c r="GV34" s="4"/>
      <c r="GW34" s="4"/>
      <c r="GX34" s="4"/>
      <c r="GY34" s="4"/>
      <c r="GZ34" s="4"/>
      <c r="HA34" s="4"/>
      <c r="HB34" s="4"/>
      <c r="HC34" s="4"/>
      <c r="HD34" s="155"/>
      <c r="HE34" s="4"/>
      <c r="HF34" s="4"/>
      <c r="HG34" s="4"/>
      <c r="HH34" s="4"/>
      <c r="HI34" s="4"/>
      <c r="HJ34" s="4"/>
      <c r="HK34" s="4"/>
      <c r="HL34" s="4"/>
      <c r="HM34" s="4"/>
      <c r="HN34" s="130"/>
      <c r="HO34" s="74"/>
      <c r="HP34" s="4"/>
      <c r="HQ34" s="4"/>
      <c r="HR34" s="4">
        <v>10390.64</v>
      </c>
      <c r="HS34" s="4"/>
      <c r="HT34" s="4"/>
      <c r="HU34" s="4"/>
      <c r="HV34" s="4"/>
      <c r="HW34" s="4"/>
      <c r="HX34" s="4"/>
      <c r="HY34" s="4"/>
      <c r="HZ34" s="155"/>
      <c r="IA34" s="4"/>
      <c r="IB34" s="4"/>
      <c r="IC34" s="4"/>
      <c r="ID34" s="4"/>
      <c r="IE34" s="4"/>
      <c r="IF34" s="4">
        <v>30000</v>
      </c>
      <c r="IG34" s="4"/>
      <c r="IH34" s="102"/>
      <c r="II34" s="4"/>
      <c r="IJ34" s="4"/>
      <c r="IK34" s="4"/>
      <c r="IL34" s="4">
        <v>1001.98</v>
      </c>
      <c r="IM34" s="4"/>
      <c r="IN34" s="4"/>
      <c r="IO34" s="4"/>
      <c r="IP34" s="4"/>
      <c r="IQ34" s="4"/>
      <c r="IR34" s="4"/>
      <c r="IS34" s="4"/>
      <c r="IT34" s="155"/>
      <c r="IU34" s="4">
        <f t="shared" si="10"/>
        <v>100701.96</v>
      </c>
    </row>
    <row r="35" spans="1:256" ht="14.1" customHeight="1">
      <c r="A35" s="4" t="s">
        <v>10</v>
      </c>
      <c r="B35" s="12"/>
      <c r="C35" s="155"/>
      <c r="D35" s="4"/>
      <c r="E35" s="4">
        <v>1635.83</v>
      </c>
      <c r="F35" s="4"/>
      <c r="G35" s="4"/>
      <c r="H35" s="4"/>
      <c r="I35" s="4"/>
      <c r="J35" s="4">
        <v>395621.01</v>
      </c>
      <c r="K35" s="4"/>
      <c r="L35" s="4">
        <v>4743.74</v>
      </c>
      <c r="M35" s="4"/>
      <c r="N35" s="4">
        <v>9782836.5999999996</v>
      </c>
      <c r="O35" s="4"/>
      <c r="P35" s="4">
        <v>12181.75</v>
      </c>
      <c r="Q35" s="4"/>
      <c r="R35" s="4"/>
      <c r="S35" s="4">
        <f>444584.81+7267.67</f>
        <v>451852.48</v>
      </c>
      <c r="T35" s="4"/>
      <c r="U35" s="4">
        <v>13640.28</v>
      </c>
      <c r="V35" s="4"/>
      <c r="W35" s="155">
        <v>26040.67</v>
      </c>
      <c r="X35" s="4"/>
      <c r="Y35" s="4"/>
      <c r="Z35" s="4">
        <v>1106.69</v>
      </c>
      <c r="AA35" s="4"/>
      <c r="AB35" s="4"/>
      <c r="AC35" s="4">
        <v>453881.75</v>
      </c>
      <c r="AD35" s="4"/>
      <c r="AE35" s="4"/>
      <c r="AF35" s="4"/>
      <c r="AG35" s="4">
        <v>10054123.619999999</v>
      </c>
      <c r="AH35" s="4"/>
      <c r="AI35" s="4"/>
      <c r="AJ35" s="4">
        <v>2115.06</v>
      </c>
      <c r="AK35" s="4"/>
      <c r="AL35" s="4">
        <v>18753.740000000002</v>
      </c>
      <c r="AM35" s="4">
        <v>353391.19</v>
      </c>
      <c r="AN35" s="4"/>
      <c r="AO35" s="4">
        <v>5030.9399999999996</v>
      </c>
      <c r="AP35" s="4"/>
      <c r="AQ35" s="4">
        <v>18024.84</v>
      </c>
      <c r="AR35" s="155"/>
      <c r="AS35" s="4"/>
      <c r="AT35" s="4">
        <v>5889.62</v>
      </c>
      <c r="AU35" s="4"/>
      <c r="AV35" s="4">
        <v>383489.16</v>
      </c>
      <c r="AW35" s="4"/>
      <c r="AX35" s="4">
        <v>1747.54</v>
      </c>
      <c r="AY35" s="4">
        <v>1392.34</v>
      </c>
      <c r="AZ35" s="4"/>
      <c r="BA35" s="4"/>
      <c r="BB35" s="4"/>
      <c r="BC35" s="4"/>
      <c r="BD35" s="4">
        <f>9629753.46+3938.37</f>
        <v>9633691.8300000001</v>
      </c>
      <c r="BE35" s="4"/>
      <c r="BF35" s="4">
        <v>14900.45</v>
      </c>
      <c r="BG35" s="4">
        <v>462689.82</v>
      </c>
      <c r="BH35" s="4"/>
      <c r="BI35" s="4">
        <v>17015.52</v>
      </c>
      <c r="BJ35" s="4"/>
      <c r="BK35" s="4"/>
      <c r="BL35" s="4">
        <v>4310.49</v>
      </c>
      <c r="BM35" s="4"/>
      <c r="BN35" s="155">
        <f>533.59+5102.89</f>
        <v>5636.4800000000005</v>
      </c>
      <c r="BO35" s="4"/>
      <c r="BP35" s="4">
        <v>2997.61</v>
      </c>
      <c r="BQ35" s="4">
        <v>484126.41</v>
      </c>
      <c r="BR35" s="4"/>
      <c r="BS35" s="4"/>
      <c r="BT35" s="4"/>
      <c r="BU35" s="4">
        <v>6001.75</v>
      </c>
      <c r="BV35" s="4"/>
      <c r="BW35" s="4">
        <v>391.88</v>
      </c>
      <c r="BX35" s="4"/>
      <c r="BY35" s="4"/>
      <c r="BZ35" s="4">
        <v>10501667.369999999</v>
      </c>
      <c r="CA35" s="4">
        <v>471526.99</v>
      </c>
      <c r="CB35" s="4">
        <v>11043.21</v>
      </c>
      <c r="CC35" s="4"/>
      <c r="CD35" s="4">
        <f>3473.1+738.65</f>
        <v>4211.75</v>
      </c>
      <c r="CE35" s="4"/>
      <c r="CF35" s="4"/>
      <c r="CG35" s="4">
        <v>132.1</v>
      </c>
      <c r="CH35" s="4">
        <f>5651.33+2135.14</f>
        <v>7786.4699999999993</v>
      </c>
      <c r="CI35" s="155">
        <v>493119.1</v>
      </c>
      <c r="CJ35" s="4"/>
      <c r="CK35" s="4">
        <v>8963.59</v>
      </c>
      <c r="CL35" s="4"/>
      <c r="CM35" s="4"/>
      <c r="CN35" s="4">
        <v>563.48</v>
      </c>
      <c r="CO35" s="4"/>
      <c r="CP35" s="4"/>
      <c r="CQ35" s="4">
        <v>1825.18</v>
      </c>
      <c r="CR35" s="4"/>
      <c r="CS35" s="4">
        <v>9839.57</v>
      </c>
      <c r="CT35" s="4">
        <v>10157055.369999999</v>
      </c>
      <c r="CU35" s="4"/>
      <c r="CV35" s="4">
        <v>40427.040000000001</v>
      </c>
      <c r="CW35" s="4"/>
      <c r="CX35" s="4">
        <v>44712.98</v>
      </c>
      <c r="CY35" s="4"/>
      <c r="CZ35" s="4"/>
      <c r="DA35" s="4"/>
      <c r="DB35" s="4">
        <v>116130.46</v>
      </c>
      <c r="DC35" s="4"/>
      <c r="DD35" s="155">
        <v>286160.49</v>
      </c>
      <c r="DE35" s="87"/>
      <c r="DF35" s="4"/>
      <c r="DG35" s="4"/>
      <c r="DH35" s="4"/>
      <c r="DI35" s="4"/>
      <c r="DJ35" s="4"/>
      <c r="DK35" s="4"/>
      <c r="DL35" s="4"/>
      <c r="DM35" s="4">
        <v>274276.19</v>
      </c>
      <c r="DN35" s="4"/>
      <c r="DO35" s="4">
        <v>10938962.18</v>
      </c>
      <c r="DP35" s="4">
        <f>27342.67+5717.98</f>
        <v>33060.649999999994</v>
      </c>
      <c r="DQ35" s="4" t="s">
        <v>49</v>
      </c>
      <c r="DR35" s="87"/>
      <c r="DS35" s="4">
        <v>1155.8900000000001</v>
      </c>
      <c r="DT35" s="4"/>
      <c r="DU35" s="4"/>
      <c r="DV35" s="4">
        <v>9181.49</v>
      </c>
      <c r="DW35" s="4">
        <v>269564.51</v>
      </c>
      <c r="DX35" s="4">
        <v>755.42</v>
      </c>
      <c r="DY35" s="4">
        <v>8199.91</v>
      </c>
      <c r="DZ35" s="155"/>
      <c r="EA35" s="4"/>
      <c r="EB35" s="4">
        <v>300000</v>
      </c>
      <c r="EC35" s="4"/>
      <c r="ED35" s="4"/>
      <c r="EE35" s="4"/>
      <c r="EF35" s="4"/>
      <c r="EG35" s="32">
        <v>315113.43</v>
      </c>
      <c r="EH35" s="4"/>
      <c r="EI35" s="4">
        <v>1653.81</v>
      </c>
      <c r="EJ35" s="4"/>
      <c r="EK35" s="74"/>
      <c r="EL35" s="4">
        <v>9828062.4199999999</v>
      </c>
      <c r="EM35" s="4"/>
      <c r="EN35" s="4">
        <v>54484.68</v>
      </c>
      <c r="EO35" s="4"/>
      <c r="EP35" s="4"/>
      <c r="EQ35" s="4">
        <v>334666.40999999997</v>
      </c>
      <c r="ER35" s="4"/>
      <c r="ES35" s="4">
        <v>107415.13</v>
      </c>
      <c r="ET35" s="4"/>
      <c r="EU35" s="155">
        <v>18204.900000000001</v>
      </c>
      <c r="EV35" s="4"/>
      <c r="EW35" s="4"/>
      <c r="EX35" s="4"/>
      <c r="EY35" s="4"/>
      <c r="EZ35" s="4">
        <v>413821.72</v>
      </c>
      <c r="FA35" s="4"/>
      <c r="FB35" s="4">
        <v>7218.69</v>
      </c>
      <c r="FC35" s="4"/>
      <c r="FD35" s="4">
        <v>1631.23</v>
      </c>
      <c r="FE35" s="4"/>
      <c r="FF35" s="4">
        <f>10171324.2+3943.44</f>
        <v>10175267.639999999</v>
      </c>
      <c r="FG35" s="4">
        <v>29443.34</v>
      </c>
      <c r="FH35" s="4"/>
      <c r="FI35" s="4">
        <f>386972.85+6748.12</f>
        <v>393720.97</v>
      </c>
      <c r="FJ35" s="4"/>
      <c r="FK35" s="4">
        <v>15792.61</v>
      </c>
      <c r="FL35" s="74"/>
      <c r="FM35" s="4">
        <v>133448.54999999999</v>
      </c>
      <c r="FN35" s="4">
        <v>13689.01</v>
      </c>
      <c r="FO35" s="4"/>
      <c r="FP35" s="155"/>
      <c r="FQ35" s="4"/>
      <c r="FR35" s="4"/>
      <c r="FS35" s="4">
        <v>4019.74</v>
      </c>
      <c r="FT35" s="4">
        <v>408730.07</v>
      </c>
      <c r="FU35" s="4">
        <v>2213.52</v>
      </c>
      <c r="FV35" s="4"/>
      <c r="FW35" s="4"/>
      <c r="FX35" s="4"/>
      <c r="FY35" s="4">
        <v>1339.2</v>
      </c>
      <c r="FZ35" s="102">
        <v>11012757.84</v>
      </c>
      <c r="GA35" s="4"/>
      <c r="GB35" s="4">
        <v>27441.66</v>
      </c>
      <c r="GC35" s="4">
        <v>409219.69</v>
      </c>
      <c r="GD35" s="4"/>
      <c r="GE35" s="4">
        <v>5879.16</v>
      </c>
      <c r="GF35" s="4"/>
      <c r="GG35" s="4">
        <v>2747.39</v>
      </c>
      <c r="GH35" s="4"/>
      <c r="GI35" s="4"/>
      <c r="GJ35" s="4">
        <v>5905.16</v>
      </c>
      <c r="GK35" s="4"/>
      <c r="GL35" s="155">
        <v>414841.48</v>
      </c>
      <c r="GM35" s="4"/>
      <c r="GN35" s="4"/>
      <c r="GO35" s="4"/>
      <c r="GP35" s="4">
        <v>5517.76</v>
      </c>
      <c r="GQ35" s="4">
        <v>1366.64</v>
      </c>
      <c r="GR35" s="4"/>
      <c r="GS35" s="4"/>
      <c r="GT35" s="4"/>
      <c r="GU35" s="102">
        <v>10846498.59</v>
      </c>
      <c r="GV35" s="4"/>
      <c r="GW35" s="4"/>
      <c r="GX35" s="4">
        <v>27548.77</v>
      </c>
      <c r="GY35" s="4">
        <v>130967.49</v>
      </c>
      <c r="GZ35" s="4"/>
      <c r="HA35" s="4">
        <v>12909.33</v>
      </c>
      <c r="HB35" s="4"/>
      <c r="HC35" s="4"/>
      <c r="HD35" s="155">
        <v>415748.79</v>
      </c>
      <c r="HE35" s="4"/>
      <c r="HF35" s="4"/>
      <c r="HG35" s="4"/>
      <c r="HH35" s="4"/>
      <c r="HI35" s="4"/>
      <c r="HJ35" s="4"/>
      <c r="HK35" s="4"/>
      <c r="HL35" s="4"/>
      <c r="HM35" s="4"/>
      <c r="HN35" s="130">
        <v>303940.03000000003</v>
      </c>
      <c r="HO35" s="74">
        <v>10892310.529999999</v>
      </c>
      <c r="HP35" s="4"/>
      <c r="HQ35" s="4">
        <v>50957</v>
      </c>
      <c r="HR35" s="4"/>
      <c r="HS35" s="4"/>
      <c r="HT35" s="4">
        <f>146077.02+49197.54</f>
        <v>195274.56</v>
      </c>
      <c r="HU35" s="4"/>
      <c r="HV35" s="4"/>
      <c r="HW35" s="4">
        <v>316801.78000000003</v>
      </c>
      <c r="HX35" s="4"/>
      <c r="HY35" s="4"/>
      <c r="HZ35" s="155"/>
      <c r="IA35" s="4"/>
      <c r="IB35" s="4"/>
      <c r="IC35" s="4"/>
      <c r="ID35" s="4">
        <v>435.76</v>
      </c>
      <c r="IE35" s="4"/>
      <c r="IF35" s="4"/>
      <c r="IG35" s="4">
        <v>242903.78</v>
      </c>
      <c r="IH35" s="102">
        <v>1797.77</v>
      </c>
      <c r="II35" s="4"/>
      <c r="IJ35" s="4">
        <v>10121238.060000001</v>
      </c>
      <c r="IK35" s="4">
        <v>23115.5</v>
      </c>
      <c r="IL35" s="4"/>
      <c r="IM35" s="4">
        <v>21633.69</v>
      </c>
      <c r="IN35" s="4"/>
      <c r="IO35" s="4">
        <v>5467.94</v>
      </c>
      <c r="IP35" s="4">
        <v>339787.51</v>
      </c>
      <c r="IQ35" s="4">
        <v>18855.39</v>
      </c>
      <c r="IR35" s="4"/>
      <c r="IS35" s="4"/>
      <c r="IT35" s="155">
        <v>5486.14</v>
      </c>
      <c r="IU35" s="4">
        <f t="shared" si="10"/>
        <v>134728874.73999995</v>
      </c>
    </row>
    <row r="36" spans="1:256" ht="14.1" customHeight="1">
      <c r="A36" s="4" t="s">
        <v>25</v>
      </c>
      <c r="B36" s="12"/>
      <c r="C36" s="155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155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155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155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155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155"/>
      <c r="DE36" s="87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87"/>
      <c r="DS36" s="4"/>
      <c r="DT36" s="4"/>
      <c r="DU36" s="4"/>
      <c r="DV36" s="4"/>
      <c r="DW36" s="4"/>
      <c r="DX36" s="4"/>
      <c r="DY36" s="4"/>
      <c r="DZ36" s="155"/>
      <c r="EA36" s="4"/>
      <c r="EB36" s="4"/>
      <c r="EC36" s="4"/>
      <c r="ED36" s="4"/>
      <c r="EE36" s="4"/>
      <c r="EF36" s="4"/>
      <c r="EG36" s="32"/>
      <c r="EH36" s="4"/>
      <c r="EI36" s="4"/>
      <c r="EJ36" s="4"/>
      <c r="EK36" s="74"/>
      <c r="EL36" s="4"/>
      <c r="EM36" s="4"/>
      <c r="EN36" s="4"/>
      <c r="EO36" s="4"/>
      <c r="EP36" s="4"/>
      <c r="EQ36" s="4"/>
      <c r="ER36" s="4"/>
      <c r="ES36" s="4"/>
      <c r="ET36" s="4"/>
      <c r="EU36" s="155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74"/>
      <c r="FM36" s="4"/>
      <c r="FN36" s="4"/>
      <c r="FO36" s="4"/>
      <c r="FP36" s="155"/>
      <c r="FQ36" s="4"/>
      <c r="FR36" s="4"/>
      <c r="FS36" s="4"/>
      <c r="FT36" s="4"/>
      <c r="FU36" s="4"/>
      <c r="FV36" s="4"/>
      <c r="FW36" s="4"/>
      <c r="FX36" s="4"/>
      <c r="FY36" s="4"/>
      <c r="FZ36" s="102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155"/>
      <c r="GM36" s="4"/>
      <c r="GN36" s="4"/>
      <c r="GO36" s="4"/>
      <c r="GP36" s="4"/>
      <c r="GQ36" s="4"/>
      <c r="GR36" s="4"/>
      <c r="GS36" s="4"/>
      <c r="GT36" s="4"/>
      <c r="GU36" s="102"/>
      <c r="GV36" s="4"/>
      <c r="GW36" s="4"/>
      <c r="GX36" s="4"/>
      <c r="GY36" s="4"/>
      <c r="GZ36" s="4"/>
      <c r="HA36" s="4"/>
      <c r="HB36" s="4"/>
      <c r="HC36" s="4"/>
      <c r="HD36" s="155"/>
      <c r="HE36" s="4"/>
      <c r="HF36" s="4"/>
      <c r="HG36" s="4"/>
      <c r="HH36" s="4"/>
      <c r="HI36" s="4"/>
      <c r="HJ36" s="4"/>
      <c r="HK36" s="4"/>
      <c r="HL36" s="4"/>
      <c r="HM36" s="4"/>
      <c r="HN36" s="130"/>
      <c r="HO36" s="7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155"/>
      <c r="IA36" s="4"/>
      <c r="IB36" s="4"/>
      <c r="IC36" s="4"/>
      <c r="ID36" s="4"/>
      <c r="IE36" s="4"/>
      <c r="IF36" s="4"/>
      <c r="IG36" s="4">
        <f>25000000+10000000+20000000+20000000+25000000</f>
        <v>100000000</v>
      </c>
      <c r="IH36" s="102"/>
      <c r="II36" s="4"/>
      <c r="IJ36" s="4"/>
      <c r="IK36" s="4"/>
      <c r="IL36" s="4">
        <f>15000000+10000000+10000000+10000000+5000000</f>
        <v>50000000</v>
      </c>
      <c r="IM36" s="4"/>
      <c r="IN36" s="4"/>
      <c r="IO36" s="4"/>
      <c r="IP36" s="4"/>
      <c r="IQ36" s="4"/>
      <c r="IR36" s="4"/>
      <c r="IS36" s="4"/>
      <c r="IT36" s="155"/>
      <c r="IU36" s="4">
        <f t="shared" si="10"/>
        <v>150000000</v>
      </c>
    </row>
    <row r="37" spans="1:256" ht="14.1" customHeight="1">
      <c r="A37" s="4" t="s">
        <v>26</v>
      </c>
      <c r="B37" s="12"/>
      <c r="C37" s="155"/>
      <c r="D37" s="4"/>
      <c r="E37" s="4">
        <v>14499.84</v>
      </c>
      <c r="F37" s="4"/>
      <c r="G37" s="4"/>
      <c r="H37" s="4">
        <v>200</v>
      </c>
      <c r="I37" s="4"/>
      <c r="J37" s="4"/>
      <c r="K37" s="4"/>
      <c r="L37" s="4"/>
      <c r="M37" s="4"/>
      <c r="N37" s="4"/>
      <c r="O37" s="4">
        <v>200</v>
      </c>
      <c r="P37" s="4"/>
      <c r="Q37" s="4"/>
      <c r="R37" s="4"/>
      <c r="S37" s="4"/>
      <c r="T37" s="4"/>
      <c r="U37" s="4"/>
      <c r="V37" s="4"/>
      <c r="W37" s="155"/>
      <c r="X37" s="4"/>
      <c r="Y37" s="4">
        <v>14499.84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155"/>
      <c r="AS37" s="4"/>
      <c r="AT37" s="4">
        <v>15199.84</v>
      </c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155"/>
      <c r="BO37" s="4"/>
      <c r="BP37" s="4"/>
      <c r="BQ37" s="4">
        <v>15199.84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155"/>
      <c r="CJ37" s="4"/>
      <c r="CK37" s="4">
        <v>13161.5</v>
      </c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155">
        <v>13160.3</v>
      </c>
      <c r="DE37" s="87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87"/>
      <c r="DS37" s="4"/>
      <c r="DT37" s="4"/>
      <c r="DU37" s="4"/>
      <c r="DV37" s="4"/>
      <c r="DW37" s="4"/>
      <c r="DX37" s="4"/>
      <c r="DY37" s="4"/>
      <c r="DZ37" s="155"/>
      <c r="EA37" s="4"/>
      <c r="EB37" s="4"/>
      <c r="EC37" s="4">
        <v>12444.5</v>
      </c>
      <c r="ED37" s="4"/>
      <c r="EE37" s="4"/>
      <c r="EF37" s="4"/>
      <c r="EG37" s="32"/>
      <c r="EH37" s="4"/>
      <c r="EI37" s="4"/>
      <c r="EJ37" s="4"/>
      <c r="EK37" s="74"/>
      <c r="EL37" s="4"/>
      <c r="EM37" s="4"/>
      <c r="EN37" s="4"/>
      <c r="EO37" s="4"/>
      <c r="EP37" s="4"/>
      <c r="EQ37" s="4"/>
      <c r="ER37" s="4"/>
      <c r="ES37" s="4"/>
      <c r="ET37" s="4"/>
      <c r="EU37" s="155"/>
      <c r="EV37" s="4"/>
      <c r="EW37" s="4">
        <v>12736.16</v>
      </c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74"/>
      <c r="FM37" s="4"/>
      <c r="FN37" s="4"/>
      <c r="FO37" s="4"/>
      <c r="FP37" s="155"/>
      <c r="FQ37" s="4"/>
      <c r="FR37" s="4">
        <v>11370.16</v>
      </c>
      <c r="FS37" s="4"/>
      <c r="FT37" s="4"/>
      <c r="FU37" s="4"/>
      <c r="FV37" s="4"/>
      <c r="FW37" s="4"/>
      <c r="FX37" s="4"/>
      <c r="FY37" s="4"/>
      <c r="FZ37" s="102"/>
      <c r="GA37" s="4"/>
      <c r="GB37" s="4"/>
      <c r="GC37" s="4">
        <v>200</v>
      </c>
      <c r="GD37" s="4"/>
      <c r="GE37" s="4"/>
      <c r="GF37" s="4"/>
      <c r="GG37" s="4"/>
      <c r="GH37" s="4"/>
      <c r="GI37" s="4"/>
      <c r="GJ37" s="4"/>
      <c r="GK37" s="4"/>
      <c r="GL37" s="155"/>
      <c r="GM37" s="4"/>
      <c r="GN37" s="4"/>
      <c r="GO37" s="4"/>
      <c r="GP37" s="4"/>
      <c r="GQ37" s="4"/>
      <c r="GR37" s="4"/>
      <c r="GS37" s="4"/>
      <c r="GT37" s="4"/>
      <c r="GU37" s="102"/>
      <c r="GV37" s="4"/>
      <c r="GW37" s="4"/>
      <c r="GX37" s="4"/>
      <c r="GY37" s="4"/>
      <c r="GZ37" s="4"/>
      <c r="HA37" s="4"/>
      <c r="HB37" s="4"/>
      <c r="HC37" s="4"/>
      <c r="HD37" s="155"/>
      <c r="HE37" s="4"/>
      <c r="HF37" s="4"/>
      <c r="HG37" s="4"/>
      <c r="HH37" s="4"/>
      <c r="HI37" s="4"/>
      <c r="HJ37" s="4"/>
      <c r="HK37" s="4"/>
      <c r="HL37" s="4"/>
      <c r="HM37" s="4"/>
      <c r="HN37" s="130"/>
      <c r="HO37" s="7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155"/>
      <c r="IA37" s="4"/>
      <c r="IB37" s="4"/>
      <c r="IC37" s="4"/>
      <c r="ID37" s="4"/>
      <c r="IE37" s="4"/>
      <c r="IF37" s="4"/>
      <c r="IG37" s="4"/>
      <c r="IH37" s="102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155"/>
      <c r="IU37" s="4">
        <f t="shared" si="10"/>
        <v>122871.98000000001</v>
      </c>
    </row>
    <row r="38" spans="1:256" ht="14.1" customHeight="1">
      <c r="A38" s="4" t="s">
        <v>77</v>
      </c>
      <c r="B38" s="4"/>
      <c r="C38" s="155"/>
      <c r="D38" s="4"/>
      <c r="E38" s="4">
        <v>90251.62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155"/>
      <c r="X38" s="4"/>
      <c r="Y38" s="4">
        <v>85644.5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155"/>
      <c r="AS38" s="4"/>
      <c r="AT38" s="4">
        <v>90291.5</v>
      </c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155"/>
      <c r="BO38" s="4"/>
      <c r="BP38" s="4"/>
      <c r="BQ38" s="4">
        <v>87733.5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155"/>
      <c r="CJ38" s="4"/>
      <c r="CK38" s="4">
        <v>89775</v>
      </c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155">
        <v>89158.5</v>
      </c>
      <c r="DE38" s="87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87"/>
      <c r="DS38" s="4"/>
      <c r="DT38" s="4"/>
      <c r="DU38" s="4"/>
      <c r="DV38" s="4"/>
      <c r="DW38" s="4"/>
      <c r="DX38" s="4"/>
      <c r="DY38" s="4"/>
      <c r="DZ38" s="155"/>
      <c r="EA38" s="4"/>
      <c r="EB38" s="4"/>
      <c r="EC38" s="4">
        <v>88543.5</v>
      </c>
      <c r="ED38" s="4"/>
      <c r="EE38" s="4"/>
      <c r="EF38" s="4"/>
      <c r="EG38" s="32"/>
      <c r="EH38" s="4"/>
      <c r="EI38" s="4"/>
      <c r="EJ38" s="4"/>
      <c r="EK38" s="74"/>
      <c r="EL38" s="4"/>
      <c r="EM38" s="4"/>
      <c r="EN38" s="4"/>
      <c r="EO38" s="4"/>
      <c r="EP38" s="4"/>
      <c r="EQ38" s="4"/>
      <c r="ER38" s="4"/>
      <c r="ES38" s="4"/>
      <c r="ET38" s="4"/>
      <c r="EU38" s="155"/>
      <c r="EV38" s="4"/>
      <c r="EW38" s="4">
        <v>87134.5</v>
      </c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74"/>
      <c r="FM38" s="4"/>
      <c r="FN38" s="4"/>
      <c r="FO38" s="4"/>
      <c r="FP38" s="155"/>
      <c r="FQ38" s="4"/>
      <c r="FR38" s="4">
        <v>82939.22</v>
      </c>
      <c r="FS38" s="4"/>
      <c r="FT38" s="4"/>
      <c r="FU38" s="4"/>
      <c r="FV38" s="4"/>
      <c r="FW38" s="4"/>
      <c r="FX38" s="4"/>
      <c r="FY38" s="4"/>
      <c r="FZ38" s="102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155"/>
      <c r="GM38" s="4"/>
      <c r="GN38" s="4"/>
      <c r="GO38" s="4"/>
      <c r="GP38" s="4"/>
      <c r="GQ38" s="4"/>
      <c r="GR38" s="4"/>
      <c r="GS38" s="4"/>
      <c r="GT38" s="4"/>
      <c r="GU38" s="102"/>
      <c r="GV38" s="4"/>
      <c r="GW38" s="4"/>
      <c r="GX38" s="4"/>
      <c r="GY38" s="4"/>
      <c r="GZ38" s="4"/>
      <c r="HA38" s="4"/>
      <c r="HB38" s="4"/>
      <c r="HC38" s="4"/>
      <c r="HD38" s="155"/>
      <c r="HE38" s="4"/>
      <c r="HF38" s="4"/>
      <c r="HG38" s="4"/>
      <c r="HH38" s="4"/>
      <c r="HI38" s="4"/>
      <c r="HJ38" s="4"/>
      <c r="HK38" s="4"/>
      <c r="HL38" s="4"/>
      <c r="HM38" s="4"/>
      <c r="HN38" s="130"/>
      <c r="HO38" s="7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155"/>
      <c r="IA38" s="4"/>
      <c r="IB38" s="4"/>
      <c r="IC38" s="4"/>
      <c r="ID38" s="4"/>
      <c r="IE38" s="4"/>
      <c r="IF38" s="4"/>
      <c r="IG38" s="4"/>
      <c r="IH38" s="102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155"/>
      <c r="IU38" s="4">
        <f t="shared" si="10"/>
        <v>791471.84</v>
      </c>
    </row>
    <row r="39" spans="1:256" ht="14.1" customHeight="1">
      <c r="A39" s="4" t="s">
        <v>55</v>
      </c>
      <c r="B39" s="4"/>
      <c r="C39" s="155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155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155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155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155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155"/>
      <c r="DE39" s="87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87"/>
      <c r="DS39" s="4"/>
      <c r="DT39" s="4"/>
      <c r="DU39" s="4"/>
      <c r="DV39" s="4"/>
      <c r="DW39" s="4"/>
      <c r="DX39" s="4"/>
      <c r="DY39" s="4"/>
      <c r="DZ39" s="155"/>
      <c r="EA39" s="4"/>
      <c r="EB39" s="4"/>
      <c r="EC39" s="4"/>
      <c r="ED39" s="4"/>
      <c r="EE39" s="4"/>
      <c r="EF39" s="4"/>
      <c r="EG39" s="32"/>
      <c r="EH39" s="4"/>
      <c r="EI39" s="4"/>
      <c r="EJ39" s="4"/>
      <c r="EK39" s="74"/>
      <c r="EL39" s="4"/>
      <c r="EM39" s="4"/>
      <c r="EN39" s="4"/>
      <c r="EO39" s="4"/>
      <c r="EP39" s="4"/>
      <c r="EQ39" s="4"/>
      <c r="ER39" s="4"/>
      <c r="ES39" s="4"/>
      <c r="ET39" s="4"/>
      <c r="EU39" s="155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74"/>
      <c r="FM39" s="4"/>
      <c r="FN39" s="4"/>
      <c r="FO39" s="4"/>
      <c r="FP39" s="155"/>
      <c r="FQ39" s="4"/>
      <c r="FR39" s="4"/>
      <c r="FS39" s="4"/>
      <c r="FT39" s="4"/>
      <c r="FU39" s="4"/>
      <c r="FV39" s="4"/>
      <c r="FW39" s="4"/>
      <c r="FX39" s="4"/>
      <c r="FY39" s="4"/>
      <c r="FZ39" s="102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155"/>
      <c r="GM39" s="4"/>
      <c r="GN39" s="4"/>
      <c r="GO39" s="4"/>
      <c r="GP39" s="4"/>
      <c r="GQ39" s="4"/>
      <c r="GR39" s="4"/>
      <c r="GS39" s="4"/>
      <c r="GT39" s="4"/>
      <c r="GU39" s="102"/>
      <c r="GV39" s="4"/>
      <c r="GW39" s="4"/>
      <c r="GX39" s="4"/>
      <c r="GY39" s="4"/>
      <c r="GZ39" s="4"/>
      <c r="HA39" s="4"/>
      <c r="HB39" s="4"/>
      <c r="HC39" s="4"/>
      <c r="HD39" s="155"/>
      <c r="HE39" s="4"/>
      <c r="HF39" s="4"/>
      <c r="HG39" s="4"/>
      <c r="HH39" s="4"/>
      <c r="HI39" s="4"/>
      <c r="HJ39" s="4"/>
      <c r="HK39" s="4"/>
      <c r="HL39" s="4"/>
      <c r="HM39" s="4"/>
      <c r="HN39" s="130"/>
      <c r="HO39" s="7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155"/>
      <c r="IA39" s="4"/>
      <c r="IB39" s="4"/>
      <c r="IC39" s="4"/>
      <c r="ID39" s="4"/>
      <c r="IE39" s="4"/>
      <c r="IF39" s="4"/>
      <c r="IG39" s="4"/>
      <c r="IH39" s="102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155"/>
      <c r="IU39" s="4">
        <f t="shared" si="10"/>
        <v>0</v>
      </c>
    </row>
    <row r="40" spans="1:256" ht="14.1" customHeight="1">
      <c r="A40" s="4" t="s">
        <v>11</v>
      </c>
      <c r="B40" s="4"/>
      <c r="C40" s="155"/>
      <c r="D40" s="4"/>
      <c r="E40" s="4">
        <v>220923.93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155"/>
      <c r="X40" s="4"/>
      <c r="Y40" s="4">
        <v>191876.99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155"/>
      <c r="AS40" s="4"/>
      <c r="AT40" s="4">
        <v>191484.79</v>
      </c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155"/>
      <c r="BO40" s="4"/>
      <c r="BP40" s="4">
        <v>192457.33</v>
      </c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155"/>
      <c r="CJ40" s="4"/>
      <c r="CK40" s="4">
        <v>192526.94</v>
      </c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155">
        <v>192915.42</v>
      </c>
      <c r="DE40" s="87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87"/>
      <c r="DS40" s="4"/>
      <c r="DT40" s="4"/>
      <c r="DU40" s="4"/>
      <c r="DV40" s="4"/>
      <c r="DW40" s="4"/>
      <c r="DX40" s="4"/>
      <c r="DY40" s="4"/>
      <c r="DZ40" s="155"/>
      <c r="EA40" s="4"/>
      <c r="EB40" s="4"/>
      <c r="EC40" s="4">
        <v>191793.36</v>
      </c>
      <c r="ED40" s="4"/>
      <c r="EE40" s="4"/>
      <c r="EF40" s="4"/>
      <c r="EG40" s="32"/>
      <c r="EH40" s="4"/>
      <c r="EI40" s="4"/>
      <c r="EJ40" s="4"/>
      <c r="EK40" s="74"/>
      <c r="EL40" s="4"/>
      <c r="EM40" s="4"/>
      <c r="EN40" s="4"/>
      <c r="EO40" s="4"/>
      <c r="EP40" s="4"/>
      <c r="EQ40" s="4"/>
      <c r="ER40" s="4"/>
      <c r="ES40" s="4"/>
      <c r="ET40" s="4"/>
      <c r="EU40" s="155"/>
      <c r="EV40" s="4">
        <v>194524.96</v>
      </c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74"/>
      <c r="FM40" s="4"/>
      <c r="FN40" s="4"/>
      <c r="FO40" s="4"/>
      <c r="FP40" s="155"/>
      <c r="FQ40" s="4"/>
      <c r="FR40" s="4">
        <v>213194.23</v>
      </c>
      <c r="FS40" s="4"/>
      <c r="FT40" s="4"/>
      <c r="FU40" s="4"/>
      <c r="FV40" s="4"/>
      <c r="FW40" s="4"/>
      <c r="FX40" s="4"/>
      <c r="FY40" s="4"/>
      <c r="FZ40" s="102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155"/>
      <c r="GM40" s="4">
        <v>249871.34</v>
      </c>
      <c r="GN40" s="4"/>
      <c r="GO40" s="4"/>
      <c r="GP40" s="4"/>
      <c r="GQ40" s="4"/>
      <c r="GR40" s="4"/>
      <c r="GS40" s="4"/>
      <c r="GT40" s="4"/>
      <c r="GU40" s="102"/>
      <c r="GV40" s="4"/>
      <c r="GW40" s="4"/>
      <c r="GX40" s="4"/>
      <c r="GY40" s="4"/>
      <c r="GZ40" s="4"/>
      <c r="HA40" s="4"/>
      <c r="HB40" s="4"/>
      <c r="HC40" s="4"/>
      <c r="HD40" s="155"/>
      <c r="HE40" s="4"/>
      <c r="HF40" s="4">
        <v>232016.76</v>
      </c>
      <c r="HG40" s="4"/>
      <c r="HH40" s="4"/>
      <c r="HI40" s="4"/>
      <c r="HJ40" s="4"/>
      <c r="HK40" s="4"/>
      <c r="HL40" s="4"/>
      <c r="HM40" s="4"/>
      <c r="HN40" s="130"/>
      <c r="HO40" s="7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155"/>
      <c r="IA40" s="4"/>
      <c r="IB40" s="4"/>
      <c r="IC40" s="4"/>
      <c r="ID40" s="4">
        <v>231223.81</v>
      </c>
      <c r="IE40" s="4"/>
      <c r="IF40" s="4"/>
      <c r="IG40" s="4"/>
      <c r="IH40" s="102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155"/>
      <c r="IU40" s="4">
        <f t="shared" si="10"/>
        <v>2494809.86</v>
      </c>
    </row>
    <row r="41" spans="1:256" ht="14.1" customHeight="1">
      <c r="A41" s="4" t="s">
        <v>52</v>
      </c>
      <c r="B41" s="4"/>
      <c r="C41" s="155"/>
      <c r="D41" s="4"/>
      <c r="E41" s="4">
        <v>86</v>
      </c>
      <c r="F41" s="4"/>
      <c r="G41" s="4"/>
      <c r="H41" s="4"/>
      <c r="I41" s="4"/>
      <c r="J41" s="4"/>
      <c r="K41" s="4"/>
      <c r="L41" s="4"/>
      <c r="M41" s="4">
        <v>150</v>
      </c>
      <c r="N41" s="4"/>
      <c r="O41" s="4"/>
      <c r="P41" s="4">
        <f>276.99+8000</f>
        <v>8276.99</v>
      </c>
      <c r="Q41" s="4"/>
      <c r="R41" s="4"/>
      <c r="S41" s="4"/>
      <c r="T41" s="4"/>
      <c r="U41" s="4"/>
      <c r="V41" s="4"/>
      <c r="W41" s="155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155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>
        <v>40</v>
      </c>
      <c r="BI41" s="4"/>
      <c r="BJ41" s="4"/>
      <c r="BK41" s="4"/>
      <c r="BL41" s="4">
        <v>30</v>
      </c>
      <c r="BM41" s="4"/>
      <c r="BN41" s="155">
        <f>38.16+62</f>
        <v>100.16</v>
      </c>
      <c r="BO41" s="4"/>
      <c r="BP41" s="4"/>
      <c r="BQ41" s="4"/>
      <c r="BR41" s="4"/>
      <c r="BS41" s="4"/>
      <c r="BT41" s="4">
        <v>179.76</v>
      </c>
      <c r="BU41" s="4"/>
      <c r="BV41" s="4">
        <v>688.88</v>
      </c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155"/>
      <c r="CJ41" s="4"/>
      <c r="CK41" s="4"/>
      <c r="CL41" s="4"/>
      <c r="CM41" s="4"/>
      <c r="CN41" s="4"/>
      <c r="CO41" s="4"/>
      <c r="CP41" s="4">
        <v>50</v>
      </c>
      <c r="CQ41" s="4"/>
      <c r="CR41" s="4"/>
      <c r="CS41" s="4"/>
      <c r="CT41" s="4"/>
      <c r="CU41" s="4">
        <v>16.350000000000001</v>
      </c>
      <c r="CV41" s="4"/>
      <c r="CW41" s="4"/>
      <c r="CX41" s="4"/>
      <c r="CY41" s="4"/>
      <c r="CZ41" s="4"/>
      <c r="DA41" s="4"/>
      <c r="DB41" s="4"/>
      <c r="DC41" s="4"/>
      <c r="DD41" s="155"/>
      <c r="DE41" s="87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87"/>
      <c r="DS41" s="4">
        <v>286.14</v>
      </c>
      <c r="DT41" s="4"/>
      <c r="DU41" s="4"/>
      <c r="DV41" s="4"/>
      <c r="DW41" s="4"/>
      <c r="DX41" s="4"/>
      <c r="DY41" s="4"/>
      <c r="DZ41" s="155"/>
      <c r="EA41" s="4"/>
      <c r="EB41" s="4"/>
      <c r="EC41" s="4"/>
      <c r="ED41" s="4"/>
      <c r="EE41" s="4"/>
      <c r="EF41" s="4"/>
      <c r="EG41" s="32"/>
      <c r="EH41" s="4"/>
      <c r="EI41" s="4"/>
      <c r="EJ41" s="4">
        <v>35.200000000000003</v>
      </c>
      <c r="EK41" s="74"/>
      <c r="EL41" s="4"/>
      <c r="EM41" s="4"/>
      <c r="EN41" s="4"/>
      <c r="EO41" s="4"/>
      <c r="EP41" s="4"/>
      <c r="EQ41" s="4"/>
      <c r="ER41" s="4">
        <v>83.52</v>
      </c>
      <c r="ES41" s="4"/>
      <c r="ET41" s="4"/>
      <c r="EU41" s="155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74">
        <f>799.57</f>
        <v>799.57</v>
      </c>
      <c r="FM41" s="4"/>
      <c r="FN41" s="4"/>
      <c r="FO41" s="4"/>
      <c r="FP41" s="155"/>
      <c r="FQ41" s="4"/>
      <c r="FR41" s="4"/>
      <c r="FS41" s="4"/>
      <c r="FT41" s="4"/>
      <c r="FU41" s="4"/>
      <c r="FV41" s="4"/>
      <c r="FW41" s="4"/>
      <c r="FX41" s="4"/>
      <c r="FY41" s="4"/>
      <c r="FZ41" s="102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155"/>
      <c r="GM41" s="4"/>
      <c r="GN41" s="4"/>
      <c r="GO41" s="4"/>
      <c r="GP41" s="4"/>
      <c r="GQ41" s="4"/>
      <c r="GR41" s="4"/>
      <c r="GS41" s="4"/>
      <c r="GT41" s="4"/>
      <c r="GU41" s="102"/>
      <c r="GV41" s="4"/>
      <c r="GW41" s="4">
        <v>4255.13</v>
      </c>
      <c r="GX41" s="4"/>
      <c r="GY41" s="4"/>
      <c r="GZ41" s="4"/>
      <c r="HA41" s="4"/>
      <c r="HB41" s="4"/>
      <c r="HC41" s="4"/>
      <c r="HD41" s="155"/>
      <c r="HE41" s="4"/>
      <c r="HF41" s="4"/>
      <c r="HG41" s="4">
        <v>54.9</v>
      </c>
      <c r="HH41" s="4">
        <v>813.1</v>
      </c>
      <c r="HI41" s="4"/>
      <c r="HJ41" s="4"/>
      <c r="HK41" s="4"/>
      <c r="HL41" s="4"/>
      <c r="HM41" s="4"/>
      <c r="HN41" s="130"/>
      <c r="HO41" s="74"/>
      <c r="HP41" s="4"/>
      <c r="HQ41" s="4"/>
      <c r="HR41" s="4">
        <v>946442.7</v>
      </c>
      <c r="HS41" s="4"/>
      <c r="HT41" s="4"/>
      <c r="HU41" s="4"/>
      <c r="HV41" s="4"/>
      <c r="HW41" s="4"/>
      <c r="HX41" s="4"/>
      <c r="HY41" s="4"/>
      <c r="HZ41" s="155"/>
      <c r="IA41" s="4"/>
      <c r="IB41" s="4"/>
      <c r="IC41" s="4"/>
      <c r="ID41" s="4"/>
      <c r="IE41" s="4"/>
      <c r="IF41" s="4"/>
      <c r="IG41" s="4">
        <v>9473.7999999999993</v>
      </c>
      <c r="IH41" s="102"/>
      <c r="II41" s="4"/>
      <c r="IJ41" s="4">
        <v>44.87</v>
      </c>
      <c r="IK41" s="4"/>
      <c r="IL41" s="4"/>
      <c r="IM41" s="4"/>
      <c r="IN41" s="4"/>
      <c r="IO41" s="4"/>
      <c r="IP41" s="4"/>
      <c r="IQ41" s="4"/>
      <c r="IR41" s="4"/>
      <c r="IS41" s="4"/>
      <c r="IT41" s="155"/>
      <c r="IU41" s="4">
        <f t="shared" si="10"/>
        <v>971907.07</v>
      </c>
    </row>
    <row r="42" spans="1:256" ht="14.1" customHeight="1">
      <c r="A42" s="4" t="s">
        <v>12</v>
      </c>
      <c r="B42" s="4"/>
      <c r="C42" s="155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>
        <v>329341.45</v>
      </c>
      <c r="W42" s="155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155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155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155">
        <v>266345.77</v>
      </c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155"/>
      <c r="DE42" s="87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87"/>
      <c r="DS42" s="4"/>
      <c r="DT42" s="4"/>
      <c r="DU42" s="4"/>
      <c r="DV42" s="4"/>
      <c r="DW42" s="4"/>
      <c r="DX42" s="4"/>
      <c r="DY42" s="4"/>
      <c r="DZ42" s="155"/>
      <c r="EA42" s="4"/>
      <c r="EB42" s="4"/>
      <c r="EC42" s="4"/>
      <c r="ED42" s="4"/>
      <c r="EE42" s="4"/>
      <c r="EF42" s="4"/>
      <c r="EG42" s="32"/>
      <c r="EH42" s="4"/>
      <c r="EI42" s="4"/>
      <c r="EJ42" s="4"/>
      <c r="EK42" s="74"/>
      <c r="EL42" s="4"/>
      <c r="EM42" s="4"/>
      <c r="EN42" s="4"/>
      <c r="EO42" s="4"/>
      <c r="EP42" s="4"/>
      <c r="EQ42" s="4"/>
      <c r="ER42" s="4"/>
      <c r="ES42" s="4"/>
      <c r="ET42" s="4"/>
      <c r="EU42" s="155">
        <v>169291.66</v>
      </c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74"/>
      <c r="FM42" s="4"/>
      <c r="FN42" s="4"/>
      <c r="FO42" s="4"/>
      <c r="FP42" s="155"/>
      <c r="FQ42" s="4"/>
      <c r="FR42" s="4"/>
      <c r="FS42" s="4"/>
      <c r="FT42" s="4"/>
      <c r="FU42" s="4"/>
      <c r="FV42" s="4"/>
      <c r="FW42" s="4"/>
      <c r="FX42" s="4"/>
      <c r="FY42" s="4"/>
      <c r="FZ42" s="102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155"/>
      <c r="GM42" s="4"/>
      <c r="GN42" s="4"/>
      <c r="GO42" s="4"/>
      <c r="GP42" s="4"/>
      <c r="GQ42" s="4"/>
      <c r="GR42" s="4"/>
      <c r="GS42" s="4"/>
      <c r="GT42" s="4"/>
      <c r="GU42" s="102"/>
      <c r="GV42" s="4"/>
      <c r="GW42" s="4"/>
      <c r="GX42" s="4"/>
      <c r="GY42" s="4"/>
      <c r="GZ42" s="4"/>
      <c r="HA42" s="4"/>
      <c r="HB42" s="4"/>
      <c r="HC42" s="4"/>
      <c r="HD42" s="155"/>
      <c r="HE42" s="4"/>
      <c r="HF42" s="4"/>
      <c r="HG42" s="4"/>
      <c r="HH42" s="4"/>
      <c r="HI42" s="4"/>
      <c r="HJ42" s="4"/>
      <c r="HK42" s="4"/>
      <c r="HL42" s="4"/>
      <c r="HM42" s="4"/>
      <c r="HN42" s="130"/>
      <c r="HO42" s="7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155"/>
      <c r="IA42" s="4"/>
      <c r="IB42" s="4"/>
      <c r="IC42" s="4"/>
      <c r="ID42" s="4"/>
      <c r="IE42" s="4"/>
      <c r="IF42" s="4"/>
      <c r="IG42" s="4"/>
      <c r="IH42" s="102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155"/>
      <c r="IU42" s="4">
        <f t="shared" si="10"/>
        <v>764978.88</v>
      </c>
    </row>
    <row r="43" spans="1:256" ht="14.1" customHeight="1">
      <c r="A43" s="4" t="s">
        <v>41</v>
      </c>
      <c r="B43" s="4"/>
      <c r="C43" s="155">
        <v>13</v>
      </c>
      <c r="D43" s="4">
        <v>456</v>
      </c>
      <c r="E43" s="4">
        <f>20+7.5</f>
        <v>27.5</v>
      </c>
      <c r="F43" s="4"/>
      <c r="G43" s="4"/>
      <c r="H43" s="4">
        <f>100000000+75000000+50000000+75000000+50000000+50000000</f>
        <v>400000000</v>
      </c>
      <c r="I43" s="4"/>
      <c r="J43" s="4"/>
      <c r="K43" s="4"/>
      <c r="L43" s="4">
        <v>15667</v>
      </c>
      <c r="M43" s="4">
        <f>742</f>
        <v>742</v>
      </c>
      <c r="N43" s="4"/>
      <c r="O43" s="4"/>
      <c r="P43" s="4"/>
      <c r="Q43" s="4">
        <v>316000</v>
      </c>
      <c r="R43" s="4"/>
      <c r="S43" s="4"/>
      <c r="T43" s="4">
        <v>24.3</v>
      </c>
      <c r="U43" s="4"/>
      <c r="V43" s="4"/>
      <c r="W43" s="155">
        <v>1510.59</v>
      </c>
      <c r="X43" s="4">
        <f>21.9+7.5</f>
        <v>29.4</v>
      </c>
      <c r="Y43" s="4">
        <v>103224.17</v>
      </c>
      <c r="Z43" s="4"/>
      <c r="AA43" s="4"/>
      <c r="AB43" s="4"/>
      <c r="AC43" s="4">
        <v>78.75</v>
      </c>
      <c r="AD43" s="4"/>
      <c r="AE43" s="4"/>
      <c r="AF43" s="4"/>
      <c r="AG43" s="4"/>
      <c r="AH43" s="4">
        <v>2778.43</v>
      </c>
      <c r="AI43" s="4">
        <v>123036.53</v>
      </c>
      <c r="AJ43" s="4"/>
      <c r="AK43" s="4"/>
      <c r="AL43" s="4"/>
      <c r="AM43" s="4">
        <v>20</v>
      </c>
      <c r="AN43" s="4"/>
      <c r="AO43" s="4"/>
      <c r="AP43" s="4">
        <f>10+195</f>
        <v>205</v>
      </c>
      <c r="AQ43" s="4"/>
      <c r="AR43" s="155"/>
      <c r="AS43" s="4"/>
      <c r="AT43" s="4">
        <v>101385.95</v>
      </c>
      <c r="AU43" s="4">
        <f>57.65+7.5</f>
        <v>65.150000000000006</v>
      </c>
      <c r="AV43" s="4">
        <v>20</v>
      </c>
      <c r="AW43" s="4"/>
      <c r="AX43" s="4"/>
      <c r="AY43" s="4"/>
      <c r="AZ43" s="4"/>
      <c r="BA43" s="4">
        <f>990+560</f>
        <v>1550</v>
      </c>
      <c r="BB43" s="4">
        <v>13</v>
      </c>
      <c r="BC43" s="4"/>
      <c r="BD43" s="4">
        <f>4949756.63</f>
        <v>4949756.63</v>
      </c>
      <c r="BE43" s="4"/>
      <c r="BF43" s="4"/>
      <c r="BG43" s="4"/>
      <c r="BH43" s="4">
        <f>660</f>
        <v>660</v>
      </c>
      <c r="BI43" s="4"/>
      <c r="BJ43" s="4">
        <v>763</v>
      </c>
      <c r="BK43" s="4">
        <v>727.98</v>
      </c>
      <c r="BL43" s="4"/>
      <c r="BM43" s="4">
        <v>3</v>
      </c>
      <c r="BN43" s="155">
        <f>27310181.66</f>
        <v>27310181.66</v>
      </c>
      <c r="BO43" s="4"/>
      <c r="BP43" s="4">
        <v>3</v>
      </c>
      <c r="BQ43" s="4">
        <f>137.3+8.5</f>
        <v>145.80000000000001</v>
      </c>
      <c r="BR43" s="4">
        <v>1457.5</v>
      </c>
      <c r="BS43" s="4">
        <f>1950.47+8858.54</f>
        <v>10809.01</v>
      </c>
      <c r="BT43" s="4"/>
      <c r="BU43" s="4"/>
      <c r="BV43" s="4"/>
      <c r="BW43" s="4">
        <f>7619.29</f>
        <v>7619.29</v>
      </c>
      <c r="BX43" s="4">
        <f>817.82</f>
        <v>817.82</v>
      </c>
      <c r="BY43" s="4"/>
      <c r="BZ43" s="4"/>
      <c r="CA43" s="4"/>
      <c r="CB43" s="4"/>
      <c r="CC43" s="4"/>
      <c r="CD43" s="4"/>
      <c r="CE43" s="4"/>
      <c r="CF43" s="4"/>
      <c r="CG43" s="4"/>
      <c r="CH43" s="4">
        <f>69+23.65</f>
        <v>92.65</v>
      </c>
      <c r="CI43" s="155">
        <f>883.07+273.14</f>
        <v>1156.21</v>
      </c>
      <c r="CJ43" s="4"/>
      <c r="CK43" s="4">
        <f>73.4+61.34</f>
        <v>134.74</v>
      </c>
      <c r="CL43" s="4"/>
      <c r="CM43" s="4">
        <f>595</f>
        <v>595</v>
      </c>
      <c r="CN43" s="4">
        <f>210.86+25</f>
        <v>235.86</v>
      </c>
      <c r="CO43" s="4"/>
      <c r="CP43" s="4">
        <v>5</v>
      </c>
      <c r="CQ43" s="4"/>
      <c r="CR43" s="4">
        <f>1145.71+4749.36+3210.44+5.03</f>
        <v>9110.5400000000009</v>
      </c>
      <c r="CS43" s="4"/>
      <c r="CT43" s="4">
        <v>2578.64</v>
      </c>
      <c r="CU43" s="4">
        <v>16303</v>
      </c>
      <c r="CV43" s="4">
        <v>33.6</v>
      </c>
      <c r="CW43" s="4">
        <f>397.5+300+20185.61+216497.17+132</f>
        <v>237512.28000000003</v>
      </c>
      <c r="CX43" s="4">
        <v>1800</v>
      </c>
      <c r="CY43" s="4"/>
      <c r="CZ43" s="4"/>
      <c r="DA43" s="4"/>
      <c r="DB43" s="4"/>
      <c r="DC43" s="4">
        <v>72</v>
      </c>
      <c r="DD43" s="155">
        <f>59282.97+100+80.95+80.95</f>
        <v>59544.869999999995</v>
      </c>
      <c r="DE43" s="87">
        <v>71.8</v>
      </c>
      <c r="DF43" s="4"/>
      <c r="DG43" s="4">
        <f>29.97+7.5</f>
        <v>37.47</v>
      </c>
      <c r="DH43" s="4"/>
      <c r="DI43" s="4"/>
      <c r="DJ43" s="4"/>
      <c r="DK43" s="4"/>
      <c r="DL43" s="4"/>
      <c r="DM43" s="4"/>
      <c r="DN43" s="4">
        <v>1505.81</v>
      </c>
      <c r="DO43" s="4"/>
      <c r="DP43" s="4"/>
      <c r="DQ43" s="4"/>
      <c r="DR43" s="87">
        <f>19737.37</f>
        <v>19737.37</v>
      </c>
      <c r="DS43" s="4"/>
      <c r="DT43" s="4"/>
      <c r="DU43" s="4">
        <f>500000+438.8</f>
        <v>500438.8</v>
      </c>
      <c r="DV43" s="4"/>
      <c r="DW43" s="4">
        <f>500000</f>
        <v>500000</v>
      </c>
      <c r="DX43" s="4">
        <v>3</v>
      </c>
      <c r="DY43" s="4"/>
      <c r="DZ43" s="155">
        <f>300+300</f>
        <v>600</v>
      </c>
      <c r="EA43" s="4">
        <v>24</v>
      </c>
      <c r="EB43" s="4">
        <f>20+7.5</f>
        <v>27.5</v>
      </c>
      <c r="EC43" s="4"/>
      <c r="ED43" s="4"/>
      <c r="EE43" s="4"/>
      <c r="EF43" s="4"/>
      <c r="EG43" s="32"/>
      <c r="EH43" s="4">
        <v>5</v>
      </c>
      <c r="EI43" s="4">
        <v>426.15</v>
      </c>
      <c r="EJ43" s="4"/>
      <c r="EK43" s="74">
        <v>1142.72</v>
      </c>
      <c r="EL43" s="4"/>
      <c r="EM43" s="4">
        <v>1184912.32</v>
      </c>
      <c r="EN43" s="4"/>
      <c r="EO43" s="4">
        <f>200000+25</f>
        <v>200025</v>
      </c>
      <c r="EP43" s="4"/>
      <c r="EQ43" s="4"/>
      <c r="ER43" s="4">
        <v>11652</v>
      </c>
      <c r="ES43" s="4"/>
      <c r="ET43" s="4"/>
      <c r="EU43" s="155"/>
      <c r="EV43" s="4"/>
      <c r="EW43" s="4">
        <f>20+7.5</f>
        <v>27.5</v>
      </c>
      <c r="EX43" s="4"/>
      <c r="EY43" s="4"/>
      <c r="EZ43" s="4">
        <v>48061.81</v>
      </c>
      <c r="FA43" s="4"/>
      <c r="FB43" s="4"/>
      <c r="FC43" s="4">
        <f>4774.73</f>
        <v>4774.7299999999996</v>
      </c>
      <c r="FD43" s="4"/>
      <c r="FE43" s="4">
        <v>16</v>
      </c>
      <c r="FF43" s="4">
        <v>686.05</v>
      </c>
      <c r="FG43" s="4"/>
      <c r="FH43" s="4"/>
      <c r="FI43" s="4"/>
      <c r="FJ43" s="4"/>
      <c r="FK43" s="4"/>
      <c r="FL43" s="74"/>
      <c r="FM43" s="4"/>
      <c r="FN43" s="4"/>
      <c r="FO43" s="4">
        <f>367989.6+39496.27</f>
        <v>407485.87</v>
      </c>
      <c r="FP43" s="155">
        <f>27514.92+450</f>
        <v>27964.92</v>
      </c>
      <c r="FQ43" s="4"/>
      <c r="FR43" s="4">
        <v>25278.58</v>
      </c>
      <c r="FS43" s="4">
        <f>20+7.5+250000</f>
        <v>250027.5</v>
      </c>
      <c r="FT43" s="4"/>
      <c r="FU43" s="4">
        <v>250000</v>
      </c>
      <c r="FV43" s="4">
        <v>23893.94</v>
      </c>
      <c r="FW43" s="4">
        <v>23.7</v>
      </c>
      <c r="FX43" s="4"/>
      <c r="FY43" s="4"/>
      <c r="FZ43" s="102">
        <v>75000000</v>
      </c>
      <c r="GA43" s="4"/>
      <c r="GB43" s="4"/>
      <c r="GC43" s="4"/>
      <c r="GD43" s="4"/>
      <c r="GE43" s="4"/>
      <c r="GF43" s="4"/>
      <c r="GG43" s="4" t="s">
        <v>49</v>
      </c>
      <c r="GH43" s="4">
        <v>0</v>
      </c>
      <c r="GI43" s="4"/>
      <c r="GJ43" s="4">
        <v>115.25</v>
      </c>
      <c r="GK43" s="4">
        <v>6</v>
      </c>
      <c r="GL43" s="155">
        <f>62742.58</f>
        <v>62742.58</v>
      </c>
      <c r="GM43" s="4">
        <v>27.5</v>
      </c>
      <c r="GN43" s="4"/>
      <c r="GO43" s="4"/>
      <c r="GP43" s="4">
        <f>164.31+8956</f>
        <v>9120.31</v>
      </c>
      <c r="GQ43" s="4"/>
      <c r="GR43" s="4">
        <v>70.430000000000007</v>
      </c>
      <c r="GS43" s="4"/>
      <c r="GT43" s="4"/>
      <c r="GU43" s="102">
        <v>2895.81</v>
      </c>
      <c r="GV43" s="4"/>
      <c r="GW43" s="4">
        <v>1000</v>
      </c>
      <c r="GX43" s="4"/>
      <c r="GY43" s="4">
        <v>181.79</v>
      </c>
      <c r="GZ43" s="4"/>
      <c r="HA43" s="4"/>
      <c r="HB43" s="4"/>
      <c r="HC43" s="4"/>
      <c r="HD43" s="155">
        <f>31.25+439.92</f>
        <v>471.17</v>
      </c>
      <c r="HE43" s="4"/>
      <c r="HF43" s="4"/>
      <c r="HG43" s="4">
        <f>20+7.5</f>
        <v>27.5</v>
      </c>
      <c r="HH43" s="4"/>
      <c r="HI43" s="4"/>
      <c r="HJ43" s="4"/>
      <c r="HK43" s="4">
        <v>18</v>
      </c>
      <c r="HL43" s="4"/>
      <c r="HM43" s="4">
        <f>10+76.05</f>
        <v>86.05</v>
      </c>
      <c r="HN43" s="130"/>
      <c r="HO43" s="74">
        <f>1300000+10</f>
        <v>1300010</v>
      </c>
      <c r="HP43" s="4"/>
      <c r="HQ43" s="4"/>
      <c r="HR43" s="4"/>
      <c r="HS43" s="4">
        <v>59451.79</v>
      </c>
      <c r="HT43" s="4"/>
      <c r="HU43" s="4"/>
      <c r="HV43" s="4"/>
      <c r="HW43" s="4"/>
      <c r="HX43" s="4">
        <v>742</v>
      </c>
      <c r="HY43" s="4"/>
      <c r="HZ43" s="155"/>
      <c r="IA43" s="4"/>
      <c r="IB43" s="4">
        <f>20+7.5</f>
        <v>27.5</v>
      </c>
      <c r="IC43" s="4"/>
      <c r="ID43" s="4">
        <v>60</v>
      </c>
      <c r="IE43" s="4"/>
      <c r="IF43" s="4">
        <f>68688.03+3</f>
        <v>68691.03</v>
      </c>
      <c r="IG43" s="4"/>
      <c r="IH43" s="102"/>
      <c r="II43" s="4"/>
      <c r="IJ43" s="4"/>
      <c r="IK43" s="4"/>
      <c r="IL43" s="4"/>
      <c r="IM43" s="4"/>
      <c r="IN43" s="4">
        <v>2092095.3</v>
      </c>
      <c r="IO43" s="4"/>
      <c r="IP43" s="4"/>
      <c r="IQ43" s="4">
        <v>5000</v>
      </c>
      <c r="IR43" s="4"/>
      <c r="IS43" s="4"/>
      <c r="IT43" s="155">
        <v>81641.440000000002</v>
      </c>
      <c r="IU43" s="4">
        <f t="shared" si="10"/>
        <v>515422283.84000009</v>
      </c>
    </row>
    <row r="44" spans="1:256" ht="14.1" customHeight="1">
      <c r="A44" s="4" t="s">
        <v>44</v>
      </c>
      <c r="B44" s="4"/>
      <c r="C44" s="155">
        <v>611084.66</v>
      </c>
      <c r="D44" s="4">
        <v>765434.01</v>
      </c>
      <c r="E44" s="4">
        <v>3817576.95</v>
      </c>
      <c r="F44" s="4">
        <v>776622.67</v>
      </c>
      <c r="G44" s="4">
        <v>1543938.84</v>
      </c>
      <c r="H44" s="4">
        <v>800349.39</v>
      </c>
      <c r="I44" s="4">
        <v>2107758.37</v>
      </c>
      <c r="J44" s="4">
        <v>1154122.3</v>
      </c>
      <c r="K44" s="4">
        <v>3711712.23</v>
      </c>
      <c r="L44" s="4">
        <v>738955.99</v>
      </c>
      <c r="M44" s="4">
        <v>1183066.6599999999</v>
      </c>
      <c r="N44" s="4">
        <v>639954.44999999995</v>
      </c>
      <c r="O44" s="4">
        <v>3122410.75</v>
      </c>
      <c r="P44" s="4">
        <v>1556600</v>
      </c>
      <c r="Q44" s="4">
        <v>6697202.0599999996</v>
      </c>
      <c r="R44" s="4">
        <v>930761.56</v>
      </c>
      <c r="S44" s="4">
        <v>2950421.35</v>
      </c>
      <c r="T44" s="4">
        <v>1342746.27</v>
      </c>
      <c r="U44" s="4">
        <v>2688550.71</v>
      </c>
      <c r="V44" s="4">
        <v>725125.63</v>
      </c>
      <c r="W44" s="155">
        <v>826630.92</v>
      </c>
      <c r="X44" s="4">
        <v>1339070.6000000001</v>
      </c>
      <c r="Y44" s="4">
        <v>1655640.94</v>
      </c>
      <c r="Z44" s="4">
        <v>4302609.22</v>
      </c>
      <c r="AA44" s="4">
        <v>414580.93</v>
      </c>
      <c r="AB44" s="4">
        <v>609976.85</v>
      </c>
      <c r="AC44" s="4">
        <v>4793218.26</v>
      </c>
      <c r="AD44" s="4">
        <v>1671319.32</v>
      </c>
      <c r="AE44" s="4">
        <v>1140658.18</v>
      </c>
      <c r="AF44" s="4">
        <v>766807.12</v>
      </c>
      <c r="AG44" s="4">
        <v>834142.57</v>
      </c>
      <c r="AH44" s="4">
        <v>548668.35</v>
      </c>
      <c r="AI44" s="4">
        <v>910766.1</v>
      </c>
      <c r="AJ44" s="4">
        <v>2024850.68</v>
      </c>
      <c r="AK44" s="4">
        <v>159844.53</v>
      </c>
      <c r="AL44" s="4">
        <v>674376.21</v>
      </c>
      <c r="AM44" s="4">
        <v>1070013.96</v>
      </c>
      <c r="AN44" s="4">
        <v>486263.45</v>
      </c>
      <c r="AO44" s="4">
        <v>3460478.87</v>
      </c>
      <c r="AP44" s="4">
        <v>1135479.17</v>
      </c>
      <c r="AQ44" s="4">
        <v>2233382.71</v>
      </c>
      <c r="AR44" s="155">
        <v>2158287.85</v>
      </c>
      <c r="AS44" s="4">
        <v>1660689</v>
      </c>
      <c r="AT44" s="4">
        <v>794806.14</v>
      </c>
      <c r="AU44" s="4">
        <v>2330408.6800000002</v>
      </c>
      <c r="AV44" s="4">
        <v>3942149.25</v>
      </c>
      <c r="AW44" s="4">
        <v>4320561.63</v>
      </c>
      <c r="AX44" s="4">
        <v>631979.31000000006</v>
      </c>
      <c r="AY44" s="4">
        <v>1963618.18</v>
      </c>
      <c r="AZ44" s="4">
        <v>700256.9</v>
      </c>
      <c r="BA44" s="4">
        <v>4636395.08</v>
      </c>
      <c r="BB44" s="4">
        <v>3331576.25</v>
      </c>
      <c r="BC44" s="4">
        <v>2319666.64</v>
      </c>
      <c r="BD44" s="4">
        <v>1826187.59</v>
      </c>
      <c r="BE44" s="4">
        <v>2377880.54</v>
      </c>
      <c r="BF44" s="4">
        <v>670839.17000000004</v>
      </c>
      <c r="BG44" s="4">
        <v>1820704.39</v>
      </c>
      <c r="BH44" s="4">
        <v>1357163.87</v>
      </c>
      <c r="BI44" s="4">
        <v>1558735.29</v>
      </c>
      <c r="BJ44" s="4">
        <v>3621268.98</v>
      </c>
      <c r="BK44" s="4">
        <v>697708.75</v>
      </c>
      <c r="BL44" s="4">
        <v>5250430.17</v>
      </c>
      <c r="BM44" s="4">
        <v>1483422.25</v>
      </c>
      <c r="BN44" s="155">
        <v>760250.87</v>
      </c>
      <c r="BO44" s="4">
        <v>658027.68000000005</v>
      </c>
      <c r="BP44" s="4">
        <v>403852.22</v>
      </c>
      <c r="BQ44" s="4">
        <v>2705066.54</v>
      </c>
      <c r="BR44" s="4">
        <v>584621.22</v>
      </c>
      <c r="BS44" s="4">
        <v>990405.04</v>
      </c>
      <c r="BT44" s="4">
        <v>918887.55</v>
      </c>
      <c r="BU44" s="4">
        <v>702665.82</v>
      </c>
      <c r="BV44" s="4">
        <v>5734573.71</v>
      </c>
      <c r="BW44" s="4">
        <v>699598.97</v>
      </c>
      <c r="BX44" s="4">
        <v>772893.7</v>
      </c>
      <c r="BY44" s="4">
        <v>1425588.81</v>
      </c>
      <c r="BZ44" s="4">
        <v>2701815.5</v>
      </c>
      <c r="CA44" s="4">
        <v>6953492.8399999999</v>
      </c>
      <c r="CB44" s="4">
        <v>1334487.6599999999</v>
      </c>
      <c r="CC44" s="4">
        <v>2481940.7200000002</v>
      </c>
      <c r="CD44" s="4">
        <v>1064427.79</v>
      </c>
      <c r="CE44" s="4">
        <v>857268.13</v>
      </c>
      <c r="CF44" s="4">
        <v>5419600.1100000003</v>
      </c>
      <c r="CG44" s="4">
        <v>1491918.82</v>
      </c>
      <c r="CH44" s="4">
        <v>1210821.31</v>
      </c>
      <c r="CI44" s="155">
        <v>552138.94999999995</v>
      </c>
      <c r="CJ44" s="4">
        <v>3102725.22</v>
      </c>
      <c r="CK44" s="4">
        <v>2720463.33</v>
      </c>
      <c r="CL44" s="4">
        <v>4881054.67</v>
      </c>
      <c r="CM44" s="4">
        <v>620815.31999999995</v>
      </c>
      <c r="CN44" s="4">
        <v>5461732.7599999998</v>
      </c>
      <c r="CO44" s="4">
        <v>2143886.37</v>
      </c>
      <c r="CP44" s="4">
        <v>2192737.63</v>
      </c>
      <c r="CQ44" s="4">
        <v>1226424.6599999999</v>
      </c>
      <c r="CR44" s="4">
        <v>975490.5</v>
      </c>
      <c r="CS44" s="4">
        <v>1678969.15</v>
      </c>
      <c r="CT44" s="4">
        <v>980994.35</v>
      </c>
      <c r="CU44" s="4">
        <v>1421661.18</v>
      </c>
      <c r="CV44" s="4">
        <v>2307799.0499999998</v>
      </c>
      <c r="CW44" s="4">
        <v>2231195.09</v>
      </c>
      <c r="CX44" s="4">
        <v>2304114.5699999998</v>
      </c>
      <c r="CY44" s="4">
        <v>4990861.46</v>
      </c>
      <c r="CZ44" s="4">
        <v>2179350.85</v>
      </c>
      <c r="DA44" s="4">
        <v>1701388.08</v>
      </c>
      <c r="DB44" s="4">
        <v>4553734.1100000003</v>
      </c>
      <c r="DC44" s="4">
        <v>3877515.89</v>
      </c>
      <c r="DD44" s="155">
        <v>3360974.06</v>
      </c>
      <c r="DE44" s="87">
        <v>1385534.83</v>
      </c>
      <c r="DF44" s="4">
        <v>1972941.46</v>
      </c>
      <c r="DG44" s="4">
        <v>486056.32</v>
      </c>
      <c r="DH44" s="4">
        <v>2530412.12</v>
      </c>
      <c r="DI44" s="4">
        <v>1779200.26</v>
      </c>
      <c r="DJ44" s="4">
        <v>283062.01</v>
      </c>
      <c r="DK44" s="4">
        <v>561058.29</v>
      </c>
      <c r="DL44" s="4">
        <v>63847.18</v>
      </c>
      <c r="DM44" s="4">
        <v>464780.52</v>
      </c>
      <c r="DN44" s="4">
        <v>124619.88</v>
      </c>
      <c r="DO44" s="4">
        <v>790943.5</v>
      </c>
      <c r="DP44" s="4">
        <v>167398.63</v>
      </c>
      <c r="DQ44" s="4">
        <v>211679.49</v>
      </c>
      <c r="DR44" s="87">
        <v>250638.37</v>
      </c>
      <c r="DS44" s="4">
        <v>794104.62</v>
      </c>
      <c r="DT44" s="4">
        <v>904800.13</v>
      </c>
      <c r="DU44" s="4">
        <v>1334562.94</v>
      </c>
      <c r="DV44" s="4">
        <v>1486465.25</v>
      </c>
      <c r="DW44" s="4">
        <v>1676533.89</v>
      </c>
      <c r="DX44" s="4">
        <v>724639.02</v>
      </c>
      <c r="DY44" s="4">
        <v>624922.07999999996</v>
      </c>
      <c r="DZ44" s="155">
        <v>4909178.76</v>
      </c>
      <c r="EA44" s="4">
        <v>1541239.6</v>
      </c>
      <c r="EB44" s="4">
        <v>3340527.16</v>
      </c>
      <c r="EC44" s="4">
        <v>1755278.74</v>
      </c>
      <c r="ED44" s="4">
        <v>1328966.1599999999</v>
      </c>
      <c r="EE44" s="4">
        <v>881855.62</v>
      </c>
      <c r="EF44" s="4">
        <v>2531796.09</v>
      </c>
      <c r="EG44" s="32">
        <v>611924.43000000005</v>
      </c>
      <c r="EH44" s="4">
        <v>286115.53000000003</v>
      </c>
      <c r="EI44" s="4">
        <v>620200.68000000005</v>
      </c>
      <c r="EJ44" s="4">
        <v>1548137.56</v>
      </c>
      <c r="EK44" s="74">
        <v>2521337.38</v>
      </c>
      <c r="EL44" s="4">
        <v>1668898.17</v>
      </c>
      <c r="EM44" s="4">
        <v>337731.85</v>
      </c>
      <c r="EN44" s="4">
        <v>502965.99</v>
      </c>
      <c r="EO44" s="4">
        <v>671303.93</v>
      </c>
      <c r="EP44" s="4">
        <v>892815.21</v>
      </c>
      <c r="EQ44" s="4">
        <v>4777642.8</v>
      </c>
      <c r="ER44" s="4">
        <v>215855.19</v>
      </c>
      <c r="ES44" s="4">
        <v>1048571.83</v>
      </c>
      <c r="ET44" s="4">
        <v>341434.13</v>
      </c>
      <c r="EU44" s="155">
        <v>1024527.66</v>
      </c>
      <c r="EV44" s="4">
        <v>2068895.57</v>
      </c>
      <c r="EW44" s="4">
        <v>1586563.44</v>
      </c>
      <c r="EX44" s="4">
        <v>660379.49</v>
      </c>
      <c r="EY44" s="4">
        <v>1578385.3</v>
      </c>
      <c r="EZ44" s="4">
        <v>176195.06</v>
      </c>
      <c r="FA44" s="4">
        <v>1123772.8</v>
      </c>
      <c r="FB44" s="4">
        <v>439911.1</v>
      </c>
      <c r="FC44" s="4">
        <v>819056.99</v>
      </c>
      <c r="FD44" s="4">
        <v>340113.95</v>
      </c>
      <c r="FE44" s="4">
        <v>1852924.11</v>
      </c>
      <c r="FF44" s="4">
        <v>599674.65</v>
      </c>
      <c r="FG44" s="4">
        <v>5117747.22</v>
      </c>
      <c r="FH44" s="4">
        <v>1541204.43</v>
      </c>
      <c r="FI44" s="4">
        <v>1159507.92</v>
      </c>
      <c r="FJ44" s="4">
        <v>1017646.81</v>
      </c>
      <c r="FK44" s="4">
        <v>1571392.63</v>
      </c>
      <c r="FL44" s="74">
        <v>1321136.28</v>
      </c>
      <c r="FM44" s="4">
        <v>993059.05</v>
      </c>
      <c r="FN44" s="4">
        <v>600356.44999999995</v>
      </c>
      <c r="FO44" s="4">
        <v>1414773.08</v>
      </c>
      <c r="FP44" s="155">
        <v>3533229.05</v>
      </c>
      <c r="FQ44" s="4">
        <v>1108737.3999999999</v>
      </c>
      <c r="FR44" s="4">
        <v>860753.89</v>
      </c>
      <c r="FS44" s="4">
        <v>2053851.18</v>
      </c>
      <c r="FT44" s="4">
        <v>1436801.71</v>
      </c>
      <c r="FU44" s="4">
        <v>3537473.93</v>
      </c>
      <c r="FV44" s="4">
        <v>285657.86</v>
      </c>
      <c r="FW44" s="4">
        <v>384577.41</v>
      </c>
      <c r="FX44" s="4">
        <v>635727.25</v>
      </c>
      <c r="FY44" s="4">
        <v>1308013.58</v>
      </c>
      <c r="FZ44" s="102">
        <v>1660185.63</v>
      </c>
      <c r="GA44" s="4">
        <v>1476279.25</v>
      </c>
      <c r="GB44" s="4">
        <v>1755290.55</v>
      </c>
      <c r="GC44" s="4">
        <v>6257352.6399999997</v>
      </c>
      <c r="GD44" s="4">
        <v>930134.78</v>
      </c>
      <c r="GE44" s="4">
        <v>1649742.72</v>
      </c>
      <c r="GF44" s="4">
        <v>1090163.19</v>
      </c>
      <c r="GG44" s="4">
        <v>1087787.45</v>
      </c>
      <c r="GH44" s="4">
        <v>2844364.28</v>
      </c>
      <c r="GI44" s="4">
        <v>1745382.12</v>
      </c>
      <c r="GJ44" s="4">
        <v>901723.59</v>
      </c>
      <c r="GK44" s="4">
        <v>1428925.52</v>
      </c>
      <c r="GL44" s="155">
        <v>1097893.31</v>
      </c>
      <c r="GM44" s="4">
        <v>2349855.42</v>
      </c>
      <c r="GN44" s="4">
        <v>956167.04</v>
      </c>
      <c r="GO44" s="4">
        <v>1043579.12</v>
      </c>
      <c r="GP44" s="4">
        <v>919623.63</v>
      </c>
      <c r="GQ44" s="4">
        <v>612671.66</v>
      </c>
      <c r="GR44" s="4">
        <v>1691004.72</v>
      </c>
      <c r="GS44" s="4">
        <v>1758197.02</v>
      </c>
      <c r="GT44" s="4">
        <v>794373.96</v>
      </c>
      <c r="GU44" s="102">
        <v>479157.69</v>
      </c>
      <c r="GV44" s="4">
        <v>3375977.59</v>
      </c>
      <c r="GW44" s="4">
        <v>705223.64</v>
      </c>
      <c r="GX44" s="4">
        <v>851725.14</v>
      </c>
      <c r="GY44" s="4">
        <v>410040.11</v>
      </c>
      <c r="GZ44" s="4">
        <v>662181</v>
      </c>
      <c r="HA44" s="4">
        <v>8024166.8300000001</v>
      </c>
      <c r="HB44" s="4">
        <v>452083.49</v>
      </c>
      <c r="HC44" s="4">
        <v>960365.73</v>
      </c>
      <c r="HD44" s="155">
        <v>266871.90000000002</v>
      </c>
      <c r="HE44" s="4">
        <v>630608.22</v>
      </c>
      <c r="HF44" s="4">
        <v>956468.73</v>
      </c>
      <c r="HG44" s="4">
        <v>746813.05</v>
      </c>
      <c r="HH44" s="4">
        <v>328240.11</v>
      </c>
      <c r="HI44" s="4">
        <v>440410.41</v>
      </c>
      <c r="HJ44" s="4">
        <v>2130524.37</v>
      </c>
      <c r="HK44" s="4">
        <v>3148565.03</v>
      </c>
      <c r="HL44" s="4">
        <v>408283.52</v>
      </c>
      <c r="HM44" s="4">
        <v>421267.69</v>
      </c>
      <c r="HN44" s="130">
        <v>364804.21</v>
      </c>
      <c r="HO44" s="74">
        <v>3049176.48</v>
      </c>
      <c r="HP44" s="4">
        <v>528598.29</v>
      </c>
      <c r="HQ44" s="4">
        <v>817415.27</v>
      </c>
      <c r="HR44" s="4">
        <v>173672.28</v>
      </c>
      <c r="HS44" s="4">
        <v>596728.65</v>
      </c>
      <c r="HT44" s="4">
        <v>4872409.16</v>
      </c>
      <c r="HU44" s="4">
        <v>3241560.46</v>
      </c>
      <c r="HV44" s="4">
        <v>1946454.79</v>
      </c>
      <c r="HW44" s="4">
        <v>3662763.28</v>
      </c>
      <c r="HX44" s="4">
        <v>1554873.12</v>
      </c>
      <c r="HY44" s="4">
        <v>630041.02</v>
      </c>
      <c r="HZ44" s="155">
        <v>1246787.2</v>
      </c>
      <c r="IA44" s="4">
        <v>1451545.46</v>
      </c>
      <c r="IB44" s="4">
        <v>880948.44</v>
      </c>
      <c r="IC44" s="4">
        <v>215337.73</v>
      </c>
      <c r="ID44" s="4">
        <v>394924.4</v>
      </c>
      <c r="IE44" s="4">
        <v>278501.40999999997</v>
      </c>
      <c r="IF44" s="4">
        <v>57944.26</v>
      </c>
      <c r="IG44" s="4">
        <v>1392115.55</v>
      </c>
      <c r="IH44" s="102">
        <v>811740.14</v>
      </c>
      <c r="II44" s="4">
        <v>246594.73</v>
      </c>
      <c r="IJ44" s="4">
        <v>1166223.2</v>
      </c>
      <c r="IK44" s="4">
        <v>491981.54</v>
      </c>
      <c r="IL44" s="4">
        <v>1232508.8600000001</v>
      </c>
      <c r="IM44" s="4">
        <v>2245511.4900000002</v>
      </c>
      <c r="IN44" s="4">
        <v>573602.84</v>
      </c>
      <c r="IO44" s="4">
        <v>351153.86</v>
      </c>
      <c r="IP44" s="4">
        <v>1277092.1200000001</v>
      </c>
      <c r="IQ44" s="4">
        <v>18963417.57</v>
      </c>
      <c r="IR44" s="4">
        <v>673981.93</v>
      </c>
      <c r="IS44" s="4">
        <v>1512069.2</v>
      </c>
      <c r="IT44" s="155">
        <v>420666.56</v>
      </c>
      <c r="IU44" s="4">
        <f t="shared" si="10"/>
        <v>422981899.50000006</v>
      </c>
    </row>
    <row r="45" spans="1:256" ht="14.1" customHeight="1">
      <c r="A45" s="4" t="s">
        <v>45</v>
      </c>
      <c r="B45" s="4"/>
      <c r="C45" s="155">
        <v>16752.55</v>
      </c>
      <c r="D45" s="4">
        <v>13946.61</v>
      </c>
      <c r="E45" s="4">
        <v>8436.8700000000008</v>
      </c>
      <c r="F45" s="4">
        <v>5231.74</v>
      </c>
      <c r="G45" s="4">
        <v>8866.7099999999991</v>
      </c>
      <c r="H45" s="4">
        <v>5185.87</v>
      </c>
      <c r="I45" s="4">
        <v>2877348.41</v>
      </c>
      <c r="J45" s="4">
        <v>25084.07</v>
      </c>
      <c r="K45" s="4">
        <v>21992.25</v>
      </c>
      <c r="L45" s="4">
        <v>64605.07</v>
      </c>
      <c r="M45" s="4">
        <v>4116.7</v>
      </c>
      <c r="N45" s="4">
        <v>55502241.850000001</v>
      </c>
      <c r="O45" s="4">
        <v>232620.13</v>
      </c>
      <c r="P45" s="4">
        <v>123246.38</v>
      </c>
      <c r="Q45" s="4">
        <v>250606.52</v>
      </c>
      <c r="R45" s="4">
        <v>164460.54999999999</v>
      </c>
      <c r="S45" s="4">
        <v>3228817.81</v>
      </c>
      <c r="T45" s="4">
        <v>84016.83</v>
      </c>
      <c r="U45" s="4">
        <v>95920.52</v>
      </c>
      <c r="V45" s="4">
        <v>40709.1</v>
      </c>
      <c r="W45" s="155">
        <v>54693.74</v>
      </c>
      <c r="X45" s="4">
        <v>49685.11</v>
      </c>
      <c r="Y45" s="4">
        <v>19919.400000000001</v>
      </c>
      <c r="Z45" s="4">
        <v>14122.13</v>
      </c>
      <c r="AA45" s="4">
        <v>2173.46</v>
      </c>
      <c r="AB45" s="4">
        <v>3205389.47</v>
      </c>
      <c r="AC45" s="4">
        <v>31676</v>
      </c>
      <c r="AD45" s="4">
        <v>28390.69</v>
      </c>
      <c r="AE45" s="4">
        <v>17586.86</v>
      </c>
      <c r="AF45" s="4">
        <v>56580535.850000001</v>
      </c>
      <c r="AG45" s="4">
        <v>85275</v>
      </c>
      <c r="AH45" s="4">
        <v>91677.23</v>
      </c>
      <c r="AI45" s="4">
        <v>61522.5</v>
      </c>
      <c r="AJ45" s="4">
        <v>36870.49</v>
      </c>
      <c r="AK45" s="4">
        <v>213903.74</v>
      </c>
      <c r="AL45" s="4">
        <v>2777065.92</v>
      </c>
      <c r="AM45" s="4">
        <v>130971.09</v>
      </c>
      <c r="AN45" s="4">
        <v>53888.88</v>
      </c>
      <c r="AO45" s="4">
        <v>151807.34</v>
      </c>
      <c r="AP45" s="4">
        <v>3099.22</v>
      </c>
      <c r="AQ45" s="4">
        <v>11517.3</v>
      </c>
      <c r="AR45" s="155">
        <v>22994.400000000001</v>
      </c>
      <c r="AS45" s="4">
        <v>9174.15</v>
      </c>
      <c r="AT45" s="4">
        <v>29099.05</v>
      </c>
      <c r="AU45" s="4">
        <v>451.73</v>
      </c>
      <c r="AV45" s="4">
        <v>2838640.58</v>
      </c>
      <c r="AW45" s="4">
        <v>15196.48</v>
      </c>
      <c r="AX45" s="4">
        <v>19407.91</v>
      </c>
      <c r="AY45" s="4">
        <v>58722.14</v>
      </c>
      <c r="AZ45" s="4">
        <v>14266.25</v>
      </c>
      <c r="BA45" s="4">
        <v>13145.79</v>
      </c>
      <c r="BB45" s="4">
        <v>24019.35</v>
      </c>
      <c r="BC45" s="4">
        <v>55070015.07</v>
      </c>
      <c r="BD45" s="4">
        <v>125537.81</v>
      </c>
      <c r="BE45" s="4">
        <v>97315.88</v>
      </c>
      <c r="BF45" s="4">
        <v>3480980.17</v>
      </c>
      <c r="BG45" s="4">
        <v>225058.35</v>
      </c>
      <c r="BH45" s="4">
        <v>64157.07</v>
      </c>
      <c r="BI45" s="4">
        <v>145298.43</v>
      </c>
      <c r="BJ45" s="4">
        <v>35179.019999999997</v>
      </c>
      <c r="BK45" s="4">
        <v>18972.57</v>
      </c>
      <c r="BL45" s="4">
        <v>10795.9</v>
      </c>
      <c r="BM45" s="4">
        <v>15505.24</v>
      </c>
      <c r="BN45" s="155">
        <v>20093.66</v>
      </c>
      <c r="BO45" s="4">
        <v>11164.44</v>
      </c>
      <c r="BP45" s="4">
        <v>3335969.87</v>
      </c>
      <c r="BQ45" s="4">
        <v>16596.400000000001</v>
      </c>
      <c r="BR45" s="4">
        <v>76376.929999999993</v>
      </c>
      <c r="BS45" s="4">
        <v>8713.01</v>
      </c>
      <c r="BT45" s="4">
        <v>8928.81</v>
      </c>
      <c r="BU45" s="4">
        <v>10873.89</v>
      </c>
      <c r="BV45" s="4">
        <v>3821.34</v>
      </c>
      <c r="BW45" s="4">
        <v>9329.43</v>
      </c>
      <c r="BX45" s="4">
        <v>22017.919999999998</v>
      </c>
      <c r="BY45" s="4">
        <v>57949630.82</v>
      </c>
      <c r="BZ45" s="4">
        <v>3458084.75</v>
      </c>
      <c r="CA45" s="4">
        <v>161461.71</v>
      </c>
      <c r="CB45" s="4">
        <v>375220.37</v>
      </c>
      <c r="CC45" s="4">
        <v>165926.62</v>
      </c>
      <c r="CD45" s="4">
        <v>26226.34</v>
      </c>
      <c r="CE45" s="4">
        <v>21661.360000000001</v>
      </c>
      <c r="CF45" s="4">
        <v>16026.98</v>
      </c>
      <c r="CG45" s="4">
        <v>64223.19</v>
      </c>
      <c r="CH45" s="4">
        <v>19172.810000000001</v>
      </c>
      <c r="CI45" s="155">
        <v>3524298.32</v>
      </c>
      <c r="CJ45" s="4">
        <v>83564.800000000003</v>
      </c>
      <c r="CK45" s="4">
        <v>31744.16</v>
      </c>
      <c r="CL45" s="4">
        <v>51296.87</v>
      </c>
      <c r="CM45" s="4">
        <v>10842.23</v>
      </c>
      <c r="CN45" s="4">
        <v>18863.59</v>
      </c>
      <c r="CO45" s="4">
        <v>6159.17</v>
      </c>
      <c r="CP45" s="4">
        <v>11063.62</v>
      </c>
      <c r="CQ45" s="4">
        <v>617.02</v>
      </c>
      <c r="CR45" s="4">
        <v>1896.68</v>
      </c>
      <c r="CS45" s="4">
        <v>58346530.219999999</v>
      </c>
      <c r="CT45" s="4">
        <v>103344.34</v>
      </c>
      <c r="CU45" s="4">
        <v>217826.05</v>
      </c>
      <c r="CV45" s="4">
        <v>303587.05</v>
      </c>
      <c r="CW45" s="4">
        <v>218522.35</v>
      </c>
      <c r="CX45" s="4">
        <v>67982.95</v>
      </c>
      <c r="CY45" s="4">
        <v>39921.589999999997</v>
      </c>
      <c r="CZ45" s="4">
        <v>23564.44</v>
      </c>
      <c r="DA45" s="4">
        <v>394076.03</v>
      </c>
      <c r="DB45" s="4">
        <v>21662.76</v>
      </c>
      <c r="DC45" s="4">
        <v>1971238.87</v>
      </c>
      <c r="DD45" s="155">
        <v>166123.17000000001</v>
      </c>
      <c r="DE45" s="87">
        <v>74088.179999999993</v>
      </c>
      <c r="DF45" s="4">
        <v>5659.46</v>
      </c>
      <c r="DG45" s="4">
        <v>4289.6899999999996</v>
      </c>
      <c r="DH45" s="4">
        <v>3542.7</v>
      </c>
      <c r="DI45" s="4">
        <v>5110.18</v>
      </c>
      <c r="DJ45" s="4">
        <v>2580.6799999999998</v>
      </c>
      <c r="DK45" s="4">
        <v>742.09</v>
      </c>
      <c r="DL45" s="4">
        <v>1766953.28</v>
      </c>
      <c r="DM45" s="4">
        <v>14104.66</v>
      </c>
      <c r="DN45" s="4">
        <v>60200844.030000001</v>
      </c>
      <c r="DO45" s="4">
        <v>280628.34000000003</v>
      </c>
      <c r="DP45" s="4">
        <v>88453.440000000002</v>
      </c>
      <c r="DQ45" s="4">
        <v>1777567.59</v>
      </c>
      <c r="DR45" s="87">
        <v>157190.29999999999</v>
      </c>
      <c r="DS45" s="4">
        <v>86640.99</v>
      </c>
      <c r="DT45" s="4">
        <v>48701.84</v>
      </c>
      <c r="DU45" s="4">
        <v>29559.27</v>
      </c>
      <c r="DV45" s="4">
        <v>1756571.96</v>
      </c>
      <c r="DW45" s="4">
        <v>29435.81</v>
      </c>
      <c r="DX45" s="4">
        <v>28154.54</v>
      </c>
      <c r="DY45" s="4">
        <v>47232.78</v>
      </c>
      <c r="DZ45" s="155">
        <v>4926.6499999999996</v>
      </c>
      <c r="EA45" s="4">
        <v>10404.120000000001</v>
      </c>
      <c r="EB45" s="4">
        <v>4094.8</v>
      </c>
      <c r="EC45" s="4">
        <v>288831.32</v>
      </c>
      <c r="ED45" s="4">
        <v>65558.19</v>
      </c>
      <c r="EE45" s="4">
        <v>82.58</v>
      </c>
      <c r="EF45" s="4">
        <v>1915897.8</v>
      </c>
      <c r="EG45" s="32">
        <v>14365.34</v>
      </c>
      <c r="EH45" s="4">
        <v>14611.79</v>
      </c>
      <c r="EI45" s="4">
        <v>41275.25</v>
      </c>
      <c r="EJ45" s="4">
        <v>1598.7</v>
      </c>
      <c r="EK45" s="74">
        <v>56206255.700000003</v>
      </c>
      <c r="EL45" s="4">
        <v>280789.83</v>
      </c>
      <c r="EM45" s="4">
        <v>-10551.43</v>
      </c>
      <c r="EN45" s="4">
        <v>365029.87</v>
      </c>
      <c r="EO45" s="4">
        <v>31810.38</v>
      </c>
      <c r="EP45" s="4">
        <v>2106658.0099999998</v>
      </c>
      <c r="EQ45" s="4">
        <v>74002.179999999993</v>
      </c>
      <c r="ER45" s="4">
        <v>140633.34</v>
      </c>
      <c r="ES45" s="4">
        <v>1467023.49</v>
      </c>
      <c r="ET45" s="4">
        <v>53505.78</v>
      </c>
      <c r="EU45" s="155">
        <v>175176.77</v>
      </c>
      <c r="EV45" s="4">
        <v>103398.41</v>
      </c>
      <c r="EW45" s="4">
        <v>61065.89</v>
      </c>
      <c r="EX45" s="4">
        <v>27682.18</v>
      </c>
      <c r="EY45" s="4">
        <v>2642582.4500000002</v>
      </c>
      <c r="EZ45" s="4">
        <v>48119.02</v>
      </c>
      <c r="FA45" s="4">
        <v>58648.11</v>
      </c>
      <c r="FB45" s="4">
        <v>69752.78</v>
      </c>
      <c r="FC45" s="4">
        <v>7275.42</v>
      </c>
      <c r="FD45" s="4">
        <v>21580.14</v>
      </c>
      <c r="FE45" s="4">
        <v>56888969.189999998</v>
      </c>
      <c r="FF45" s="4">
        <v>140399.29</v>
      </c>
      <c r="FG45" s="4">
        <v>228332.42</v>
      </c>
      <c r="FH45" s="4">
        <v>300388.34000000003</v>
      </c>
      <c r="FI45" s="4">
        <v>2846644.81</v>
      </c>
      <c r="FJ45" s="4">
        <v>139407.15</v>
      </c>
      <c r="FK45" s="4">
        <v>58880.21</v>
      </c>
      <c r="FL45" s="74">
        <v>757497.53</v>
      </c>
      <c r="FM45" s="4">
        <v>54538.35</v>
      </c>
      <c r="FN45" s="4">
        <v>69372.600000000006</v>
      </c>
      <c r="FO45" s="4">
        <v>48521.42</v>
      </c>
      <c r="FP45" s="155">
        <v>17420.32</v>
      </c>
      <c r="FQ45" s="4">
        <v>9464.92</v>
      </c>
      <c r="FR45" s="4">
        <v>6594.39</v>
      </c>
      <c r="FS45" s="4">
        <v>2910093.65</v>
      </c>
      <c r="FT45" s="4">
        <v>30266.71</v>
      </c>
      <c r="FU45" s="4">
        <v>27736.97</v>
      </c>
      <c r="FV45" s="4">
        <v>58123.4</v>
      </c>
      <c r="FW45" s="4">
        <v>4968.93</v>
      </c>
      <c r="FX45" s="4">
        <v>19875.509999999998</v>
      </c>
      <c r="FY45" s="4">
        <v>26796.43</v>
      </c>
      <c r="FZ45" s="102">
        <v>60022720.060000002</v>
      </c>
      <c r="GA45" s="4">
        <v>160572.94</v>
      </c>
      <c r="GB45" s="4">
        <v>3251937.27</v>
      </c>
      <c r="GC45" s="4">
        <v>77289.149999999994</v>
      </c>
      <c r="GD45" s="4">
        <v>184233.28</v>
      </c>
      <c r="GE45" s="4">
        <v>154844.60999999999</v>
      </c>
      <c r="GF45" s="4">
        <v>52843.199999999997</v>
      </c>
      <c r="GG45" s="4">
        <v>16639.18</v>
      </c>
      <c r="GH45" s="4">
        <v>13275.18</v>
      </c>
      <c r="GI45" s="4">
        <v>11435.61</v>
      </c>
      <c r="GJ45" s="4">
        <v>16379</v>
      </c>
      <c r="GK45" s="4">
        <v>3280.7</v>
      </c>
      <c r="GL45" s="155">
        <v>3135679.58</v>
      </c>
      <c r="GM45" s="4">
        <v>49064.88</v>
      </c>
      <c r="GN45" s="4">
        <v>33169.599999999999</v>
      </c>
      <c r="GO45" s="4">
        <v>51006.77</v>
      </c>
      <c r="GP45" s="4">
        <v>5090.3100000000004</v>
      </c>
      <c r="GQ45" s="4">
        <v>16744.61</v>
      </c>
      <c r="GR45" s="4">
        <v>13542.54</v>
      </c>
      <c r="GS45" s="4">
        <v>1273.0999999999999</v>
      </c>
      <c r="GT45" s="4">
        <v>30356.65</v>
      </c>
      <c r="GU45" s="102">
        <v>60942294.060000002</v>
      </c>
      <c r="GV45" s="4">
        <v>188317.07</v>
      </c>
      <c r="GW45" s="4">
        <v>105262.23</v>
      </c>
      <c r="GX45" s="4">
        <v>326912.21999999997</v>
      </c>
      <c r="GY45" s="4">
        <v>158653.21</v>
      </c>
      <c r="GZ45" s="4">
        <v>63841.67</v>
      </c>
      <c r="HA45" s="4">
        <v>653975.78</v>
      </c>
      <c r="HB45" s="4">
        <v>40431.360000000001</v>
      </c>
      <c r="HC45" s="4">
        <v>2878680.85</v>
      </c>
      <c r="HD45" s="155">
        <v>26629.13</v>
      </c>
      <c r="HE45" s="4">
        <v>26529.86</v>
      </c>
      <c r="HF45" s="4">
        <v>11666.12</v>
      </c>
      <c r="HG45" s="4">
        <v>72138.33</v>
      </c>
      <c r="HH45" s="4">
        <v>24663.200000000001</v>
      </c>
      <c r="HI45" s="4">
        <v>18724.41</v>
      </c>
      <c r="HJ45" s="4">
        <v>13598.08</v>
      </c>
      <c r="HK45" s="4">
        <v>6909.23</v>
      </c>
      <c r="HL45" s="4">
        <v>9580.5499999999993</v>
      </c>
      <c r="HM45" s="4">
        <v>1709.11</v>
      </c>
      <c r="HN45" s="130">
        <v>2266804.44</v>
      </c>
      <c r="HO45" s="74">
        <v>59275628.909999996</v>
      </c>
      <c r="HP45" s="4">
        <v>159262.93</v>
      </c>
      <c r="HQ45" s="4">
        <v>134513.60000000001</v>
      </c>
      <c r="HR45" s="4">
        <v>260274.68</v>
      </c>
      <c r="HS45" s="4">
        <v>199888.19</v>
      </c>
      <c r="HT45" s="4">
        <v>307316.77</v>
      </c>
      <c r="HU45" s="4">
        <v>175163.48</v>
      </c>
      <c r="HV45" s="4">
        <v>88630.66</v>
      </c>
      <c r="HW45" s="4">
        <v>2847161.28</v>
      </c>
      <c r="HX45" s="4">
        <v>63788.22</v>
      </c>
      <c r="HY45" s="4">
        <v>31389.99</v>
      </c>
      <c r="HZ45" s="155">
        <v>16766.16</v>
      </c>
      <c r="IA45" s="4">
        <v>7951.02</v>
      </c>
      <c r="IB45" s="4">
        <v>8987.0400000000009</v>
      </c>
      <c r="IC45" s="4">
        <v>12260.25</v>
      </c>
      <c r="ID45" s="4">
        <v>12066.83</v>
      </c>
      <c r="IE45" s="4">
        <v>3202.16</v>
      </c>
      <c r="IF45" s="4">
        <v>1663225.95</v>
      </c>
      <c r="IG45" s="4">
        <v>19684.400000000001</v>
      </c>
      <c r="IH45" s="102">
        <v>2383.1999999999998</v>
      </c>
      <c r="II45" s="4">
        <v>61323.11</v>
      </c>
      <c r="IJ45" s="4">
        <v>57354427.729999997</v>
      </c>
      <c r="IK45" s="4">
        <v>179876.33</v>
      </c>
      <c r="IL45" s="4">
        <v>160860.81</v>
      </c>
      <c r="IM45" s="4">
        <v>288811.53000000003</v>
      </c>
      <c r="IN45" s="4">
        <v>169981.27</v>
      </c>
      <c r="IO45" s="4">
        <v>2601383.86</v>
      </c>
      <c r="IP45" s="4">
        <v>90382.24</v>
      </c>
      <c r="IQ45" s="4">
        <v>49198.17</v>
      </c>
      <c r="IR45" s="4">
        <v>67331.59</v>
      </c>
      <c r="IS45" s="4">
        <v>5091.21</v>
      </c>
      <c r="IT45" s="155">
        <v>7981.44</v>
      </c>
      <c r="IU45" s="4">
        <f t="shared" si="10"/>
        <v>778918729.02999985</v>
      </c>
    </row>
    <row r="46" spans="1:256" ht="14.1" customHeight="1">
      <c r="A46" s="5" t="s">
        <v>43</v>
      </c>
      <c r="B46" s="5"/>
      <c r="C46" s="157">
        <v>20002.48</v>
      </c>
      <c r="D46" s="5">
        <v>18983.419999999998</v>
      </c>
      <c r="E46" s="5">
        <v>14856.52</v>
      </c>
      <c r="F46" s="5">
        <v>7944.01</v>
      </c>
      <c r="G46" s="5">
        <v>16623.37</v>
      </c>
      <c r="H46" s="5">
        <v>5619.76</v>
      </c>
      <c r="I46" s="5">
        <v>4791.8999999999996</v>
      </c>
      <c r="J46" s="5">
        <v>3815.75</v>
      </c>
      <c r="K46" s="5">
        <v>2981.8</v>
      </c>
      <c r="L46" s="5">
        <v>9435.49</v>
      </c>
      <c r="M46" s="5">
        <v>4848.8599999999997</v>
      </c>
      <c r="N46" s="5">
        <v>12670.24</v>
      </c>
      <c r="O46" s="5">
        <v>21608.52</v>
      </c>
      <c r="P46" s="5">
        <v>20901.11</v>
      </c>
      <c r="Q46" s="5">
        <v>22750.2</v>
      </c>
      <c r="R46" s="5">
        <v>25650.560000000001</v>
      </c>
      <c r="S46" s="5">
        <v>11802.77</v>
      </c>
      <c r="T46" s="5">
        <v>27553.84</v>
      </c>
      <c r="U46" s="5">
        <v>23432.49</v>
      </c>
      <c r="V46" s="5">
        <v>13354.88</v>
      </c>
      <c r="W46" s="157">
        <v>16247.72</v>
      </c>
      <c r="X46" s="5">
        <v>25392.99</v>
      </c>
      <c r="Y46" s="5">
        <v>2902.29</v>
      </c>
      <c r="Z46" s="5">
        <v>7235.94</v>
      </c>
      <c r="AA46" s="5">
        <v>11302.54</v>
      </c>
      <c r="AB46" s="5">
        <v>11881.93</v>
      </c>
      <c r="AC46" s="5">
        <v>26432.95</v>
      </c>
      <c r="AD46" s="5">
        <v>16491.64</v>
      </c>
      <c r="AE46" s="5">
        <v>8108.13</v>
      </c>
      <c r="AF46" s="5">
        <v>13915.3</v>
      </c>
      <c r="AG46" s="5">
        <v>7104.57</v>
      </c>
      <c r="AH46" s="5">
        <v>30473.71</v>
      </c>
      <c r="AI46" s="5">
        <v>17936.96</v>
      </c>
      <c r="AJ46" s="5">
        <v>9071.89</v>
      </c>
      <c r="AK46" s="5">
        <v>12706.2</v>
      </c>
      <c r="AL46" s="5">
        <v>9160.59</v>
      </c>
      <c r="AM46" s="5">
        <v>15706.52</v>
      </c>
      <c r="AN46" s="5">
        <v>5883.57</v>
      </c>
      <c r="AO46" s="5">
        <v>9888.58</v>
      </c>
      <c r="AP46" s="5">
        <v>19663.64</v>
      </c>
      <c r="AQ46" s="5">
        <v>8329.1299999999992</v>
      </c>
      <c r="AR46" s="157">
        <v>21807.29</v>
      </c>
      <c r="AS46" s="5">
        <v>7669.65</v>
      </c>
      <c r="AT46" s="5">
        <v>5830.06</v>
      </c>
      <c r="AU46" s="5">
        <v>20747.099999999999</v>
      </c>
      <c r="AV46" s="5">
        <v>8854.26</v>
      </c>
      <c r="AW46" s="5">
        <v>16464.490000000002</v>
      </c>
      <c r="AX46" s="5">
        <v>16045.2</v>
      </c>
      <c r="AY46" s="5">
        <v>15249.33</v>
      </c>
      <c r="AZ46" s="5">
        <v>11522.45</v>
      </c>
      <c r="BA46" s="5">
        <v>10796.23</v>
      </c>
      <c r="BB46" s="5">
        <v>22668.92</v>
      </c>
      <c r="BC46" s="5">
        <v>10283.69</v>
      </c>
      <c r="BD46" s="5">
        <v>10698.99</v>
      </c>
      <c r="BE46" s="5">
        <v>38048.54</v>
      </c>
      <c r="BF46" s="5">
        <v>14105.96</v>
      </c>
      <c r="BG46" s="5">
        <v>19235.89</v>
      </c>
      <c r="BH46" s="5">
        <v>28627.89</v>
      </c>
      <c r="BI46" s="5">
        <v>9116.31</v>
      </c>
      <c r="BJ46" s="5">
        <v>8695.26</v>
      </c>
      <c r="BK46" s="5">
        <v>10093.6</v>
      </c>
      <c r="BL46" s="5">
        <v>16912.89</v>
      </c>
      <c r="BM46" s="5">
        <v>11009.37</v>
      </c>
      <c r="BN46" s="157">
        <v>7406.4</v>
      </c>
      <c r="BO46" s="5">
        <v>3505.21</v>
      </c>
      <c r="BP46" s="5">
        <v>2293.33</v>
      </c>
      <c r="BQ46" s="5">
        <v>24095.31</v>
      </c>
      <c r="BR46" s="5">
        <v>12463.17</v>
      </c>
      <c r="BS46" s="5">
        <v>11448.57</v>
      </c>
      <c r="BT46" s="5">
        <v>11308.93</v>
      </c>
      <c r="BU46" s="5">
        <v>9226.82</v>
      </c>
      <c r="BV46" s="5">
        <v>10444.19</v>
      </c>
      <c r="BW46" s="5">
        <v>5122.1400000000003</v>
      </c>
      <c r="BX46" s="5">
        <v>5988.41</v>
      </c>
      <c r="BY46" s="5">
        <v>11680.73</v>
      </c>
      <c r="BZ46" s="5">
        <v>25062.62</v>
      </c>
      <c r="CA46" s="5">
        <v>24553.69</v>
      </c>
      <c r="CB46" s="5">
        <v>10750.48</v>
      </c>
      <c r="CC46" s="5">
        <v>4336.03</v>
      </c>
      <c r="CD46" s="5">
        <v>9404.76</v>
      </c>
      <c r="CE46" s="5">
        <v>11268.83</v>
      </c>
      <c r="CF46" s="5">
        <v>16501.330000000002</v>
      </c>
      <c r="CG46" s="5">
        <v>4958</v>
      </c>
      <c r="CH46" s="5">
        <v>9498</v>
      </c>
      <c r="CI46" s="157">
        <v>2115.12</v>
      </c>
      <c r="CJ46" s="5">
        <v>14234.87</v>
      </c>
      <c r="CK46" s="5">
        <v>6894.06</v>
      </c>
      <c r="CL46" s="5">
        <v>7670.88</v>
      </c>
      <c r="CM46" s="5">
        <v>18953.330000000002</v>
      </c>
      <c r="CN46" s="5">
        <v>17960.48</v>
      </c>
      <c r="CO46" s="5">
        <v>15879.23</v>
      </c>
      <c r="CP46" s="5">
        <v>21306.73</v>
      </c>
      <c r="CQ46" s="5">
        <v>5377.09</v>
      </c>
      <c r="CR46" s="5">
        <v>11472.58</v>
      </c>
      <c r="CS46" s="5">
        <v>13132.85</v>
      </c>
      <c r="CT46" s="5">
        <v>25292.91</v>
      </c>
      <c r="CU46" s="5">
        <v>18175.900000000001</v>
      </c>
      <c r="CV46" s="5">
        <v>45876.99</v>
      </c>
      <c r="CW46" s="5">
        <v>6817.76</v>
      </c>
      <c r="CX46" s="5">
        <v>7748.78</v>
      </c>
      <c r="CY46" s="5">
        <v>62402.54</v>
      </c>
      <c r="CZ46" s="5">
        <v>23247.21</v>
      </c>
      <c r="DA46" s="5">
        <v>8054.02</v>
      </c>
      <c r="DB46" s="5">
        <v>3361.98</v>
      </c>
      <c r="DC46" s="5">
        <v>9114.39</v>
      </c>
      <c r="DD46" s="157">
        <v>8444.6200000000008</v>
      </c>
      <c r="DE46" s="89">
        <v>8477.59</v>
      </c>
      <c r="DF46" s="5">
        <v>350</v>
      </c>
      <c r="DG46" s="5">
        <v>26285.98</v>
      </c>
      <c r="DH46" s="5">
        <v>53355.45</v>
      </c>
      <c r="DI46" s="5">
        <v>16144.04</v>
      </c>
      <c r="DJ46" s="5">
        <v>6874.66</v>
      </c>
      <c r="DK46" s="5">
        <v>25082.92</v>
      </c>
      <c r="DL46" s="5">
        <v>27227.82</v>
      </c>
      <c r="DM46" s="5">
        <v>29594.61</v>
      </c>
      <c r="DN46" s="5">
        <v>3168.44</v>
      </c>
      <c r="DO46" s="5">
        <v>9729.3700000000008</v>
      </c>
      <c r="DP46" s="5">
        <v>10446.01</v>
      </c>
      <c r="DQ46" s="5">
        <v>23707.88</v>
      </c>
      <c r="DR46" s="89">
        <v>31038.01</v>
      </c>
      <c r="DS46" s="5">
        <v>19876.61</v>
      </c>
      <c r="DT46" s="5">
        <v>5590.84</v>
      </c>
      <c r="DU46" s="5">
        <v>3544.47</v>
      </c>
      <c r="DV46" s="5">
        <v>1136.01</v>
      </c>
      <c r="DW46" s="5">
        <v>11323.89</v>
      </c>
      <c r="DX46" s="5">
        <v>4159.22</v>
      </c>
      <c r="DY46" s="5">
        <v>1111.08</v>
      </c>
      <c r="DZ46" s="157">
        <v>861.64</v>
      </c>
      <c r="EA46" s="5">
        <v>520.14</v>
      </c>
      <c r="EB46" s="5">
        <v>13624.24</v>
      </c>
      <c r="EC46" s="5">
        <v>37752.65</v>
      </c>
      <c r="ED46" s="5">
        <v>35360.51</v>
      </c>
      <c r="EE46" s="5">
        <v>4932.46</v>
      </c>
      <c r="EF46" s="5">
        <v>12743.26</v>
      </c>
      <c r="EG46" s="33">
        <v>16057.87</v>
      </c>
      <c r="EH46" s="5">
        <v>15762.62</v>
      </c>
      <c r="EI46" s="5">
        <v>12500.79</v>
      </c>
      <c r="EJ46" s="5">
        <v>9064.48</v>
      </c>
      <c r="EK46" s="76">
        <v>9532.5499999999993</v>
      </c>
      <c r="EL46" s="5">
        <v>23849.79</v>
      </c>
      <c r="EM46" s="5">
        <v>-11863.85</v>
      </c>
      <c r="EN46" s="5">
        <v>35926.269999999997</v>
      </c>
      <c r="EO46" s="5">
        <v>11279.68</v>
      </c>
      <c r="EP46" s="5">
        <v>71847.66</v>
      </c>
      <c r="EQ46" s="5">
        <v>15505.68</v>
      </c>
      <c r="ER46" s="5">
        <v>16962.060000000001</v>
      </c>
      <c r="ES46" s="5">
        <v>12781.14</v>
      </c>
      <c r="ET46" s="5">
        <v>22536.560000000001</v>
      </c>
      <c r="EU46" s="157">
        <v>12914.05</v>
      </c>
      <c r="EV46" s="5">
        <v>13486.16</v>
      </c>
      <c r="EW46" s="5">
        <v>2207.96</v>
      </c>
      <c r="EX46" s="5">
        <v>3712.69</v>
      </c>
      <c r="EY46" s="5">
        <v>16029.64</v>
      </c>
      <c r="EZ46" s="5">
        <v>21330.3</v>
      </c>
      <c r="FA46" s="5">
        <v>15840.65</v>
      </c>
      <c r="FB46" s="5">
        <v>6572.51</v>
      </c>
      <c r="FC46" s="5">
        <v>14155.82</v>
      </c>
      <c r="FD46" s="5">
        <v>5183.9399999999996</v>
      </c>
      <c r="FE46" s="5">
        <v>13107.47</v>
      </c>
      <c r="FF46" s="5">
        <v>12743.5</v>
      </c>
      <c r="FG46" s="5">
        <v>19509.89</v>
      </c>
      <c r="FH46" s="5">
        <v>29441.23</v>
      </c>
      <c r="FI46" s="5">
        <v>18244.099999999999</v>
      </c>
      <c r="FJ46" s="5">
        <v>19793.21</v>
      </c>
      <c r="FK46" s="5">
        <v>7347.4</v>
      </c>
      <c r="FL46" s="76">
        <v>1444.08</v>
      </c>
      <c r="FM46" s="5">
        <v>1660.44</v>
      </c>
      <c r="FN46" s="5">
        <v>7821.35</v>
      </c>
      <c r="FO46" s="5">
        <v>18198.740000000002</v>
      </c>
      <c r="FP46" s="157">
        <v>5449.08</v>
      </c>
      <c r="FQ46" s="5">
        <v>16989.080000000002</v>
      </c>
      <c r="FR46" s="5">
        <v>12198.32</v>
      </c>
      <c r="FS46" s="5">
        <v>7008.36</v>
      </c>
      <c r="FT46" s="5">
        <v>13441.4</v>
      </c>
      <c r="FU46" s="5">
        <v>20407.830000000002</v>
      </c>
      <c r="FV46" s="5">
        <v>75282.13</v>
      </c>
      <c r="FW46" s="5">
        <v>21855.81</v>
      </c>
      <c r="FX46" s="5">
        <v>8769.4500000000007</v>
      </c>
      <c r="FY46" s="5">
        <v>10449.89</v>
      </c>
      <c r="FZ46" s="104">
        <v>5628.68</v>
      </c>
      <c r="GA46" s="5">
        <v>12710.54</v>
      </c>
      <c r="GB46" s="5">
        <v>24908.54</v>
      </c>
      <c r="GC46" s="5">
        <v>186238.55</v>
      </c>
      <c r="GD46" s="5">
        <v>23676.54</v>
      </c>
      <c r="GE46" s="5">
        <v>5924.08</v>
      </c>
      <c r="GF46" s="5">
        <v>17204.77</v>
      </c>
      <c r="GG46" s="5">
        <v>11728.17</v>
      </c>
      <c r="GH46" s="5">
        <v>16487</v>
      </c>
      <c r="GI46" s="5">
        <v>11311.02</v>
      </c>
      <c r="GJ46" s="5">
        <v>40947.730000000003</v>
      </c>
      <c r="GK46" s="5">
        <v>11657.63</v>
      </c>
      <c r="GL46" s="157">
        <v>5751.11</v>
      </c>
      <c r="GM46" s="5">
        <v>5445.99</v>
      </c>
      <c r="GN46" s="5">
        <v>2091.06</v>
      </c>
      <c r="GO46" s="5">
        <v>10199.290000000001</v>
      </c>
      <c r="GP46" s="5">
        <v>50068.09</v>
      </c>
      <c r="GQ46" s="5">
        <v>31289.93</v>
      </c>
      <c r="GR46" s="5">
        <v>17806.150000000001</v>
      </c>
      <c r="GS46" s="5">
        <v>20398.39</v>
      </c>
      <c r="GT46" s="5">
        <v>9268.83</v>
      </c>
      <c r="GU46" s="104">
        <v>4838.8999999999996</v>
      </c>
      <c r="GV46" s="5">
        <v>19075.169999999998</v>
      </c>
      <c r="GW46" s="5">
        <v>4502.8900000000003</v>
      </c>
      <c r="GX46" s="5">
        <v>21704.85</v>
      </c>
      <c r="GY46" s="5">
        <v>7059.94</v>
      </c>
      <c r="GZ46" s="5">
        <v>12943.78</v>
      </c>
      <c r="HA46" s="5">
        <v>29373.53</v>
      </c>
      <c r="HB46" s="5">
        <v>22610.43</v>
      </c>
      <c r="HC46" s="5">
        <v>14866.94</v>
      </c>
      <c r="HD46" s="157">
        <v>70698.880000000005</v>
      </c>
      <c r="HE46" s="5">
        <v>9257.4500000000007</v>
      </c>
      <c r="HF46" s="5">
        <v>3990.19</v>
      </c>
      <c r="HG46" s="5">
        <v>3328.63</v>
      </c>
      <c r="HH46" s="5">
        <v>16362.42</v>
      </c>
      <c r="HI46" s="5">
        <v>16509.78</v>
      </c>
      <c r="HJ46" s="5">
        <v>28017.119999999999</v>
      </c>
      <c r="HK46" s="5">
        <v>8384.85</v>
      </c>
      <c r="HL46" s="5">
        <v>7325.93</v>
      </c>
      <c r="HM46" s="5">
        <v>32571.88</v>
      </c>
      <c r="HN46" s="132">
        <v>18374.080000000002</v>
      </c>
      <c r="HO46" s="76">
        <v>11436.03</v>
      </c>
      <c r="HP46" s="5">
        <v>11751.09</v>
      </c>
      <c r="HQ46" s="5">
        <v>4557.1499999999996</v>
      </c>
      <c r="HR46" s="5">
        <v>8766.93</v>
      </c>
      <c r="HS46" s="5">
        <v>6880.39</v>
      </c>
      <c r="HT46" s="5">
        <v>20673.919999999998</v>
      </c>
      <c r="HU46" s="5">
        <v>4379.8900000000003</v>
      </c>
      <c r="HV46" s="5">
        <v>2366.79</v>
      </c>
      <c r="HW46" s="5">
        <v>9936</v>
      </c>
      <c r="HX46" s="5">
        <v>10711.32</v>
      </c>
      <c r="HY46" s="5">
        <v>5231.71</v>
      </c>
      <c r="HZ46" s="157">
        <v>4927.7299999999996</v>
      </c>
      <c r="IA46" s="5">
        <v>1629.29</v>
      </c>
      <c r="IB46" s="5">
        <v>3757.94</v>
      </c>
      <c r="IC46" s="5">
        <v>838.54</v>
      </c>
      <c r="ID46" s="5">
        <v>1480.5</v>
      </c>
      <c r="IE46" s="5">
        <v>1316.13</v>
      </c>
      <c r="IF46" s="5">
        <v>16815.77</v>
      </c>
      <c r="IG46" s="5">
        <v>4457.16</v>
      </c>
      <c r="IH46" s="104">
        <v>4037.46</v>
      </c>
      <c r="II46" s="5">
        <v>3172.36</v>
      </c>
      <c r="IJ46" s="5">
        <v>33263.839999999997</v>
      </c>
      <c r="IK46" s="5">
        <v>12298.85</v>
      </c>
      <c r="IL46" s="5">
        <v>37825.730000000003</v>
      </c>
      <c r="IM46" s="5">
        <v>10961.38</v>
      </c>
      <c r="IN46" s="5">
        <v>8310.43</v>
      </c>
      <c r="IO46" s="5">
        <v>3748.97</v>
      </c>
      <c r="IP46" s="5">
        <v>6954.81</v>
      </c>
      <c r="IQ46" s="5">
        <v>4494.24</v>
      </c>
      <c r="IR46" s="5">
        <v>642.41999999999996</v>
      </c>
      <c r="IS46" s="5">
        <v>7380.42</v>
      </c>
      <c r="IT46" s="157">
        <v>13931.94</v>
      </c>
      <c r="IU46" s="4">
        <f t="shared" si="10"/>
        <v>3764633.3600000003</v>
      </c>
    </row>
    <row r="47" spans="1:256" s="42" customFormat="1" ht="14.1" customHeight="1" thickBot="1">
      <c r="A47" s="44" t="s">
        <v>24</v>
      </c>
      <c r="B47" s="45"/>
      <c r="C47" s="46">
        <f t="shared" ref="C47:BN47" si="11">SUM(C29:C46)</f>
        <v>647852.69000000006</v>
      </c>
      <c r="D47" s="46">
        <f t="shared" si="11"/>
        <v>798820.04</v>
      </c>
      <c r="E47" s="46">
        <f t="shared" si="11"/>
        <v>4168295.06</v>
      </c>
      <c r="F47" s="46">
        <f t="shared" si="11"/>
        <v>789798.42</v>
      </c>
      <c r="G47" s="46">
        <f t="shared" si="11"/>
        <v>15650364.459999999</v>
      </c>
      <c r="H47" s="46">
        <f t="shared" si="11"/>
        <v>400811675.37</v>
      </c>
      <c r="I47" s="46">
        <f t="shared" si="11"/>
        <v>5110102.32</v>
      </c>
      <c r="J47" s="46">
        <f t="shared" si="11"/>
        <v>1578643.1300000001</v>
      </c>
      <c r="K47" s="46">
        <f t="shared" si="11"/>
        <v>3736966.28</v>
      </c>
      <c r="L47" s="46">
        <f t="shared" si="11"/>
        <v>842216.72</v>
      </c>
      <c r="M47" s="46">
        <f t="shared" si="11"/>
        <v>1198524.22</v>
      </c>
      <c r="N47" s="46">
        <f t="shared" si="11"/>
        <v>67662213.36999999</v>
      </c>
      <c r="O47" s="46">
        <f t="shared" si="11"/>
        <v>3376839.4</v>
      </c>
      <c r="P47" s="46">
        <f t="shared" si="11"/>
        <v>1721206.2300000002</v>
      </c>
      <c r="Q47" s="46">
        <f t="shared" si="11"/>
        <v>7448735.7199999997</v>
      </c>
      <c r="R47" s="46">
        <f t="shared" si="11"/>
        <v>1238094.7400000002</v>
      </c>
      <c r="S47" s="46">
        <f t="shared" si="11"/>
        <v>6642894.4100000001</v>
      </c>
      <c r="T47" s="46">
        <f t="shared" si="11"/>
        <v>1454341.2400000002</v>
      </c>
      <c r="U47" s="46">
        <f t="shared" si="11"/>
        <v>2821544</v>
      </c>
      <c r="V47" s="46">
        <f t="shared" si="11"/>
        <v>1108531.06</v>
      </c>
      <c r="W47" s="46">
        <f t="shared" si="11"/>
        <v>2133474.5700000008</v>
      </c>
      <c r="X47" s="46">
        <f t="shared" si="11"/>
        <v>1414178.1</v>
      </c>
      <c r="Y47" s="46">
        <f t="shared" si="11"/>
        <v>2073708.13</v>
      </c>
      <c r="Z47" s="46">
        <f t="shared" si="11"/>
        <v>4325073.9800000004</v>
      </c>
      <c r="AA47" s="46">
        <f t="shared" si="11"/>
        <v>14595576.01</v>
      </c>
      <c r="AB47" s="46">
        <f t="shared" si="11"/>
        <v>3943871.56</v>
      </c>
      <c r="AC47" s="46">
        <f t="shared" si="11"/>
        <v>5305287.71</v>
      </c>
      <c r="AD47" s="46">
        <f t="shared" si="11"/>
        <v>1869681.0799999998</v>
      </c>
      <c r="AE47" s="46">
        <f t="shared" si="11"/>
        <v>1166353.17</v>
      </c>
      <c r="AF47" s="46">
        <f t="shared" si="11"/>
        <v>59074423.449999996</v>
      </c>
      <c r="AG47" s="46">
        <f t="shared" si="11"/>
        <v>10980645.76</v>
      </c>
      <c r="AH47" s="46">
        <f t="shared" si="11"/>
        <v>690618.17999999993</v>
      </c>
      <c r="AI47" s="46">
        <f t="shared" si="11"/>
        <v>1113412.0899999999</v>
      </c>
      <c r="AJ47" s="46">
        <f t="shared" si="11"/>
        <v>2072908.1199999999</v>
      </c>
      <c r="AK47" s="46">
        <f t="shared" si="11"/>
        <v>386454.47000000003</v>
      </c>
      <c r="AL47" s="46">
        <f t="shared" si="11"/>
        <v>3595407.1899999995</v>
      </c>
      <c r="AM47" s="46">
        <f t="shared" si="11"/>
        <v>1570102.76</v>
      </c>
      <c r="AN47" s="46">
        <f t="shared" si="11"/>
        <v>546035.89999999991</v>
      </c>
      <c r="AO47" s="46">
        <f t="shared" si="11"/>
        <v>3627205.73</v>
      </c>
      <c r="AP47" s="46">
        <f t="shared" si="11"/>
        <v>1158447.0299999998</v>
      </c>
      <c r="AQ47" s="46">
        <f t="shared" si="11"/>
        <v>2271253.9799999995</v>
      </c>
      <c r="AR47" s="46">
        <f t="shared" si="11"/>
        <v>2203089.54</v>
      </c>
      <c r="AS47" s="46">
        <f t="shared" si="11"/>
        <v>1679415.42</v>
      </c>
      <c r="AT47" s="46">
        <f t="shared" si="11"/>
        <v>1236334.3900000001</v>
      </c>
      <c r="AU47" s="46">
        <f t="shared" si="11"/>
        <v>2351672.66</v>
      </c>
      <c r="AV47" s="46">
        <f t="shared" si="11"/>
        <v>21336384.949999999</v>
      </c>
      <c r="AW47" s="46">
        <f t="shared" si="11"/>
        <v>4502293.1700000009</v>
      </c>
      <c r="AX47" s="46">
        <f t="shared" si="11"/>
        <v>669179.96000000008</v>
      </c>
      <c r="AY47" s="46">
        <f t="shared" si="11"/>
        <v>2038981.99</v>
      </c>
      <c r="AZ47" s="46">
        <f t="shared" si="11"/>
        <v>726045.6</v>
      </c>
      <c r="BA47" s="46">
        <f t="shared" si="11"/>
        <v>4661887.1000000006</v>
      </c>
      <c r="BB47" s="46">
        <f t="shared" si="11"/>
        <v>3380157.74</v>
      </c>
      <c r="BC47" s="46">
        <f t="shared" si="11"/>
        <v>59119457.640000001</v>
      </c>
      <c r="BD47" s="46">
        <f t="shared" si="11"/>
        <v>16545872.850000001</v>
      </c>
      <c r="BE47" s="46">
        <f t="shared" si="11"/>
        <v>2516901.54</v>
      </c>
      <c r="BF47" s="46">
        <f t="shared" si="11"/>
        <v>4297605.6100000003</v>
      </c>
      <c r="BG47" s="46">
        <f t="shared" si="11"/>
        <v>2527688.4500000002</v>
      </c>
      <c r="BH47" s="46">
        <f t="shared" si="11"/>
        <v>1450648.83</v>
      </c>
      <c r="BI47" s="46">
        <f t="shared" si="11"/>
        <v>1730165.55</v>
      </c>
      <c r="BJ47" s="46">
        <f t="shared" si="11"/>
        <v>3665906.26</v>
      </c>
      <c r="BK47" s="46">
        <f t="shared" si="11"/>
        <v>729370.5199999999</v>
      </c>
      <c r="BL47" s="46">
        <f t="shared" si="11"/>
        <v>5282479.45</v>
      </c>
      <c r="BM47" s="46">
        <f t="shared" si="11"/>
        <v>1509939.86</v>
      </c>
      <c r="BN47" s="46">
        <f t="shared" si="11"/>
        <v>28447990.23</v>
      </c>
      <c r="BO47" s="46">
        <f t="shared" ref="BO47:DZ47" si="12">SUM(BO29:BO46)</f>
        <v>672697.33</v>
      </c>
      <c r="BP47" s="46">
        <f t="shared" si="12"/>
        <v>4053769.63</v>
      </c>
      <c r="BQ47" s="46">
        <f t="shared" si="12"/>
        <v>3332963.8</v>
      </c>
      <c r="BR47" s="46">
        <f t="shared" si="12"/>
        <v>14734360.880000001</v>
      </c>
      <c r="BS47" s="46">
        <f t="shared" si="12"/>
        <v>1174411.9900000002</v>
      </c>
      <c r="BT47" s="46">
        <f t="shared" si="12"/>
        <v>939305.05000000016</v>
      </c>
      <c r="BU47" s="46">
        <f t="shared" si="12"/>
        <v>728768.27999999991</v>
      </c>
      <c r="BV47" s="46">
        <f t="shared" si="12"/>
        <v>5749528.1200000001</v>
      </c>
      <c r="BW47" s="46">
        <f t="shared" si="12"/>
        <v>722061.71000000008</v>
      </c>
      <c r="BX47" s="46">
        <f t="shared" si="12"/>
        <v>801717.85</v>
      </c>
      <c r="BY47" s="46">
        <f t="shared" si="12"/>
        <v>61099917.409999996</v>
      </c>
      <c r="BZ47" s="46">
        <f t="shared" si="12"/>
        <v>16803716.040000003</v>
      </c>
      <c r="CA47" s="46">
        <f t="shared" si="12"/>
        <v>7611035.2300000004</v>
      </c>
      <c r="CB47" s="46">
        <f t="shared" si="12"/>
        <v>1731501.7199999997</v>
      </c>
      <c r="CC47" s="46">
        <f t="shared" si="12"/>
        <v>2654085.9900000002</v>
      </c>
      <c r="CD47" s="46">
        <f t="shared" si="12"/>
        <v>1104745.6400000001</v>
      </c>
      <c r="CE47" s="46">
        <f t="shared" si="12"/>
        <v>890198.32</v>
      </c>
      <c r="CF47" s="46">
        <f t="shared" si="12"/>
        <v>5452128.4200000009</v>
      </c>
      <c r="CG47" s="46">
        <f t="shared" si="12"/>
        <v>1563094.73</v>
      </c>
      <c r="CH47" s="46">
        <f t="shared" si="12"/>
        <v>1250380.05</v>
      </c>
      <c r="CI47" s="46">
        <f t="shared" si="12"/>
        <v>4839173.47</v>
      </c>
      <c r="CJ47" s="46">
        <f t="shared" si="12"/>
        <v>3200524.89</v>
      </c>
      <c r="CK47" s="46">
        <f t="shared" si="12"/>
        <v>3063663.3200000003</v>
      </c>
      <c r="CL47" s="46">
        <f t="shared" si="12"/>
        <v>4940022.42</v>
      </c>
      <c r="CM47" s="46">
        <f t="shared" si="12"/>
        <v>651205.87999999989</v>
      </c>
      <c r="CN47" s="46">
        <f t="shared" si="12"/>
        <v>19922922.649999999</v>
      </c>
      <c r="CO47" s="46">
        <f t="shared" si="12"/>
        <v>2165924.77</v>
      </c>
      <c r="CP47" s="46">
        <f t="shared" si="12"/>
        <v>2225162.98</v>
      </c>
      <c r="CQ47" s="46">
        <f t="shared" si="12"/>
        <v>1234243.95</v>
      </c>
      <c r="CR47" s="46">
        <f t="shared" si="12"/>
        <v>1002562.5</v>
      </c>
      <c r="CS47" s="46">
        <f t="shared" si="12"/>
        <v>61858605.579999998</v>
      </c>
      <c r="CT47" s="46">
        <f t="shared" si="12"/>
        <v>11280068.469999999</v>
      </c>
      <c r="CU47" s="46">
        <f t="shared" si="12"/>
        <v>1677081.72</v>
      </c>
      <c r="CV47" s="46">
        <f t="shared" si="12"/>
        <v>2697723.73</v>
      </c>
      <c r="CW47" s="46">
        <f t="shared" si="12"/>
        <v>2694196.0399999996</v>
      </c>
      <c r="CX47" s="46">
        <f t="shared" si="12"/>
        <v>2428269.2799999998</v>
      </c>
      <c r="CY47" s="46">
        <f t="shared" si="12"/>
        <v>5093185.59</v>
      </c>
      <c r="CZ47" s="46">
        <f t="shared" si="12"/>
        <v>2226162.5</v>
      </c>
      <c r="DA47" s="46">
        <f t="shared" si="12"/>
        <v>2103518.13</v>
      </c>
      <c r="DB47" s="46">
        <f t="shared" si="12"/>
        <v>4694889.3100000005</v>
      </c>
      <c r="DC47" s="46">
        <f t="shared" si="12"/>
        <v>5958381.1299999999</v>
      </c>
      <c r="DD47" s="46">
        <f t="shared" si="12"/>
        <v>4176481.43</v>
      </c>
      <c r="DE47" s="46">
        <f t="shared" si="12"/>
        <v>9296294.0999999996</v>
      </c>
      <c r="DF47" s="46">
        <f t="shared" si="12"/>
        <v>1978950.92</v>
      </c>
      <c r="DG47" s="46">
        <f t="shared" si="12"/>
        <v>7363426.9500000011</v>
      </c>
      <c r="DH47" s="46">
        <f t="shared" si="12"/>
        <v>2587310.2700000005</v>
      </c>
      <c r="DI47" s="46">
        <f t="shared" si="12"/>
        <v>1800454.48</v>
      </c>
      <c r="DJ47" s="46">
        <f t="shared" si="12"/>
        <v>292517.34999999998</v>
      </c>
      <c r="DK47" s="46">
        <f t="shared" si="12"/>
        <v>586883.30000000005</v>
      </c>
      <c r="DL47" s="46">
        <f t="shared" si="12"/>
        <v>1956478.4500000002</v>
      </c>
      <c r="DM47" s="46">
        <f t="shared" si="12"/>
        <v>782755.98</v>
      </c>
      <c r="DN47" s="46">
        <f t="shared" si="12"/>
        <v>62049718.259999998</v>
      </c>
      <c r="DO47" s="46">
        <f t="shared" si="12"/>
        <v>12172089.709999999</v>
      </c>
      <c r="DP47" s="46">
        <f t="shared" si="12"/>
        <v>299758.73</v>
      </c>
      <c r="DQ47" s="46">
        <f t="shared" si="12"/>
        <v>2012954.96</v>
      </c>
      <c r="DR47" s="46">
        <f t="shared" si="12"/>
        <v>461919.98</v>
      </c>
      <c r="DS47" s="46">
        <f t="shared" si="12"/>
        <v>902064.25</v>
      </c>
      <c r="DT47" s="46">
        <f t="shared" si="12"/>
        <v>959092.80999999994</v>
      </c>
      <c r="DU47" s="46">
        <f t="shared" si="12"/>
        <v>1868105.48</v>
      </c>
      <c r="DV47" s="46">
        <f t="shared" si="12"/>
        <v>3349745.46</v>
      </c>
      <c r="DW47" s="46">
        <f t="shared" si="12"/>
        <v>2486858.1</v>
      </c>
      <c r="DX47" s="46">
        <f t="shared" si="12"/>
        <v>757711.20000000007</v>
      </c>
      <c r="DY47" s="46">
        <f t="shared" si="12"/>
        <v>681465.85</v>
      </c>
      <c r="DZ47" s="46">
        <f t="shared" si="12"/>
        <v>4915567.05</v>
      </c>
      <c r="EA47" s="46">
        <f t="shared" ref="EA47:GL47" si="13">SUM(EA29:EA46)</f>
        <v>1553596.9700000002</v>
      </c>
      <c r="EB47" s="46">
        <f t="shared" si="13"/>
        <v>3658273.7</v>
      </c>
      <c r="EC47" s="46">
        <f t="shared" si="13"/>
        <v>7978379.7800000012</v>
      </c>
      <c r="ED47" s="46">
        <f t="shared" si="13"/>
        <v>15835192.619999999</v>
      </c>
      <c r="EE47" s="46">
        <f t="shared" si="13"/>
        <v>886870.65999999992</v>
      </c>
      <c r="EF47" s="46">
        <f t="shared" si="13"/>
        <v>4564241.62</v>
      </c>
      <c r="EG47" s="46">
        <f t="shared" si="13"/>
        <v>957461.07000000007</v>
      </c>
      <c r="EH47" s="46">
        <f t="shared" si="13"/>
        <v>316641.68</v>
      </c>
      <c r="EI47" s="46">
        <f t="shared" si="13"/>
        <v>676056.68</v>
      </c>
      <c r="EJ47" s="46">
        <f t="shared" si="13"/>
        <v>1564726.94</v>
      </c>
      <c r="EK47" s="66">
        <f t="shared" si="13"/>
        <v>60596026.530000001</v>
      </c>
      <c r="EL47" s="46">
        <f t="shared" si="13"/>
        <v>14314235.969999999</v>
      </c>
      <c r="EM47" s="46">
        <f t="shared" si="13"/>
        <v>1500228.89</v>
      </c>
      <c r="EN47" s="46">
        <f t="shared" si="13"/>
        <v>958406.81</v>
      </c>
      <c r="EO47" s="46">
        <f t="shared" si="13"/>
        <v>914418.99000000011</v>
      </c>
      <c r="EP47" s="46">
        <f t="shared" si="13"/>
        <v>3167831.5999999996</v>
      </c>
      <c r="EQ47" s="46">
        <f t="shared" si="13"/>
        <v>5201817.0699999994</v>
      </c>
      <c r="ER47" s="46">
        <f t="shared" si="13"/>
        <v>385186.11</v>
      </c>
      <c r="ES47" s="46">
        <f t="shared" si="13"/>
        <v>2635791.5900000003</v>
      </c>
      <c r="ET47" s="46">
        <f t="shared" si="13"/>
        <v>417476.47000000003</v>
      </c>
      <c r="EU47" s="46">
        <f t="shared" si="13"/>
        <v>1400115.04</v>
      </c>
      <c r="EV47" s="46">
        <f t="shared" si="13"/>
        <v>2380305.1000000006</v>
      </c>
      <c r="EW47" s="46">
        <f t="shared" si="13"/>
        <v>1749735.4499999997</v>
      </c>
      <c r="EX47" s="46">
        <f t="shared" si="13"/>
        <v>691774.36</v>
      </c>
      <c r="EY47" s="46">
        <f t="shared" si="13"/>
        <v>16456503.93</v>
      </c>
      <c r="EZ47" s="46">
        <f t="shared" si="13"/>
        <v>707527.91</v>
      </c>
      <c r="FA47" s="46">
        <f t="shared" si="13"/>
        <v>1198261.56</v>
      </c>
      <c r="FB47" s="46">
        <f t="shared" si="13"/>
        <v>524572.07999999996</v>
      </c>
      <c r="FC47" s="46">
        <f t="shared" si="13"/>
        <v>845262.96</v>
      </c>
      <c r="FD47" s="46">
        <f t="shared" si="13"/>
        <v>368509.26</v>
      </c>
      <c r="FE47" s="46">
        <f t="shared" si="13"/>
        <v>60366307.109999999</v>
      </c>
      <c r="FF47" s="46">
        <f t="shared" si="13"/>
        <v>10946578.949999999</v>
      </c>
      <c r="FG47" s="46">
        <f t="shared" si="13"/>
        <v>5395032.8699999992</v>
      </c>
      <c r="FH47" s="46">
        <f t="shared" si="13"/>
        <v>1872789.73</v>
      </c>
      <c r="FI47" s="46">
        <f t="shared" si="13"/>
        <v>4529365.68</v>
      </c>
      <c r="FJ47" s="46">
        <f t="shared" si="13"/>
        <v>1176847.17</v>
      </c>
      <c r="FK47" s="46">
        <f t="shared" si="13"/>
        <v>1655523.8899999997</v>
      </c>
      <c r="FL47" s="66">
        <f t="shared" si="13"/>
        <v>2080877.4600000002</v>
      </c>
      <c r="FM47" s="46">
        <f t="shared" si="13"/>
        <v>1183368.3500000001</v>
      </c>
      <c r="FN47" s="46">
        <f t="shared" si="13"/>
        <v>691239.40999999992</v>
      </c>
      <c r="FO47" s="46">
        <f t="shared" si="13"/>
        <v>1888979.11</v>
      </c>
      <c r="FP47" s="46">
        <f t="shared" si="13"/>
        <v>3584063.3699999996</v>
      </c>
      <c r="FQ47" s="46">
        <f t="shared" si="13"/>
        <v>1135191.3999999999</v>
      </c>
      <c r="FR47" s="46">
        <f t="shared" si="13"/>
        <v>1212328.79</v>
      </c>
      <c r="FS47" s="46">
        <f t="shared" si="13"/>
        <v>5338034.57</v>
      </c>
      <c r="FT47" s="46">
        <f t="shared" si="13"/>
        <v>15951492.320000002</v>
      </c>
      <c r="FU47" s="46">
        <f t="shared" si="13"/>
        <v>3839949.5600000005</v>
      </c>
      <c r="FV47" s="46">
        <f t="shared" si="13"/>
        <v>570171.07000000007</v>
      </c>
      <c r="FW47" s="46">
        <f t="shared" si="13"/>
        <v>411425.85</v>
      </c>
      <c r="FX47" s="46">
        <f t="shared" si="13"/>
        <v>664372.21</v>
      </c>
      <c r="FY47" s="46">
        <f t="shared" si="13"/>
        <v>2951809.8600000003</v>
      </c>
      <c r="FZ47" s="107">
        <f t="shared" si="13"/>
        <v>147714473.32999998</v>
      </c>
      <c r="GA47" s="46">
        <f t="shared" si="13"/>
        <v>1649562.73</v>
      </c>
      <c r="GB47" s="46">
        <f t="shared" si="13"/>
        <v>5175698.09</v>
      </c>
      <c r="GC47" s="46">
        <f t="shared" si="13"/>
        <v>6933134.7599999998</v>
      </c>
      <c r="GD47" s="46">
        <f t="shared" si="13"/>
        <v>1138044.6000000001</v>
      </c>
      <c r="GE47" s="46">
        <f t="shared" si="13"/>
        <v>1816440.5699999998</v>
      </c>
      <c r="GF47" s="46">
        <f t="shared" si="13"/>
        <v>1160211.1599999999</v>
      </c>
      <c r="GG47" s="46">
        <f t="shared" si="13"/>
        <v>1118902.1899999997</v>
      </c>
      <c r="GH47" s="46">
        <f t="shared" si="13"/>
        <v>2876181.56</v>
      </c>
      <c r="GI47" s="46">
        <f t="shared" si="13"/>
        <v>1768128.7500000002</v>
      </c>
      <c r="GJ47" s="46">
        <f t="shared" si="13"/>
        <v>968785.28999999992</v>
      </c>
      <c r="GK47" s="46">
        <f t="shared" si="13"/>
        <v>1444161.0599999998</v>
      </c>
      <c r="GL47" s="46">
        <f t="shared" si="13"/>
        <v>4716908.0600000005</v>
      </c>
      <c r="GM47" s="46">
        <f t="shared" ref="GM47:IU47" si="14">SUM(GM29:GM46)</f>
        <v>2654265.13</v>
      </c>
      <c r="GN47" s="46">
        <f t="shared" si="14"/>
        <v>991427.70000000007</v>
      </c>
      <c r="GO47" s="46">
        <f t="shared" si="14"/>
        <v>1104785.18</v>
      </c>
      <c r="GP47" s="46">
        <f t="shared" si="14"/>
        <v>15563332.490000002</v>
      </c>
      <c r="GQ47" s="46">
        <f t="shared" si="14"/>
        <v>662072.84000000008</v>
      </c>
      <c r="GR47" s="46">
        <f t="shared" si="14"/>
        <v>1851239.68</v>
      </c>
      <c r="GS47" s="46">
        <f t="shared" si="14"/>
        <v>1779868.51</v>
      </c>
      <c r="GT47" s="46">
        <f t="shared" si="14"/>
        <v>833999.44</v>
      </c>
      <c r="GU47" s="107">
        <f t="shared" si="14"/>
        <v>73982759.160000011</v>
      </c>
      <c r="GV47" s="46">
        <f t="shared" si="14"/>
        <v>3605796.3899999997</v>
      </c>
      <c r="GW47" s="46">
        <f t="shared" si="14"/>
        <v>820243.89</v>
      </c>
      <c r="GX47" s="46">
        <f t="shared" si="14"/>
        <v>1227990.98</v>
      </c>
      <c r="GY47" s="46">
        <f t="shared" si="14"/>
        <v>706902.53999999992</v>
      </c>
      <c r="GZ47" s="46">
        <f t="shared" si="14"/>
        <v>738966.45000000007</v>
      </c>
      <c r="HA47" s="46">
        <f t="shared" si="14"/>
        <v>8722110.5699999984</v>
      </c>
      <c r="HB47" s="46">
        <f t="shared" si="14"/>
        <v>515125.27999999997</v>
      </c>
      <c r="HC47" s="46">
        <f t="shared" si="14"/>
        <v>3966796.53</v>
      </c>
      <c r="HD47" s="46">
        <f t="shared" si="14"/>
        <v>1016876.6200000001</v>
      </c>
      <c r="HE47" s="46">
        <f t="shared" si="14"/>
        <v>666525.52999999991</v>
      </c>
      <c r="HF47" s="46">
        <f t="shared" si="14"/>
        <v>1204141.8</v>
      </c>
      <c r="HG47" s="46">
        <f t="shared" si="14"/>
        <v>822362.41</v>
      </c>
      <c r="HH47" s="46">
        <f t="shared" si="14"/>
        <v>370078.82999999996</v>
      </c>
      <c r="HI47" s="46">
        <f t="shared" si="14"/>
        <v>15799220.34</v>
      </c>
      <c r="HJ47" s="46">
        <f t="shared" si="14"/>
        <v>2172139.5700000003</v>
      </c>
      <c r="HK47" s="46">
        <f t="shared" si="14"/>
        <v>3165546.9</v>
      </c>
      <c r="HL47" s="46">
        <f t="shared" si="14"/>
        <v>425190</v>
      </c>
      <c r="HM47" s="46">
        <f t="shared" si="14"/>
        <v>456059.73</v>
      </c>
      <c r="HN47" s="142">
        <f t="shared" si="14"/>
        <v>3063445.75</v>
      </c>
      <c r="HO47" s="66">
        <f t="shared" si="14"/>
        <v>76138571.579999998</v>
      </c>
      <c r="HP47" s="46">
        <f t="shared" si="14"/>
        <v>701537.13</v>
      </c>
      <c r="HQ47" s="46">
        <f t="shared" si="14"/>
        <v>1007443.02</v>
      </c>
      <c r="HR47" s="46">
        <f t="shared" si="14"/>
        <v>1399547.2299999997</v>
      </c>
      <c r="HS47" s="46">
        <f t="shared" si="14"/>
        <v>866798.55999999994</v>
      </c>
      <c r="HT47" s="46">
        <f t="shared" si="14"/>
        <v>13860687.41</v>
      </c>
      <c r="HU47" s="46">
        <f t="shared" si="14"/>
        <v>3533991.84</v>
      </c>
      <c r="HV47" s="46">
        <f t="shared" si="14"/>
        <v>2037452.24</v>
      </c>
      <c r="HW47" s="46">
        <f t="shared" si="14"/>
        <v>6836662.3399999999</v>
      </c>
      <c r="HX47" s="46">
        <f t="shared" si="14"/>
        <v>1630114.6600000001</v>
      </c>
      <c r="HY47" s="46">
        <f t="shared" si="14"/>
        <v>666662.72</v>
      </c>
      <c r="HZ47" s="46">
        <f t="shared" si="14"/>
        <v>1268481.0899999999</v>
      </c>
      <c r="IA47" s="46">
        <f t="shared" si="14"/>
        <v>1461125.77</v>
      </c>
      <c r="IB47" s="46">
        <f t="shared" si="14"/>
        <v>893720.91999999993</v>
      </c>
      <c r="IC47" s="46">
        <f t="shared" si="14"/>
        <v>14601439.879999999</v>
      </c>
      <c r="ID47" s="46">
        <f t="shared" si="14"/>
        <v>640191.29999999993</v>
      </c>
      <c r="IE47" s="46">
        <f t="shared" si="14"/>
        <v>399983.73999999993</v>
      </c>
      <c r="IF47" s="46">
        <f t="shared" si="14"/>
        <v>1929706.52</v>
      </c>
      <c r="IG47" s="46">
        <f t="shared" si="14"/>
        <v>101668634.69</v>
      </c>
      <c r="IH47" s="107">
        <f t="shared" si="14"/>
        <v>820243.57</v>
      </c>
      <c r="II47" s="46">
        <f t="shared" si="14"/>
        <v>311090.2</v>
      </c>
      <c r="IJ47" s="46">
        <f t="shared" si="14"/>
        <v>70278910.120000005</v>
      </c>
      <c r="IK47" s="46">
        <f t="shared" si="14"/>
        <v>720979.95</v>
      </c>
      <c r="IL47" s="46">
        <f t="shared" si="14"/>
        <v>51432197.379999995</v>
      </c>
      <c r="IM47" s="46">
        <f t="shared" si="14"/>
        <v>2566918.09</v>
      </c>
      <c r="IN47" s="46">
        <f t="shared" si="14"/>
        <v>2845286.08</v>
      </c>
      <c r="IO47" s="46">
        <f t="shared" si="14"/>
        <v>3074704.67</v>
      </c>
      <c r="IP47" s="46">
        <f t="shared" si="14"/>
        <v>1714216.6800000002</v>
      </c>
      <c r="IQ47" s="46">
        <f t="shared" si="14"/>
        <v>19040965.370000001</v>
      </c>
      <c r="IR47" s="46">
        <f t="shared" si="14"/>
        <v>741955.94000000006</v>
      </c>
      <c r="IS47" s="46">
        <f t="shared" si="14"/>
        <v>1524540.8299999998</v>
      </c>
      <c r="IT47" s="46">
        <f t="shared" si="14"/>
        <v>529707.52000000002</v>
      </c>
      <c r="IU47" s="46">
        <f t="shared" si="14"/>
        <v>2223815425.5999999</v>
      </c>
      <c r="IV47" s="8"/>
    </row>
    <row r="48" spans="1:256" ht="14.1" customHeight="1" thickTop="1">
      <c r="A48" s="3" t="s">
        <v>14</v>
      </c>
      <c r="B48" s="3"/>
      <c r="C48" s="159">
        <v>178705.55</v>
      </c>
      <c r="D48" s="6">
        <v>296489.46000000002</v>
      </c>
      <c r="E48" s="6"/>
      <c r="F48" s="6"/>
      <c r="G48" s="6"/>
      <c r="H48" s="6">
        <v>222813.81</v>
      </c>
      <c r="I48" s="6">
        <v>259118.86</v>
      </c>
      <c r="J48" s="6">
        <v>247177.56</v>
      </c>
      <c r="K48" s="6">
        <v>171049.46</v>
      </c>
      <c r="L48" s="6">
        <v>158533.95000000001</v>
      </c>
      <c r="M48" s="6">
        <v>211918.24</v>
      </c>
      <c r="N48" s="6">
        <v>294114.45</v>
      </c>
      <c r="O48" s="6">
        <v>245450.99</v>
      </c>
      <c r="P48" s="6">
        <v>237375.42</v>
      </c>
      <c r="Q48" s="6">
        <v>204960.66</v>
      </c>
      <c r="R48" s="6">
        <v>164805.78</v>
      </c>
      <c r="S48" s="6">
        <v>289755.93</v>
      </c>
      <c r="T48" s="6">
        <v>251788.13</v>
      </c>
      <c r="U48" s="6">
        <v>159822.26999999999</v>
      </c>
      <c r="V48" s="6">
        <v>260220.43</v>
      </c>
      <c r="W48" s="159">
        <v>250630.64</v>
      </c>
      <c r="X48" s="6">
        <v>169578.7</v>
      </c>
      <c r="Y48" s="6">
        <v>39255.82</v>
      </c>
      <c r="Z48" s="6">
        <v>262096.81</v>
      </c>
      <c r="AA48" s="6">
        <v>225406.83</v>
      </c>
      <c r="AB48" s="6">
        <v>34587.269999999997</v>
      </c>
      <c r="AC48" s="6">
        <v>133731.19</v>
      </c>
      <c r="AD48" s="6">
        <v>115652.98</v>
      </c>
      <c r="AE48" s="6">
        <v>114091.07</v>
      </c>
      <c r="AF48" s="6">
        <v>270432.98</v>
      </c>
      <c r="AG48" s="6">
        <v>163545.28</v>
      </c>
      <c r="AH48" s="6">
        <v>122369.1</v>
      </c>
      <c r="AI48" s="6">
        <v>49705.95</v>
      </c>
      <c r="AJ48" s="6">
        <v>232791.3</v>
      </c>
      <c r="AK48" s="6">
        <v>8159494.6200000001</v>
      </c>
      <c r="AL48" s="6">
        <v>5368139.62</v>
      </c>
      <c r="AM48" s="6">
        <v>167261.68</v>
      </c>
      <c r="AN48" s="6">
        <v>255024.26</v>
      </c>
      <c r="AO48" s="6">
        <v>141387.66</v>
      </c>
      <c r="AP48" s="6">
        <v>121201.77</v>
      </c>
      <c r="AQ48" s="6">
        <v>273909.78999999998</v>
      </c>
      <c r="AR48" s="159">
        <v>173102.87</v>
      </c>
      <c r="AS48" s="6">
        <v>180251.39</v>
      </c>
      <c r="AT48" s="6">
        <v>1449676.42</v>
      </c>
      <c r="AU48" s="6">
        <v>137986.9</v>
      </c>
      <c r="AV48" s="6">
        <v>246028.73</v>
      </c>
      <c r="AW48" s="6">
        <v>322511.78000000003</v>
      </c>
      <c r="AX48" s="6">
        <v>137969.09</v>
      </c>
      <c r="AY48" s="6">
        <v>170011.34</v>
      </c>
      <c r="AZ48" s="6">
        <v>149716.41</v>
      </c>
      <c r="BA48" s="6">
        <v>87598.63</v>
      </c>
      <c r="BB48" s="6">
        <v>169412.23</v>
      </c>
      <c r="BC48" s="6">
        <v>256573.3</v>
      </c>
      <c r="BD48" s="6">
        <v>231200.23</v>
      </c>
      <c r="BE48" s="6">
        <v>159919.54</v>
      </c>
      <c r="BF48" s="6">
        <v>276354.28000000003</v>
      </c>
      <c r="BG48" s="6">
        <v>250028.93</v>
      </c>
      <c r="BH48" s="6">
        <v>187444.74</v>
      </c>
      <c r="BI48" s="6">
        <v>344760.86</v>
      </c>
      <c r="BJ48" s="6">
        <v>162346.66</v>
      </c>
      <c r="BK48" s="6">
        <v>167673.38</v>
      </c>
      <c r="BL48" s="6">
        <v>225717.55</v>
      </c>
      <c r="BM48" s="6">
        <v>159346.16</v>
      </c>
      <c r="BN48" s="159">
        <v>228256.22</v>
      </c>
      <c r="BO48" s="6">
        <v>159078.82999999999</v>
      </c>
      <c r="BP48" s="6">
        <v>118824.25</v>
      </c>
      <c r="BQ48" s="6">
        <v>194393.24</v>
      </c>
      <c r="BR48" s="6">
        <v>210036.7</v>
      </c>
      <c r="BS48" s="6">
        <v>203821.14</v>
      </c>
      <c r="BT48" s="6">
        <v>201206.84</v>
      </c>
      <c r="BU48" s="6">
        <v>248074.15</v>
      </c>
      <c r="BV48" s="6">
        <v>185678.24</v>
      </c>
      <c r="BW48" s="6">
        <v>216104.3</v>
      </c>
      <c r="BX48" s="6">
        <v>218690.37</v>
      </c>
      <c r="BY48" s="6">
        <v>228431.62</v>
      </c>
      <c r="BZ48" s="6">
        <v>244348.57</v>
      </c>
      <c r="CA48" s="6">
        <v>170778.57</v>
      </c>
      <c r="CB48" s="6"/>
      <c r="CC48" s="6"/>
      <c r="CD48" s="6">
        <v>142965.82999999999</v>
      </c>
      <c r="CE48" s="6">
        <v>159898.4</v>
      </c>
      <c r="CF48" s="6">
        <v>197887.53</v>
      </c>
      <c r="CG48" s="6">
        <v>181381.29</v>
      </c>
      <c r="CH48" s="6">
        <v>138106.23999999999</v>
      </c>
      <c r="CI48" s="159">
        <v>109751.15</v>
      </c>
      <c r="CJ48" s="6">
        <v>205069.06</v>
      </c>
      <c r="CK48" s="6">
        <v>643219.68999999994</v>
      </c>
      <c r="CL48" s="6">
        <v>103898.74</v>
      </c>
      <c r="CM48" s="6">
        <v>4808280.0199999996</v>
      </c>
      <c r="CN48" s="6">
        <v>247641.19</v>
      </c>
      <c r="CO48" s="6">
        <v>146150.62</v>
      </c>
      <c r="CP48" s="6">
        <v>144199.88</v>
      </c>
      <c r="CQ48" s="6">
        <v>148383.54999999999</v>
      </c>
      <c r="CR48" s="6">
        <v>70307.92</v>
      </c>
      <c r="CS48" s="6">
        <v>51023.48</v>
      </c>
      <c r="CT48" s="6">
        <v>155684.72</v>
      </c>
      <c r="CU48" s="6">
        <v>118097.3</v>
      </c>
      <c r="CV48" s="6">
        <v>185677.41</v>
      </c>
      <c r="CW48" s="6">
        <v>119207.25</v>
      </c>
      <c r="CX48" s="6">
        <v>142431.28</v>
      </c>
      <c r="CY48" s="6">
        <v>138663.59</v>
      </c>
      <c r="CZ48" s="6">
        <v>135351.15</v>
      </c>
      <c r="DA48" s="6">
        <v>109919.02</v>
      </c>
      <c r="DB48" s="6">
        <v>143527.49</v>
      </c>
      <c r="DC48" s="6">
        <v>142711.07</v>
      </c>
      <c r="DD48" s="159">
        <v>194973.67</v>
      </c>
      <c r="DE48" s="91">
        <v>2644.55</v>
      </c>
      <c r="DF48" s="6">
        <v>70572.08</v>
      </c>
      <c r="DG48" s="6">
        <v>171802.47</v>
      </c>
      <c r="DH48" s="6"/>
      <c r="DI48" s="6">
        <v>111158.48</v>
      </c>
      <c r="DJ48" s="6">
        <v>117955.22</v>
      </c>
      <c r="DK48" s="6">
        <v>121059.49</v>
      </c>
      <c r="DL48" s="6">
        <v>167296.21</v>
      </c>
      <c r="DM48" s="6">
        <v>184540.23</v>
      </c>
      <c r="DN48" s="6">
        <v>188803.97</v>
      </c>
      <c r="DO48" s="6">
        <v>221661.75</v>
      </c>
      <c r="DP48" s="6"/>
      <c r="DQ48" s="6">
        <v>122794.15</v>
      </c>
      <c r="DR48" s="91">
        <v>98721.2</v>
      </c>
      <c r="DS48" s="6"/>
      <c r="DT48" s="6">
        <v>79087.539999999994</v>
      </c>
      <c r="DU48" s="6">
        <v>203308.18</v>
      </c>
      <c r="DV48" s="6">
        <v>176111.09</v>
      </c>
      <c r="DW48" s="6">
        <v>206710.69</v>
      </c>
      <c r="DX48" s="6">
        <v>182985.94</v>
      </c>
      <c r="DY48" s="6">
        <v>127350.63</v>
      </c>
      <c r="DZ48" s="159">
        <v>347436.66</v>
      </c>
      <c r="EA48" s="6">
        <v>533663.05000000005</v>
      </c>
      <c r="EB48" s="6">
        <v>113741.24</v>
      </c>
      <c r="EC48" s="6">
        <v>507977.78</v>
      </c>
      <c r="ED48" s="6">
        <v>108473.31</v>
      </c>
      <c r="EE48" s="6">
        <v>162597.29</v>
      </c>
      <c r="EF48" s="6">
        <v>131602.60999999999</v>
      </c>
      <c r="EG48" s="36">
        <v>133053.10999999999</v>
      </c>
      <c r="EH48" s="6">
        <v>105420.68</v>
      </c>
      <c r="EI48" s="6">
        <v>160638.47</v>
      </c>
      <c r="EJ48" s="6">
        <v>126472.88</v>
      </c>
      <c r="EK48" s="78">
        <v>61334.52</v>
      </c>
      <c r="EL48" s="6">
        <v>1349852.89</v>
      </c>
      <c r="EM48" s="6"/>
      <c r="EN48" s="6">
        <v>137201.59</v>
      </c>
      <c r="EO48" s="6">
        <v>238328.15</v>
      </c>
      <c r="EP48" s="6">
        <v>79332.63</v>
      </c>
      <c r="EQ48" s="6">
        <v>190000.36</v>
      </c>
      <c r="ER48" s="6">
        <v>185103.55</v>
      </c>
      <c r="ES48" s="6">
        <v>196425.43</v>
      </c>
      <c r="ET48" s="6">
        <v>242344.39</v>
      </c>
      <c r="EU48" s="159">
        <v>466879.75</v>
      </c>
      <c r="EV48" s="6">
        <v>244698.48</v>
      </c>
      <c r="EW48" s="6">
        <v>207279.95</v>
      </c>
      <c r="EX48" s="6">
        <v>266685.03999999998</v>
      </c>
      <c r="EY48" s="6">
        <v>177043.92</v>
      </c>
      <c r="EZ48" s="6">
        <v>65068.31</v>
      </c>
      <c r="FA48" s="6">
        <v>174450.94</v>
      </c>
      <c r="FB48" s="6">
        <v>266261.71999999997</v>
      </c>
      <c r="FC48" s="6">
        <v>230556.95</v>
      </c>
      <c r="FD48" s="6">
        <v>261182.11</v>
      </c>
      <c r="FE48" s="6">
        <v>216631.72</v>
      </c>
      <c r="FF48" s="6">
        <v>201588.44</v>
      </c>
      <c r="FG48" s="6">
        <v>222596.27</v>
      </c>
      <c r="FH48" s="6">
        <v>205270.11</v>
      </c>
      <c r="FI48" s="6">
        <v>225277.07</v>
      </c>
      <c r="FJ48" s="6">
        <v>206517.16</v>
      </c>
      <c r="FK48" s="6">
        <v>401092.18</v>
      </c>
      <c r="FL48" s="78">
        <v>243334.31</v>
      </c>
      <c r="FM48" s="6">
        <v>149309.79</v>
      </c>
      <c r="FN48" s="6">
        <v>220941.85</v>
      </c>
      <c r="FO48" s="6">
        <v>1145901.0900000001</v>
      </c>
      <c r="FP48" s="159">
        <v>177309.97</v>
      </c>
      <c r="FQ48" s="6"/>
      <c r="FR48" s="6">
        <v>836155</v>
      </c>
      <c r="FS48" s="6">
        <v>274264.02</v>
      </c>
      <c r="FT48" s="6">
        <v>537200.04</v>
      </c>
      <c r="FU48" s="6">
        <v>223167.4</v>
      </c>
      <c r="FV48" s="6">
        <v>428720.41</v>
      </c>
      <c r="FW48" s="6"/>
      <c r="FX48" s="6">
        <v>473685.72</v>
      </c>
      <c r="FY48" s="6">
        <v>261399.21</v>
      </c>
      <c r="FZ48" s="108">
        <v>396323.4</v>
      </c>
      <c r="GA48" s="6">
        <v>355893.53</v>
      </c>
      <c r="GB48" s="6">
        <v>260348.23</v>
      </c>
      <c r="GC48" s="6">
        <v>180315.46</v>
      </c>
      <c r="GD48" s="6">
        <v>986207.07</v>
      </c>
      <c r="GE48" s="6">
        <v>252429.08</v>
      </c>
      <c r="GF48" s="6">
        <v>192596.45</v>
      </c>
      <c r="GG48" s="6"/>
      <c r="GH48" s="6">
        <v>307387.34000000003</v>
      </c>
      <c r="GI48" s="6">
        <v>213888.01</v>
      </c>
      <c r="GJ48" s="6">
        <v>1073709.17</v>
      </c>
      <c r="GK48" s="6">
        <v>380333.22</v>
      </c>
      <c r="GL48" s="159">
        <v>350394.62</v>
      </c>
      <c r="GM48" s="6">
        <v>220080.93</v>
      </c>
      <c r="GN48" s="6">
        <v>228725.79</v>
      </c>
      <c r="GO48" s="6">
        <v>312393.27</v>
      </c>
      <c r="GP48" s="6"/>
      <c r="GQ48" s="6">
        <v>204366.55</v>
      </c>
      <c r="GR48" s="6">
        <v>496550.11</v>
      </c>
      <c r="GS48" s="6">
        <v>223534.99</v>
      </c>
      <c r="GT48" s="6">
        <v>421153.87</v>
      </c>
      <c r="GU48" s="108">
        <v>385321.89</v>
      </c>
      <c r="GV48" s="6">
        <v>202452.64</v>
      </c>
      <c r="GW48" s="6">
        <v>185754.48</v>
      </c>
      <c r="GX48" s="6">
        <v>241783.06</v>
      </c>
      <c r="GY48" s="6">
        <v>148585.59</v>
      </c>
      <c r="GZ48" s="6">
        <v>849705.7</v>
      </c>
      <c r="HA48" s="6">
        <v>205424.75</v>
      </c>
      <c r="HB48" s="6">
        <v>980333.66</v>
      </c>
      <c r="HC48" s="6">
        <v>242279.3</v>
      </c>
      <c r="HD48" s="159">
        <v>167694.01999999999</v>
      </c>
      <c r="HE48" s="6">
        <v>217134.5</v>
      </c>
      <c r="HF48" s="6">
        <v>333354.06</v>
      </c>
      <c r="HG48" s="6"/>
      <c r="HH48" s="6"/>
      <c r="HI48" s="6">
        <v>189601.13</v>
      </c>
      <c r="HJ48" s="6">
        <v>2696028.61</v>
      </c>
      <c r="HK48" s="6">
        <v>586602.6</v>
      </c>
      <c r="HL48" s="6">
        <v>202969.62</v>
      </c>
      <c r="HM48" s="6">
        <v>322857.77</v>
      </c>
      <c r="HN48" s="134">
        <v>379165.1</v>
      </c>
      <c r="HO48" s="78">
        <v>306559.18</v>
      </c>
      <c r="HP48" s="6">
        <v>203268.63</v>
      </c>
      <c r="HQ48" s="6">
        <v>196000.29</v>
      </c>
      <c r="HR48" s="6">
        <v>213351.57</v>
      </c>
      <c r="HS48" s="6">
        <v>104322.06</v>
      </c>
      <c r="HT48" s="6">
        <v>236476.96</v>
      </c>
      <c r="HU48" s="6">
        <v>179086.99</v>
      </c>
      <c r="HV48" s="6">
        <v>207466.72</v>
      </c>
      <c r="HW48" s="6">
        <v>110812.96</v>
      </c>
      <c r="HX48" s="6">
        <v>180700.3</v>
      </c>
      <c r="HY48" s="6">
        <v>195986.47</v>
      </c>
      <c r="HZ48" s="159">
        <v>247063.09</v>
      </c>
      <c r="IA48" s="6">
        <v>308807.49</v>
      </c>
      <c r="IB48" s="6">
        <v>215577.57</v>
      </c>
      <c r="IC48" s="6">
        <v>125450.63</v>
      </c>
      <c r="ID48" s="6">
        <v>175502.05</v>
      </c>
      <c r="IE48" s="6">
        <v>252002.98</v>
      </c>
      <c r="IF48" s="6">
        <v>317501.37</v>
      </c>
      <c r="IG48" s="6">
        <v>128386.67</v>
      </c>
      <c r="IH48" s="108"/>
      <c r="II48" s="6">
        <v>664205.19999999995</v>
      </c>
      <c r="IJ48" s="6">
        <v>332449.74</v>
      </c>
      <c r="IK48" s="6">
        <v>575419.02</v>
      </c>
      <c r="IL48" s="6">
        <v>191636.49</v>
      </c>
      <c r="IM48" s="6">
        <v>157592.09</v>
      </c>
      <c r="IN48" s="6">
        <v>171462.2</v>
      </c>
      <c r="IO48" s="6">
        <v>302094.51</v>
      </c>
      <c r="IP48" s="6">
        <v>175207.42</v>
      </c>
      <c r="IQ48" s="6">
        <v>189458.89</v>
      </c>
      <c r="IR48" s="6">
        <v>669427.30000000005</v>
      </c>
      <c r="IS48" s="6">
        <v>203669.03</v>
      </c>
      <c r="IT48" s="159">
        <v>1233652.28</v>
      </c>
      <c r="IU48" s="4"/>
      <c r="IV48" s="8"/>
    </row>
    <row r="49" spans="1:256" ht="14.1" customHeight="1">
      <c r="A49" s="4" t="s">
        <v>15</v>
      </c>
      <c r="B49" s="4"/>
      <c r="C49" s="156">
        <v>17200000</v>
      </c>
      <c r="D49" s="1">
        <v>55000000</v>
      </c>
      <c r="E49" s="1">
        <v>3800000</v>
      </c>
      <c r="F49" s="1">
        <v>37000000</v>
      </c>
      <c r="G49" s="1">
        <v>41200000</v>
      </c>
      <c r="H49" s="1">
        <v>25800000</v>
      </c>
      <c r="I49" s="1">
        <v>17300000</v>
      </c>
      <c r="J49" s="1"/>
      <c r="K49" s="1"/>
      <c r="L49" s="1">
        <v>51700000</v>
      </c>
      <c r="M49" s="1"/>
      <c r="N49" s="1"/>
      <c r="O49" s="1">
        <v>2300000</v>
      </c>
      <c r="P49" s="1">
        <v>4400000</v>
      </c>
      <c r="Q49" s="1"/>
      <c r="R49" s="1">
        <v>5100000</v>
      </c>
      <c r="S49" s="1"/>
      <c r="T49" s="1">
        <v>200000</v>
      </c>
      <c r="U49" s="1">
        <v>3300000</v>
      </c>
      <c r="V49" s="1">
        <v>3000000</v>
      </c>
      <c r="W49" s="156">
        <v>900000</v>
      </c>
      <c r="X49" s="1">
        <v>1900000</v>
      </c>
      <c r="Y49" s="1">
        <v>8400000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>
        <v>5700000</v>
      </c>
      <c r="AN49" s="1">
        <v>6300000</v>
      </c>
      <c r="AO49" s="1"/>
      <c r="AP49" s="1">
        <v>2300000</v>
      </c>
      <c r="AQ49" s="1"/>
      <c r="AR49" s="156"/>
      <c r="AS49" s="1"/>
      <c r="AT49" s="1">
        <f>12000000</f>
        <v>12000000</v>
      </c>
      <c r="AU49" s="1">
        <v>2000000</v>
      </c>
      <c r="AV49" s="1"/>
      <c r="AW49" s="1"/>
      <c r="AX49" s="1"/>
      <c r="AY49" s="1"/>
      <c r="AZ49" s="1">
        <v>400000</v>
      </c>
      <c r="BA49" s="1"/>
      <c r="BB49" s="1">
        <v>2000000</v>
      </c>
      <c r="BC49" s="1"/>
      <c r="BD49" s="1"/>
      <c r="BE49" s="1"/>
      <c r="BF49" s="1"/>
      <c r="BG49" s="1">
        <v>1300000</v>
      </c>
      <c r="BH49" s="1"/>
      <c r="BI49" s="1">
        <v>4400000</v>
      </c>
      <c r="BJ49" s="1"/>
      <c r="BK49" s="1">
        <v>4200000</v>
      </c>
      <c r="BL49" s="1"/>
      <c r="BM49" s="1">
        <v>800000</v>
      </c>
      <c r="BN49" s="156"/>
      <c r="BO49" s="1"/>
      <c r="BP49" s="1"/>
      <c r="BQ49" s="1"/>
      <c r="BR49" s="1"/>
      <c r="BS49" s="1"/>
      <c r="BT49" s="1">
        <v>300000</v>
      </c>
      <c r="BU49" s="1"/>
      <c r="BV49" s="1">
        <v>59900000</v>
      </c>
      <c r="BW49" s="1">
        <v>34600000</v>
      </c>
      <c r="BX49" s="1"/>
      <c r="BY49" s="1"/>
      <c r="BZ49" s="1"/>
      <c r="CA49" s="1"/>
      <c r="CB49" s="1"/>
      <c r="CC49" s="1"/>
      <c r="CD49" s="1"/>
      <c r="CE49" s="1"/>
      <c r="CF49" s="1">
        <v>9600000</v>
      </c>
      <c r="CG49" s="1"/>
      <c r="CH49" s="1"/>
      <c r="CI49" s="156"/>
      <c r="CJ49" s="1"/>
      <c r="CK49" s="1"/>
      <c r="CL49" s="1">
        <v>6000000</v>
      </c>
      <c r="CM49" s="1"/>
      <c r="CN49" s="1">
        <v>5000000</v>
      </c>
      <c r="CO49" s="1">
        <v>28600000</v>
      </c>
      <c r="CP49" s="1"/>
      <c r="CQ49" s="1"/>
      <c r="CR49" s="1">
        <v>500000</v>
      </c>
      <c r="CS49" s="1">
        <v>13200000</v>
      </c>
      <c r="CT49" s="1"/>
      <c r="CU49" s="1"/>
      <c r="CV49" s="1"/>
      <c r="CW49" s="1"/>
      <c r="CX49" s="1"/>
      <c r="CY49" s="1"/>
      <c r="CZ49" s="1">
        <v>750000</v>
      </c>
      <c r="DA49" s="1">
        <v>3000000</v>
      </c>
      <c r="DB49" s="1">
        <v>1300000</v>
      </c>
      <c r="DC49" s="1">
        <v>2600000</v>
      </c>
      <c r="DD49" s="156"/>
      <c r="DE49" s="88"/>
      <c r="DF49" s="1"/>
      <c r="DG49" s="1"/>
      <c r="DH49" s="1"/>
      <c r="DI49" s="1">
        <v>500000</v>
      </c>
      <c r="DJ49" s="1"/>
      <c r="DK49" s="1">
        <v>400000</v>
      </c>
      <c r="DL49" s="1"/>
      <c r="DM49" s="1">
        <v>49200000</v>
      </c>
      <c r="DN49" s="1"/>
      <c r="DO49" s="1">
        <v>18000000</v>
      </c>
      <c r="DP49" s="1">
        <v>1400000</v>
      </c>
      <c r="DQ49" s="1"/>
      <c r="DR49" s="88">
        <v>800000</v>
      </c>
      <c r="DS49" s="1">
        <v>0</v>
      </c>
      <c r="DT49" s="1"/>
      <c r="DU49" s="1">
        <v>1200000</v>
      </c>
      <c r="DV49" s="1">
        <v>2200000</v>
      </c>
      <c r="DW49" s="1">
        <v>3000000</v>
      </c>
      <c r="DX49" s="1">
        <v>6800000</v>
      </c>
      <c r="DY49" s="1"/>
      <c r="DZ49" s="156"/>
      <c r="EA49" s="1"/>
      <c r="EB49" s="1"/>
      <c r="EC49" s="1"/>
      <c r="ED49" s="1"/>
      <c r="EE49" s="1"/>
      <c r="EF49" s="1"/>
      <c r="EG49" s="37">
        <v>126400000</v>
      </c>
      <c r="EH49" s="1">
        <v>10000000</v>
      </c>
      <c r="EI49" s="1"/>
      <c r="EJ49" s="1"/>
      <c r="EK49" s="75"/>
      <c r="EL49" s="1">
        <v>0</v>
      </c>
      <c r="EM49" s="1">
        <v>3400000</v>
      </c>
      <c r="EN49" s="1">
        <v>3200000</v>
      </c>
      <c r="EO49" s="1">
        <v>0</v>
      </c>
      <c r="EP49" s="1">
        <v>0</v>
      </c>
      <c r="EQ49" s="1">
        <v>1900000</v>
      </c>
      <c r="ER49" s="1">
        <v>0</v>
      </c>
      <c r="ES49" s="1">
        <v>0</v>
      </c>
      <c r="ET49" s="1">
        <v>0</v>
      </c>
      <c r="EU49" s="156">
        <v>0</v>
      </c>
      <c r="EV49" s="1">
        <v>0</v>
      </c>
      <c r="EW49" s="1">
        <v>0</v>
      </c>
      <c r="EX49" s="1">
        <v>900000</v>
      </c>
      <c r="EY49" s="1">
        <v>0</v>
      </c>
      <c r="EZ49" s="1">
        <v>0</v>
      </c>
      <c r="FA49" s="1">
        <v>68700000</v>
      </c>
      <c r="FB49" s="1">
        <v>900000</v>
      </c>
      <c r="FC49" s="1">
        <v>0</v>
      </c>
      <c r="FD49" s="1">
        <v>0</v>
      </c>
      <c r="FE49" s="1">
        <v>0</v>
      </c>
      <c r="FF49" s="1">
        <v>0</v>
      </c>
      <c r="FG49" s="1">
        <v>3700000</v>
      </c>
      <c r="FH49" s="1">
        <v>0</v>
      </c>
      <c r="FI49" s="1">
        <v>0</v>
      </c>
      <c r="FJ49" s="1">
        <v>5800000</v>
      </c>
      <c r="FK49" s="1">
        <v>7600000</v>
      </c>
      <c r="FL49" s="75">
        <v>15350000</v>
      </c>
      <c r="FM49" s="1">
        <v>119750000</v>
      </c>
      <c r="FN49" s="1">
        <v>0</v>
      </c>
      <c r="FO49" s="1">
        <v>0</v>
      </c>
      <c r="FP49" s="156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400000</v>
      </c>
      <c r="FX49" s="1">
        <v>0</v>
      </c>
      <c r="FY49" s="1">
        <v>0</v>
      </c>
      <c r="FZ49" s="109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86500000</v>
      </c>
      <c r="GI49" s="1">
        <f>8800000+75000000</f>
        <v>83800000</v>
      </c>
      <c r="GJ49" s="1">
        <v>0</v>
      </c>
      <c r="GK49" s="1">
        <v>0</v>
      </c>
      <c r="GL49" s="156">
        <v>0</v>
      </c>
      <c r="GM49" s="1">
        <v>0</v>
      </c>
      <c r="GN49" s="1">
        <v>0</v>
      </c>
      <c r="GO49" s="1">
        <v>600000</v>
      </c>
      <c r="GP49" s="1">
        <v>0</v>
      </c>
      <c r="GQ49" s="1">
        <v>0</v>
      </c>
      <c r="GR49" s="1">
        <v>2000000</v>
      </c>
      <c r="GS49" s="1">
        <v>0</v>
      </c>
      <c r="GT49" s="1">
        <v>1500000</v>
      </c>
      <c r="GU49" s="103">
        <v>2600000</v>
      </c>
      <c r="GV49" s="1">
        <v>0</v>
      </c>
      <c r="GW49" s="1">
        <v>1200000</v>
      </c>
      <c r="GX49" s="1">
        <v>4600000</v>
      </c>
      <c r="GY49" s="1">
        <v>1500000</v>
      </c>
      <c r="GZ49" s="1">
        <v>0</v>
      </c>
      <c r="HA49" s="1">
        <v>0</v>
      </c>
      <c r="HB49" s="1">
        <v>1600000</v>
      </c>
      <c r="HC49" s="1">
        <v>0</v>
      </c>
      <c r="HD49" s="156">
        <v>0</v>
      </c>
      <c r="HE49" s="1">
        <v>7200000</v>
      </c>
      <c r="HF49" s="1">
        <v>3500000</v>
      </c>
      <c r="HG49" s="1">
        <v>5300000</v>
      </c>
      <c r="HH49" s="1">
        <v>2600000</v>
      </c>
      <c r="HI49" s="1">
        <v>0</v>
      </c>
      <c r="HJ49" s="1">
        <v>0</v>
      </c>
      <c r="HK49" s="1">
        <v>2600000</v>
      </c>
      <c r="HL49" s="1">
        <v>1600000</v>
      </c>
      <c r="HM49" s="1">
        <v>7400000</v>
      </c>
      <c r="HN49" s="131">
        <v>900000</v>
      </c>
      <c r="HO49" s="75"/>
      <c r="HP49" s="1">
        <v>3900000</v>
      </c>
      <c r="HQ49" s="1">
        <v>400000</v>
      </c>
      <c r="HR49" s="1">
        <v>900000</v>
      </c>
      <c r="HS49" s="1">
        <v>1600000</v>
      </c>
      <c r="HT49" s="1">
        <v>6600000</v>
      </c>
      <c r="HU49" s="1">
        <v>6600000</v>
      </c>
      <c r="HV49" s="1">
        <v>16500000</v>
      </c>
      <c r="HW49" s="1">
        <v>2000000</v>
      </c>
      <c r="HX49" s="1">
        <v>0</v>
      </c>
      <c r="HY49" s="1">
        <v>15300000</v>
      </c>
      <c r="HZ49" s="156">
        <v>6200000</v>
      </c>
      <c r="IA49" s="1">
        <v>17500000</v>
      </c>
      <c r="IB49" s="1">
        <v>0</v>
      </c>
      <c r="IC49" s="1">
        <v>17300000</v>
      </c>
      <c r="ID49" s="1">
        <v>0</v>
      </c>
      <c r="IE49" s="1">
        <v>12200000</v>
      </c>
      <c r="IF49" s="1">
        <v>15000000</v>
      </c>
      <c r="IG49" s="1">
        <v>0</v>
      </c>
      <c r="IH49" s="103">
        <v>53000000</v>
      </c>
      <c r="II49" s="1">
        <v>21200000</v>
      </c>
      <c r="IJ49" s="1">
        <v>0</v>
      </c>
      <c r="IK49" s="1">
        <v>8600000</v>
      </c>
      <c r="IL49" s="1">
        <v>0</v>
      </c>
      <c r="IM49" s="1">
        <v>4750000</v>
      </c>
      <c r="IN49" s="1">
        <v>4900000</v>
      </c>
      <c r="IO49" s="1">
        <v>1200000</v>
      </c>
      <c r="IP49" s="1">
        <v>9200000</v>
      </c>
      <c r="IQ49" s="1">
        <v>4600000</v>
      </c>
      <c r="IR49" s="1">
        <v>27600000</v>
      </c>
      <c r="IS49" s="1">
        <v>0</v>
      </c>
      <c r="IT49" s="156">
        <v>16800000</v>
      </c>
      <c r="IU49" s="4"/>
      <c r="IV49" s="8"/>
    </row>
    <row r="50" spans="1:256" s="8" customFormat="1" ht="14.1" customHeight="1">
      <c r="A50" s="5" t="s">
        <v>39</v>
      </c>
      <c r="B50" s="13"/>
      <c r="C50" s="157">
        <f t="shared" ref="C50:I50" si="15">SUM(C47:C49)</f>
        <v>18026558.239999998</v>
      </c>
      <c r="D50" s="5">
        <f t="shared" si="15"/>
        <v>56095309.5</v>
      </c>
      <c r="E50" s="5">
        <f t="shared" si="15"/>
        <v>7968295.0600000005</v>
      </c>
      <c r="F50" s="5">
        <f t="shared" si="15"/>
        <v>37789798.420000002</v>
      </c>
      <c r="G50" s="5">
        <f t="shared" si="15"/>
        <v>56850364.460000001</v>
      </c>
      <c r="H50" s="5">
        <f t="shared" si="15"/>
        <v>426834489.18000001</v>
      </c>
      <c r="I50" s="5">
        <f t="shared" si="15"/>
        <v>22669221.18</v>
      </c>
      <c r="J50" s="5">
        <f>SUM(J47:J49)+0.51</f>
        <v>1825821.2000000002</v>
      </c>
      <c r="K50" s="5">
        <f t="shared" ref="K50:BV50" si="16">SUM(K47:K49)</f>
        <v>3908015.7399999998</v>
      </c>
      <c r="L50" s="5">
        <f t="shared" si="16"/>
        <v>52700750.670000002</v>
      </c>
      <c r="M50" s="5">
        <f t="shared" si="16"/>
        <v>1410442.46</v>
      </c>
      <c r="N50" s="5">
        <f t="shared" si="16"/>
        <v>67956327.819999993</v>
      </c>
      <c r="O50" s="5">
        <f t="shared" si="16"/>
        <v>5922290.3899999997</v>
      </c>
      <c r="P50" s="5">
        <f t="shared" si="16"/>
        <v>6358581.6500000004</v>
      </c>
      <c r="Q50" s="5">
        <f t="shared" si="16"/>
        <v>7653696.3799999999</v>
      </c>
      <c r="R50" s="5">
        <f t="shared" si="16"/>
        <v>6502900.5200000005</v>
      </c>
      <c r="S50" s="5">
        <f t="shared" si="16"/>
        <v>6932650.3399999999</v>
      </c>
      <c r="T50" s="5">
        <f t="shared" si="16"/>
        <v>1906129.37</v>
      </c>
      <c r="U50" s="5">
        <f t="shared" si="16"/>
        <v>6281366.2699999996</v>
      </c>
      <c r="V50" s="5">
        <f t="shared" si="16"/>
        <v>4368751.49</v>
      </c>
      <c r="W50" s="157">
        <f t="shared" si="16"/>
        <v>3284105.2100000009</v>
      </c>
      <c r="X50" s="5">
        <f t="shared" si="16"/>
        <v>3483756.8</v>
      </c>
      <c r="Y50" s="5">
        <f t="shared" si="16"/>
        <v>10512963.949999999</v>
      </c>
      <c r="Z50" s="5">
        <f t="shared" si="16"/>
        <v>4587170.79</v>
      </c>
      <c r="AA50" s="5">
        <f t="shared" si="16"/>
        <v>14820982.84</v>
      </c>
      <c r="AB50" s="5">
        <f t="shared" si="16"/>
        <v>3978458.83</v>
      </c>
      <c r="AC50" s="5">
        <f t="shared" si="16"/>
        <v>5439018.9000000004</v>
      </c>
      <c r="AD50" s="5">
        <f t="shared" si="16"/>
        <v>1985334.0599999998</v>
      </c>
      <c r="AE50" s="5">
        <f t="shared" si="16"/>
        <v>1280444.24</v>
      </c>
      <c r="AF50" s="5">
        <f t="shared" si="16"/>
        <v>59344856.429999992</v>
      </c>
      <c r="AG50" s="5">
        <f t="shared" si="16"/>
        <v>11144191.039999999</v>
      </c>
      <c r="AH50" s="5">
        <f t="shared" si="16"/>
        <v>812987.27999999991</v>
      </c>
      <c r="AI50" s="5">
        <f t="shared" si="16"/>
        <v>1163118.0399999998</v>
      </c>
      <c r="AJ50" s="5">
        <f t="shared" si="16"/>
        <v>2305699.42</v>
      </c>
      <c r="AK50" s="5">
        <f t="shared" si="16"/>
        <v>8545949.0899999999</v>
      </c>
      <c r="AL50" s="5">
        <f t="shared" si="16"/>
        <v>8963546.8099999987</v>
      </c>
      <c r="AM50" s="5">
        <f t="shared" si="16"/>
        <v>7437364.4399999995</v>
      </c>
      <c r="AN50" s="5">
        <f t="shared" si="16"/>
        <v>7101060.1600000001</v>
      </c>
      <c r="AO50" s="5">
        <f t="shared" si="16"/>
        <v>3768593.39</v>
      </c>
      <c r="AP50" s="5">
        <f t="shared" si="16"/>
        <v>3579648.8</v>
      </c>
      <c r="AQ50" s="5">
        <f t="shared" si="16"/>
        <v>2545163.7699999996</v>
      </c>
      <c r="AR50" s="157">
        <f t="shared" si="16"/>
        <v>2376192.41</v>
      </c>
      <c r="AS50" s="5">
        <f t="shared" si="16"/>
        <v>1859666.81</v>
      </c>
      <c r="AT50" s="5">
        <f t="shared" si="16"/>
        <v>14686010.810000001</v>
      </c>
      <c r="AU50" s="5">
        <f t="shared" si="16"/>
        <v>4489659.5600000005</v>
      </c>
      <c r="AV50" s="5">
        <f t="shared" si="16"/>
        <v>21582413.68</v>
      </c>
      <c r="AW50" s="5">
        <f t="shared" si="16"/>
        <v>4824804.9500000011</v>
      </c>
      <c r="AX50" s="5">
        <f t="shared" si="16"/>
        <v>807149.05</v>
      </c>
      <c r="AY50" s="5">
        <f t="shared" si="16"/>
        <v>2208993.33</v>
      </c>
      <c r="AZ50" s="5">
        <f t="shared" si="16"/>
        <v>1275762.01</v>
      </c>
      <c r="BA50" s="5">
        <f t="shared" si="16"/>
        <v>4749485.7300000004</v>
      </c>
      <c r="BB50" s="5">
        <f t="shared" si="16"/>
        <v>5549569.9700000007</v>
      </c>
      <c r="BC50" s="5">
        <f t="shared" si="16"/>
        <v>59376030.939999998</v>
      </c>
      <c r="BD50" s="5">
        <f t="shared" si="16"/>
        <v>16777073.080000002</v>
      </c>
      <c r="BE50" s="5">
        <f t="shared" si="16"/>
        <v>2676821.08</v>
      </c>
      <c r="BF50" s="5">
        <f t="shared" si="16"/>
        <v>4573959.8900000006</v>
      </c>
      <c r="BG50" s="5">
        <f t="shared" si="16"/>
        <v>4077717.3800000004</v>
      </c>
      <c r="BH50" s="5">
        <f t="shared" si="16"/>
        <v>1638093.57</v>
      </c>
      <c r="BI50" s="5">
        <f t="shared" si="16"/>
        <v>6474926.4100000001</v>
      </c>
      <c r="BJ50" s="5">
        <f t="shared" si="16"/>
        <v>3828252.92</v>
      </c>
      <c r="BK50" s="5">
        <f t="shared" si="16"/>
        <v>5097043.9000000004</v>
      </c>
      <c r="BL50" s="5">
        <f t="shared" si="16"/>
        <v>5508197</v>
      </c>
      <c r="BM50" s="5">
        <f t="shared" si="16"/>
        <v>2469286.02</v>
      </c>
      <c r="BN50" s="157">
        <f t="shared" si="16"/>
        <v>28676246.449999999</v>
      </c>
      <c r="BO50" s="5">
        <f t="shared" si="16"/>
        <v>831776.15999999992</v>
      </c>
      <c r="BP50" s="5">
        <f t="shared" si="16"/>
        <v>4172593.88</v>
      </c>
      <c r="BQ50" s="5">
        <f t="shared" si="16"/>
        <v>3527357.04</v>
      </c>
      <c r="BR50" s="5">
        <f t="shared" si="16"/>
        <v>14944397.58</v>
      </c>
      <c r="BS50" s="5">
        <f t="shared" si="16"/>
        <v>1378233.1300000004</v>
      </c>
      <c r="BT50" s="5">
        <f t="shared" si="16"/>
        <v>1440511.8900000001</v>
      </c>
      <c r="BU50" s="5">
        <f t="shared" si="16"/>
        <v>976842.42999999993</v>
      </c>
      <c r="BV50" s="5">
        <f t="shared" si="16"/>
        <v>65835206.359999999</v>
      </c>
      <c r="BW50" s="5">
        <f t="shared" ref="BW50:ED50" si="17">SUM(BW47:BW49)</f>
        <v>35538166.009999998</v>
      </c>
      <c r="BX50" s="5">
        <f t="shared" si="17"/>
        <v>1020408.22</v>
      </c>
      <c r="BY50" s="5">
        <f t="shared" si="17"/>
        <v>61328349.029999994</v>
      </c>
      <c r="BZ50" s="5">
        <f t="shared" si="17"/>
        <v>17048064.610000003</v>
      </c>
      <c r="CA50" s="5">
        <f t="shared" si="17"/>
        <v>7781813.8000000007</v>
      </c>
      <c r="CB50" s="5">
        <f t="shared" si="17"/>
        <v>1731501.7199999997</v>
      </c>
      <c r="CC50" s="5">
        <f t="shared" si="17"/>
        <v>2654085.9900000002</v>
      </c>
      <c r="CD50" s="5">
        <f t="shared" si="17"/>
        <v>1247711.4700000002</v>
      </c>
      <c r="CE50" s="5">
        <f t="shared" si="17"/>
        <v>1050096.72</v>
      </c>
      <c r="CF50" s="5">
        <f t="shared" si="17"/>
        <v>15250015.950000001</v>
      </c>
      <c r="CG50" s="5">
        <f t="shared" si="17"/>
        <v>1744476.02</v>
      </c>
      <c r="CH50" s="5">
        <f t="shared" si="17"/>
        <v>1388486.29</v>
      </c>
      <c r="CI50" s="157">
        <f t="shared" si="17"/>
        <v>4948924.62</v>
      </c>
      <c r="CJ50" s="5">
        <f t="shared" si="17"/>
        <v>3405593.95</v>
      </c>
      <c r="CK50" s="5">
        <f t="shared" si="17"/>
        <v>3706883.0100000002</v>
      </c>
      <c r="CL50" s="5">
        <f t="shared" si="17"/>
        <v>11043921.16</v>
      </c>
      <c r="CM50" s="5">
        <f t="shared" si="17"/>
        <v>5459485.8999999994</v>
      </c>
      <c r="CN50" s="5">
        <f t="shared" si="17"/>
        <v>25170563.84</v>
      </c>
      <c r="CO50" s="5">
        <f t="shared" si="17"/>
        <v>30912075.390000001</v>
      </c>
      <c r="CP50" s="5">
        <f t="shared" si="17"/>
        <v>2369362.86</v>
      </c>
      <c r="CQ50" s="5">
        <f t="shared" si="17"/>
        <v>1382627.5</v>
      </c>
      <c r="CR50" s="5">
        <f t="shared" si="17"/>
        <v>1572870.42</v>
      </c>
      <c r="CS50" s="5">
        <f t="shared" si="17"/>
        <v>75109629.060000002</v>
      </c>
      <c r="CT50" s="5">
        <f t="shared" si="17"/>
        <v>11435753.189999999</v>
      </c>
      <c r="CU50" s="5">
        <f t="shared" si="17"/>
        <v>1795179.02</v>
      </c>
      <c r="CV50" s="5">
        <f t="shared" si="17"/>
        <v>2883401.14</v>
      </c>
      <c r="CW50" s="5">
        <f t="shared" si="17"/>
        <v>2813403.2899999996</v>
      </c>
      <c r="CX50" s="5">
        <f t="shared" si="17"/>
        <v>2570700.5599999996</v>
      </c>
      <c r="CY50" s="5">
        <f t="shared" si="17"/>
        <v>5231849.18</v>
      </c>
      <c r="CZ50" s="5">
        <f t="shared" si="17"/>
        <v>3111513.65</v>
      </c>
      <c r="DA50" s="5">
        <f t="shared" si="17"/>
        <v>5213437.1500000004</v>
      </c>
      <c r="DB50" s="5">
        <f t="shared" si="17"/>
        <v>6138416.8000000007</v>
      </c>
      <c r="DC50" s="5">
        <f t="shared" si="17"/>
        <v>8701092.1999999993</v>
      </c>
      <c r="DD50" s="157">
        <f t="shared" si="17"/>
        <v>4371455.1000000006</v>
      </c>
      <c r="DE50" s="89">
        <f t="shared" si="17"/>
        <v>9298938.6500000004</v>
      </c>
      <c r="DF50" s="5">
        <f t="shared" si="17"/>
        <v>2049523</v>
      </c>
      <c r="DG50" s="5">
        <f t="shared" si="17"/>
        <v>7535229.4200000009</v>
      </c>
      <c r="DH50" s="5">
        <f t="shared" si="17"/>
        <v>2587310.2700000005</v>
      </c>
      <c r="DI50" s="5">
        <f t="shared" si="17"/>
        <v>2411612.96</v>
      </c>
      <c r="DJ50" s="5">
        <f t="shared" si="17"/>
        <v>410472.56999999995</v>
      </c>
      <c r="DK50" s="5">
        <f t="shared" si="17"/>
        <v>1107942.79</v>
      </c>
      <c r="DL50" s="5">
        <f t="shared" si="17"/>
        <v>2123774.66</v>
      </c>
      <c r="DM50" s="5">
        <f t="shared" si="17"/>
        <v>50167296.210000001</v>
      </c>
      <c r="DN50" s="5">
        <f t="shared" si="17"/>
        <v>62238522.229999997</v>
      </c>
      <c r="DO50" s="5">
        <f t="shared" si="17"/>
        <v>30393751.460000001</v>
      </c>
      <c r="DP50" s="5">
        <f t="shared" si="17"/>
        <v>1699758.73</v>
      </c>
      <c r="DQ50" s="5">
        <f t="shared" si="17"/>
        <v>2135749.11</v>
      </c>
      <c r="DR50" s="89">
        <f t="shared" si="17"/>
        <v>1360641.18</v>
      </c>
      <c r="DS50" s="5">
        <f t="shared" si="17"/>
        <v>902064.25</v>
      </c>
      <c r="DT50" s="5">
        <f t="shared" si="17"/>
        <v>1038180.35</v>
      </c>
      <c r="DU50" s="5">
        <f t="shared" si="17"/>
        <v>3271413.66</v>
      </c>
      <c r="DV50" s="5">
        <f t="shared" si="17"/>
        <v>5725856.5499999998</v>
      </c>
      <c r="DW50" s="5">
        <f t="shared" si="17"/>
        <v>5693568.79</v>
      </c>
      <c r="DX50" s="5">
        <f t="shared" si="17"/>
        <v>7740697.1400000006</v>
      </c>
      <c r="DY50" s="5">
        <f t="shared" si="17"/>
        <v>808816.48</v>
      </c>
      <c r="DZ50" s="157">
        <f t="shared" si="17"/>
        <v>5263003.71</v>
      </c>
      <c r="EA50" s="5">
        <f t="shared" si="17"/>
        <v>2087260.0200000003</v>
      </c>
      <c r="EB50" s="5">
        <f t="shared" si="17"/>
        <v>3772014.9400000004</v>
      </c>
      <c r="EC50" s="5">
        <f t="shared" si="17"/>
        <v>8486357.5600000005</v>
      </c>
      <c r="ED50" s="5">
        <f t="shared" si="17"/>
        <v>15943665.93</v>
      </c>
      <c r="EE50" s="5">
        <f t="shared" ref="EE50:FW50" si="18">SUM(EE47:EE49)</f>
        <v>1049467.95</v>
      </c>
      <c r="EF50" s="5">
        <f t="shared" si="18"/>
        <v>4695844.2300000004</v>
      </c>
      <c r="EG50" s="33">
        <f t="shared" si="18"/>
        <v>127490514.18000001</v>
      </c>
      <c r="EH50" s="5">
        <f t="shared" si="18"/>
        <v>10422062.359999999</v>
      </c>
      <c r="EI50" s="5">
        <f t="shared" si="18"/>
        <v>836695.15</v>
      </c>
      <c r="EJ50" s="5">
        <f t="shared" si="18"/>
        <v>1691199.8199999998</v>
      </c>
      <c r="EK50" s="76">
        <f t="shared" si="18"/>
        <v>60657361.050000004</v>
      </c>
      <c r="EL50" s="5">
        <f t="shared" si="18"/>
        <v>15664088.859999999</v>
      </c>
      <c r="EM50" s="5">
        <f t="shared" si="18"/>
        <v>4900228.8899999997</v>
      </c>
      <c r="EN50" s="5">
        <f t="shared" si="18"/>
        <v>4295608.4000000004</v>
      </c>
      <c r="EO50" s="5">
        <f t="shared" si="18"/>
        <v>1152747.1400000001</v>
      </c>
      <c r="EP50" s="5">
        <f t="shared" si="18"/>
        <v>3247164.2299999995</v>
      </c>
      <c r="EQ50" s="5">
        <f t="shared" si="18"/>
        <v>7291817.4299999997</v>
      </c>
      <c r="ER50" s="5">
        <f t="shared" si="18"/>
        <v>570289.65999999992</v>
      </c>
      <c r="ES50" s="5">
        <f t="shared" si="18"/>
        <v>2832217.0200000005</v>
      </c>
      <c r="ET50" s="5">
        <f t="shared" si="18"/>
        <v>659820.8600000001</v>
      </c>
      <c r="EU50" s="157">
        <f t="shared" si="18"/>
        <v>1866994.79</v>
      </c>
      <c r="EV50" s="5">
        <f t="shared" si="18"/>
        <v>2625003.5800000005</v>
      </c>
      <c r="EW50" s="5">
        <f t="shared" si="18"/>
        <v>1957015.3999999997</v>
      </c>
      <c r="EX50" s="5">
        <f t="shared" si="18"/>
        <v>1858459.4</v>
      </c>
      <c r="EY50" s="5">
        <f t="shared" si="18"/>
        <v>16633547.85</v>
      </c>
      <c r="EZ50" s="5">
        <f t="shared" si="18"/>
        <v>772596.22</v>
      </c>
      <c r="FA50" s="5">
        <f t="shared" si="18"/>
        <v>70072712.5</v>
      </c>
      <c r="FB50" s="5">
        <f t="shared" si="18"/>
        <v>1690833.7999999998</v>
      </c>
      <c r="FC50" s="5">
        <f t="shared" si="18"/>
        <v>1075819.9099999999</v>
      </c>
      <c r="FD50" s="5">
        <f t="shared" si="18"/>
        <v>629691.37</v>
      </c>
      <c r="FE50" s="5">
        <f t="shared" si="18"/>
        <v>60582938.829999998</v>
      </c>
      <c r="FF50" s="5">
        <f t="shared" si="18"/>
        <v>11148167.389999999</v>
      </c>
      <c r="FG50" s="5">
        <f t="shared" si="18"/>
        <v>9317629.1399999987</v>
      </c>
      <c r="FH50" s="5">
        <f t="shared" si="18"/>
        <v>2078059.8399999999</v>
      </c>
      <c r="FI50" s="5">
        <f t="shared" si="18"/>
        <v>4754642.75</v>
      </c>
      <c r="FJ50" s="5">
        <f t="shared" si="18"/>
        <v>7183364.3300000001</v>
      </c>
      <c r="FK50" s="5">
        <f t="shared" si="18"/>
        <v>9656616.0700000003</v>
      </c>
      <c r="FL50" s="76">
        <f t="shared" si="18"/>
        <v>17674211.77</v>
      </c>
      <c r="FM50" s="5">
        <f t="shared" si="18"/>
        <v>121082678.14</v>
      </c>
      <c r="FN50" s="5">
        <f t="shared" si="18"/>
        <v>912181.25999999989</v>
      </c>
      <c r="FO50" s="5">
        <f t="shared" si="18"/>
        <v>3034880.2</v>
      </c>
      <c r="FP50" s="157">
        <f t="shared" si="18"/>
        <v>3761373.34</v>
      </c>
      <c r="FQ50" s="5">
        <f t="shared" si="18"/>
        <v>1135191.3999999999</v>
      </c>
      <c r="FR50" s="5">
        <f t="shared" si="18"/>
        <v>2048483.79</v>
      </c>
      <c r="FS50" s="5">
        <f t="shared" si="18"/>
        <v>5612298.5899999999</v>
      </c>
      <c r="FT50" s="5">
        <f t="shared" si="18"/>
        <v>16488692.360000003</v>
      </c>
      <c r="FU50" s="5">
        <f t="shared" si="18"/>
        <v>4063116.9600000004</v>
      </c>
      <c r="FV50" s="5">
        <f t="shared" si="18"/>
        <v>998891.48</v>
      </c>
      <c r="FW50" s="5">
        <f t="shared" si="18"/>
        <v>811425.85</v>
      </c>
      <c r="FX50" s="5">
        <f t="shared" ref="FX50:HD50" si="19">SUM(FX47:FX49)</f>
        <v>1138057.93</v>
      </c>
      <c r="FY50" s="5">
        <f t="shared" si="19"/>
        <v>3213209.0700000003</v>
      </c>
      <c r="FZ50" s="104">
        <f t="shared" si="19"/>
        <v>148110796.72999999</v>
      </c>
      <c r="GA50" s="5">
        <f t="shared" si="19"/>
        <v>2005456.26</v>
      </c>
      <c r="GB50" s="5">
        <f t="shared" si="19"/>
        <v>5436046.3200000003</v>
      </c>
      <c r="GC50" s="5">
        <f t="shared" si="19"/>
        <v>7113450.2199999997</v>
      </c>
      <c r="GD50" s="5">
        <f t="shared" si="19"/>
        <v>2124251.67</v>
      </c>
      <c r="GE50" s="5">
        <f t="shared" si="19"/>
        <v>2068869.65</v>
      </c>
      <c r="GF50" s="5">
        <f t="shared" si="19"/>
        <v>1352807.6099999999</v>
      </c>
      <c r="GG50" s="5">
        <f t="shared" si="19"/>
        <v>1118902.1899999997</v>
      </c>
      <c r="GH50" s="5">
        <f t="shared" si="19"/>
        <v>89683568.900000006</v>
      </c>
      <c r="GI50" s="5">
        <f t="shared" si="19"/>
        <v>85782016.760000005</v>
      </c>
      <c r="GJ50" s="5">
        <f t="shared" si="19"/>
        <v>2042494.46</v>
      </c>
      <c r="GK50" s="5">
        <f t="shared" si="19"/>
        <v>1824494.2799999998</v>
      </c>
      <c r="GL50" s="157">
        <f t="shared" si="19"/>
        <v>5067302.6800000006</v>
      </c>
      <c r="GM50" s="5">
        <f t="shared" si="19"/>
        <v>2874346.06</v>
      </c>
      <c r="GN50" s="5">
        <f t="shared" si="19"/>
        <v>1220153.49</v>
      </c>
      <c r="GO50" s="5">
        <f t="shared" si="19"/>
        <v>2017178.45</v>
      </c>
      <c r="GP50" s="5">
        <f t="shared" si="19"/>
        <v>15563332.490000002</v>
      </c>
      <c r="GQ50" s="5">
        <f t="shared" si="19"/>
        <v>866439.39000000013</v>
      </c>
      <c r="GR50" s="5">
        <f t="shared" si="19"/>
        <v>4347789.79</v>
      </c>
      <c r="GS50" s="5">
        <f t="shared" si="19"/>
        <v>2003403.5</v>
      </c>
      <c r="GT50" s="5">
        <f t="shared" si="19"/>
        <v>2755153.31</v>
      </c>
      <c r="GU50" s="104">
        <f t="shared" si="19"/>
        <v>76968081.050000012</v>
      </c>
      <c r="GV50" s="5">
        <f t="shared" si="19"/>
        <v>3808249.03</v>
      </c>
      <c r="GW50" s="5">
        <f t="shared" si="19"/>
        <v>2205998.37</v>
      </c>
      <c r="GX50" s="5">
        <f t="shared" si="19"/>
        <v>6069774.04</v>
      </c>
      <c r="GY50" s="5">
        <f t="shared" si="19"/>
        <v>2355488.13</v>
      </c>
      <c r="GZ50" s="5">
        <f t="shared" si="19"/>
        <v>1588672.15</v>
      </c>
      <c r="HA50" s="5">
        <f t="shared" si="19"/>
        <v>8927535.3199999984</v>
      </c>
      <c r="HB50" s="5">
        <f t="shared" si="19"/>
        <v>3095458.94</v>
      </c>
      <c r="HC50" s="5">
        <f t="shared" si="19"/>
        <v>4209075.83</v>
      </c>
      <c r="HD50" s="157">
        <f t="shared" si="19"/>
        <v>1184570.6400000001</v>
      </c>
      <c r="HE50" s="5">
        <f t="shared" ref="HE50:IT50" si="20">SUM(HE47:HE49)</f>
        <v>8083660.0300000003</v>
      </c>
      <c r="HF50" s="5">
        <f t="shared" si="20"/>
        <v>5037495.8600000003</v>
      </c>
      <c r="HG50" s="5">
        <f t="shared" si="20"/>
        <v>6122362.4100000001</v>
      </c>
      <c r="HH50" s="5">
        <f t="shared" si="20"/>
        <v>2970078.83</v>
      </c>
      <c r="HI50" s="5">
        <f t="shared" si="20"/>
        <v>15988821.470000001</v>
      </c>
      <c r="HJ50" s="5">
        <f t="shared" si="20"/>
        <v>4868168.18</v>
      </c>
      <c r="HK50" s="5">
        <f t="shared" si="20"/>
        <v>6352149.5</v>
      </c>
      <c r="HL50" s="5">
        <f t="shared" si="20"/>
        <v>2228159.62</v>
      </c>
      <c r="HM50" s="5">
        <f t="shared" si="20"/>
        <v>8178917.5</v>
      </c>
      <c r="HN50" s="132">
        <f t="shared" si="20"/>
        <v>4342610.8499999996</v>
      </c>
      <c r="HO50" s="145">
        <f t="shared" si="20"/>
        <v>76445130.760000005</v>
      </c>
      <c r="HP50" s="5">
        <f t="shared" si="20"/>
        <v>4804805.76</v>
      </c>
      <c r="HQ50" s="5">
        <f t="shared" si="20"/>
        <v>1603443.31</v>
      </c>
      <c r="HR50" s="5">
        <f t="shared" si="20"/>
        <v>2512898.7999999998</v>
      </c>
      <c r="HS50" s="5">
        <f t="shared" si="20"/>
        <v>2571120.62</v>
      </c>
      <c r="HT50" s="5">
        <f t="shared" si="20"/>
        <v>20697164.370000001</v>
      </c>
      <c r="HU50" s="5">
        <f t="shared" si="20"/>
        <v>10313078.83</v>
      </c>
      <c r="HV50" s="5">
        <f t="shared" si="20"/>
        <v>18744918.960000001</v>
      </c>
      <c r="HW50" s="5">
        <f t="shared" si="20"/>
        <v>8947475.3000000007</v>
      </c>
      <c r="HX50" s="5">
        <f t="shared" si="20"/>
        <v>1810814.9600000002</v>
      </c>
      <c r="HY50" s="5">
        <f t="shared" si="20"/>
        <v>16162649.189999999</v>
      </c>
      <c r="HZ50" s="157">
        <f t="shared" si="20"/>
        <v>7715544.1799999997</v>
      </c>
      <c r="IA50" s="5">
        <f t="shared" si="20"/>
        <v>19269933.260000002</v>
      </c>
      <c r="IB50" s="5">
        <f t="shared" si="20"/>
        <v>1109298.49</v>
      </c>
      <c r="IC50" s="5">
        <f t="shared" si="20"/>
        <v>32026890.509999998</v>
      </c>
      <c r="ID50" s="5">
        <f t="shared" si="20"/>
        <v>815693.34999999986</v>
      </c>
      <c r="IE50" s="5">
        <f t="shared" si="20"/>
        <v>12851986.720000001</v>
      </c>
      <c r="IF50" s="5">
        <f t="shared" si="20"/>
        <v>17247207.890000001</v>
      </c>
      <c r="IG50" s="5">
        <f t="shared" si="20"/>
        <v>101797021.36</v>
      </c>
      <c r="IH50" s="104">
        <f t="shared" si="20"/>
        <v>53820243.57</v>
      </c>
      <c r="II50" s="5">
        <f t="shared" si="20"/>
        <v>22175295.399999999</v>
      </c>
      <c r="IJ50" s="5">
        <f t="shared" si="20"/>
        <v>70611359.859999999</v>
      </c>
      <c r="IK50" s="5">
        <f t="shared" si="20"/>
        <v>9896398.9700000007</v>
      </c>
      <c r="IL50" s="5">
        <f t="shared" si="20"/>
        <v>51623833.869999997</v>
      </c>
      <c r="IM50" s="5">
        <f t="shared" si="20"/>
        <v>7474510.1799999997</v>
      </c>
      <c r="IN50" s="5">
        <f t="shared" si="20"/>
        <v>7916748.2800000003</v>
      </c>
      <c r="IO50" s="5">
        <f t="shared" si="20"/>
        <v>4576799.18</v>
      </c>
      <c r="IP50" s="5">
        <f t="shared" si="20"/>
        <v>11089424.1</v>
      </c>
      <c r="IQ50" s="5">
        <f t="shared" si="20"/>
        <v>23830424.260000002</v>
      </c>
      <c r="IR50" s="5">
        <f t="shared" si="20"/>
        <v>29011383.240000002</v>
      </c>
      <c r="IS50" s="5">
        <f t="shared" si="20"/>
        <v>1728209.8599999999</v>
      </c>
      <c r="IT50" s="157">
        <f t="shared" si="20"/>
        <v>18563359.800000001</v>
      </c>
      <c r="IU50" s="4"/>
    </row>
    <row r="51" spans="1:256" s="42" customFormat="1" ht="14.1" customHeight="1" thickBot="1">
      <c r="A51" s="64" t="s">
        <v>40</v>
      </c>
      <c r="B51" s="60"/>
      <c r="C51" s="60">
        <f t="shared" ref="C51:BN51" si="21">+C6+C26-C50</f>
        <v>120440.00000000373</v>
      </c>
      <c r="D51" s="60">
        <f t="shared" si="21"/>
        <v>219084.00000000745</v>
      </c>
      <c r="E51" s="60">
        <f t="shared" si="21"/>
        <v>289343.4299999997</v>
      </c>
      <c r="F51" s="60">
        <f t="shared" si="21"/>
        <v>329904.94999999553</v>
      </c>
      <c r="G51" s="60">
        <f t="shared" si="21"/>
        <v>-23552.469999998808</v>
      </c>
      <c r="H51" s="60">
        <f t="shared" si="21"/>
        <v>114820.93999999762</v>
      </c>
      <c r="I51" s="60">
        <f t="shared" si="21"/>
        <v>110655</v>
      </c>
      <c r="J51" s="60">
        <f t="shared" si="21"/>
        <v>103010.8899999999</v>
      </c>
      <c r="K51" s="60">
        <f t="shared" si="21"/>
        <v>107751.00000000047</v>
      </c>
      <c r="L51" s="60">
        <f t="shared" si="21"/>
        <v>171542</v>
      </c>
      <c r="M51" s="60">
        <f t="shared" si="21"/>
        <v>146397</v>
      </c>
      <c r="N51" s="60">
        <f t="shared" si="21"/>
        <v>117817</v>
      </c>
      <c r="O51" s="60">
        <f t="shared" si="21"/>
        <v>125910.98000000045</v>
      </c>
      <c r="P51" s="60">
        <f t="shared" si="21"/>
        <v>175542.41000000015</v>
      </c>
      <c r="Q51" s="60">
        <f t="shared" si="21"/>
        <v>206511</v>
      </c>
      <c r="R51" s="60">
        <f t="shared" si="21"/>
        <v>200914</v>
      </c>
      <c r="S51" s="60">
        <f t="shared" si="21"/>
        <v>119564</v>
      </c>
      <c r="T51" s="60">
        <f t="shared" si="21"/>
        <v>138427</v>
      </c>
      <c r="U51" s="60">
        <f t="shared" si="21"/>
        <v>110639.41000000015</v>
      </c>
      <c r="V51" s="60">
        <f t="shared" si="21"/>
        <v>107484</v>
      </c>
      <c r="W51" s="60">
        <f t="shared" si="21"/>
        <v>105658.99999999907</v>
      </c>
      <c r="X51" s="60">
        <f t="shared" si="21"/>
        <v>134605</v>
      </c>
      <c r="Y51" s="60">
        <f t="shared" si="21"/>
        <v>184703</v>
      </c>
      <c r="Z51" s="60">
        <f t="shared" si="21"/>
        <v>157058</v>
      </c>
      <c r="AA51" s="60">
        <f t="shared" si="21"/>
        <v>310163</v>
      </c>
      <c r="AB51" s="60">
        <f t="shared" si="21"/>
        <v>281129</v>
      </c>
      <c r="AC51" s="60">
        <f t="shared" si="21"/>
        <v>137690.09999999963</v>
      </c>
      <c r="AD51" s="60">
        <f t="shared" si="21"/>
        <v>132184.00000000023</v>
      </c>
      <c r="AE51" s="60">
        <f t="shared" si="21"/>
        <v>104593</v>
      </c>
      <c r="AF51" s="60">
        <f t="shared" si="21"/>
        <v>100177.00000000745</v>
      </c>
      <c r="AG51" s="60">
        <f t="shared" si="21"/>
        <v>100000</v>
      </c>
      <c r="AH51" s="60">
        <f t="shared" si="21"/>
        <v>100000.00000000012</v>
      </c>
      <c r="AI51" s="60">
        <f t="shared" si="21"/>
        <v>106477.00000000023</v>
      </c>
      <c r="AJ51" s="60">
        <f t="shared" si="21"/>
        <v>173244</v>
      </c>
      <c r="AK51" s="60">
        <f t="shared" si="21"/>
        <v>136361</v>
      </c>
      <c r="AL51" s="60">
        <f t="shared" si="21"/>
        <v>122616</v>
      </c>
      <c r="AM51" s="60">
        <f t="shared" si="21"/>
        <v>120696</v>
      </c>
      <c r="AN51" s="60">
        <f t="shared" si="21"/>
        <v>114807</v>
      </c>
      <c r="AO51" s="60">
        <f t="shared" si="21"/>
        <v>217770.99999999953</v>
      </c>
      <c r="AP51" s="60">
        <f t="shared" si="21"/>
        <v>249779</v>
      </c>
      <c r="AQ51" s="60">
        <f t="shared" si="21"/>
        <v>129227.00000000047</v>
      </c>
      <c r="AR51" s="60">
        <f t="shared" si="21"/>
        <v>126885</v>
      </c>
      <c r="AS51" s="60">
        <f t="shared" si="21"/>
        <v>128590.00999999978</v>
      </c>
      <c r="AT51" s="60">
        <f t="shared" si="21"/>
        <v>113842</v>
      </c>
      <c r="AU51" s="60">
        <f t="shared" si="21"/>
        <v>129732</v>
      </c>
      <c r="AV51" s="60">
        <f t="shared" si="21"/>
        <v>144515</v>
      </c>
      <c r="AW51" s="60">
        <f t="shared" si="21"/>
        <v>135907.99999999907</v>
      </c>
      <c r="AX51" s="60">
        <f t="shared" si="21"/>
        <v>127487</v>
      </c>
      <c r="AY51" s="60">
        <f t="shared" si="21"/>
        <v>151765</v>
      </c>
      <c r="AZ51" s="60">
        <f t="shared" si="21"/>
        <v>176423</v>
      </c>
      <c r="BA51" s="60">
        <f t="shared" si="21"/>
        <v>201392</v>
      </c>
      <c r="BB51" s="60">
        <f t="shared" si="21"/>
        <v>143084.99999999907</v>
      </c>
      <c r="BC51" s="60">
        <f t="shared" si="21"/>
        <v>125947</v>
      </c>
      <c r="BD51" s="60">
        <f t="shared" si="21"/>
        <v>117134.99999999627</v>
      </c>
      <c r="BE51" s="60">
        <f t="shared" si="21"/>
        <v>193360</v>
      </c>
      <c r="BF51" s="60">
        <f t="shared" si="21"/>
        <v>149447.99999999907</v>
      </c>
      <c r="BG51" s="60">
        <f t="shared" si="21"/>
        <v>109554</v>
      </c>
      <c r="BH51" s="60">
        <f t="shared" si="21"/>
        <v>134123</v>
      </c>
      <c r="BI51" s="60">
        <f t="shared" si="21"/>
        <v>134554.99999999907</v>
      </c>
      <c r="BJ51" s="60">
        <f t="shared" si="21"/>
        <v>169904</v>
      </c>
      <c r="BK51" s="60">
        <f t="shared" si="21"/>
        <v>147209.99999999907</v>
      </c>
      <c r="BL51" s="60">
        <f t="shared" si="21"/>
        <v>144152</v>
      </c>
      <c r="BM51" s="60">
        <f t="shared" si="21"/>
        <v>138694</v>
      </c>
      <c r="BN51" s="60">
        <f t="shared" si="21"/>
        <v>111910</v>
      </c>
      <c r="BO51" s="60">
        <f t="shared" ref="BO51:DZ51" si="22">+BO6+BO26-BO50</f>
        <v>127733.00000000012</v>
      </c>
      <c r="BP51" s="60">
        <f t="shared" si="22"/>
        <v>153339</v>
      </c>
      <c r="BQ51" s="60">
        <f t="shared" si="22"/>
        <v>134027</v>
      </c>
      <c r="BR51" s="60">
        <f t="shared" si="22"/>
        <v>140202</v>
      </c>
      <c r="BS51" s="60">
        <f t="shared" si="22"/>
        <v>133693.99999999953</v>
      </c>
      <c r="BT51" s="60">
        <f t="shared" si="22"/>
        <v>109049.99999999977</v>
      </c>
      <c r="BU51" s="60">
        <f t="shared" si="22"/>
        <v>112154</v>
      </c>
      <c r="BV51" s="60">
        <f t="shared" si="22"/>
        <v>109100</v>
      </c>
      <c r="BW51" s="60">
        <f t="shared" si="22"/>
        <v>108332.00000000745</v>
      </c>
      <c r="BX51" s="60">
        <f t="shared" si="22"/>
        <v>104841.00000000023</v>
      </c>
      <c r="BY51" s="60">
        <f t="shared" si="22"/>
        <v>124221.00000000745</v>
      </c>
      <c r="BZ51" s="60">
        <f t="shared" si="22"/>
        <v>119535.99999999627</v>
      </c>
      <c r="CA51" s="60">
        <f t="shared" si="22"/>
        <v>124279.99999999907</v>
      </c>
      <c r="CB51" s="60">
        <f t="shared" si="22"/>
        <v>309867.78000000026</v>
      </c>
      <c r="CC51" s="60">
        <f t="shared" si="22"/>
        <v>425033.83000000007</v>
      </c>
      <c r="CD51" s="60">
        <f t="shared" si="22"/>
        <v>141021.38999999966</v>
      </c>
      <c r="CE51" s="60">
        <f t="shared" si="22"/>
        <v>152701</v>
      </c>
      <c r="CF51" s="60">
        <f t="shared" si="22"/>
        <v>130909</v>
      </c>
      <c r="CG51" s="60">
        <f t="shared" si="22"/>
        <v>149965</v>
      </c>
      <c r="CH51" s="60">
        <f t="shared" si="22"/>
        <v>168613</v>
      </c>
      <c r="CI51" s="60">
        <f t="shared" si="22"/>
        <v>175861</v>
      </c>
      <c r="CJ51" s="60">
        <f t="shared" si="22"/>
        <v>109962</v>
      </c>
      <c r="CK51" s="60">
        <f t="shared" si="22"/>
        <v>101697.99999999953</v>
      </c>
      <c r="CL51" s="60">
        <f t="shared" si="22"/>
        <v>100143</v>
      </c>
      <c r="CM51" s="60">
        <f t="shared" si="22"/>
        <v>169196.00000000093</v>
      </c>
      <c r="CN51" s="60">
        <f t="shared" si="22"/>
        <v>129297</v>
      </c>
      <c r="CO51" s="60">
        <f t="shared" si="22"/>
        <v>107456</v>
      </c>
      <c r="CP51" s="60">
        <f t="shared" si="22"/>
        <v>114733</v>
      </c>
      <c r="CQ51" s="60">
        <f t="shared" si="22"/>
        <v>104071</v>
      </c>
      <c r="CR51" s="60">
        <f t="shared" si="22"/>
        <v>162335</v>
      </c>
      <c r="CS51" s="60">
        <f t="shared" si="22"/>
        <v>253100</v>
      </c>
      <c r="CT51" s="60">
        <f t="shared" si="22"/>
        <v>113899</v>
      </c>
      <c r="CU51" s="60">
        <f t="shared" si="22"/>
        <v>158744</v>
      </c>
      <c r="CV51" s="60">
        <f t="shared" si="22"/>
        <v>113803</v>
      </c>
      <c r="CW51" s="60">
        <f t="shared" si="22"/>
        <v>139892.00000000047</v>
      </c>
      <c r="CX51" s="60">
        <f t="shared" si="22"/>
        <v>142872.10000000056</v>
      </c>
      <c r="CY51" s="60">
        <f t="shared" si="22"/>
        <v>110474</v>
      </c>
      <c r="CZ51" s="60">
        <f t="shared" si="22"/>
        <v>121687.00000000047</v>
      </c>
      <c r="DA51" s="60">
        <f t="shared" si="22"/>
        <v>129091.99999999907</v>
      </c>
      <c r="DB51" s="60">
        <f t="shared" si="22"/>
        <v>133289</v>
      </c>
      <c r="DC51" s="60">
        <f t="shared" si="22"/>
        <v>105447</v>
      </c>
      <c r="DD51" s="60">
        <f t="shared" si="22"/>
        <v>104197.99999999907</v>
      </c>
      <c r="DE51" s="60">
        <f t="shared" si="22"/>
        <v>210531</v>
      </c>
      <c r="DF51" s="60">
        <f t="shared" si="22"/>
        <v>201020</v>
      </c>
      <c r="DG51" s="60">
        <f t="shared" si="22"/>
        <v>688483.99999999907</v>
      </c>
      <c r="DH51" s="60">
        <f t="shared" si="22"/>
        <v>531400.16999999946</v>
      </c>
      <c r="DI51" s="60">
        <f t="shared" si="22"/>
        <v>134089</v>
      </c>
      <c r="DJ51" s="60">
        <f t="shared" si="22"/>
        <v>100000.00000000006</v>
      </c>
      <c r="DK51" s="60">
        <f t="shared" si="22"/>
        <v>100000</v>
      </c>
      <c r="DL51" s="60">
        <f t="shared" si="22"/>
        <v>100000</v>
      </c>
      <c r="DM51" s="60">
        <f t="shared" si="22"/>
        <v>100000</v>
      </c>
      <c r="DN51" s="60">
        <f t="shared" si="22"/>
        <v>100000</v>
      </c>
      <c r="DO51" s="60">
        <f t="shared" si="22"/>
        <v>1554249</v>
      </c>
      <c r="DP51" s="60">
        <f t="shared" si="22"/>
        <v>358737.52</v>
      </c>
      <c r="DQ51" s="60">
        <f t="shared" si="22"/>
        <v>327541.48</v>
      </c>
      <c r="DR51" s="60">
        <f t="shared" si="22"/>
        <v>135124.47999999998</v>
      </c>
      <c r="DS51" s="60">
        <f t="shared" si="22"/>
        <v>345370.48</v>
      </c>
      <c r="DT51" s="60">
        <f t="shared" si="22"/>
        <v>182021.4800000001</v>
      </c>
      <c r="DU51" s="60">
        <f t="shared" si="22"/>
        <v>121773.47999999952</v>
      </c>
      <c r="DV51" s="60">
        <f t="shared" si="22"/>
        <v>111335.47999999952</v>
      </c>
      <c r="DW51" s="60">
        <f t="shared" si="22"/>
        <v>102465.47999999952</v>
      </c>
      <c r="DX51" s="60">
        <f t="shared" si="22"/>
        <v>202502.47999999858</v>
      </c>
      <c r="DY51" s="60">
        <f t="shared" si="22"/>
        <v>200822.47999999858</v>
      </c>
      <c r="DZ51" s="60">
        <f t="shared" si="22"/>
        <v>122632.47999999858</v>
      </c>
      <c r="EA51" s="60">
        <f t="shared" ref="EA51:GL51" si="23">+EA6+EA26-EA50</f>
        <v>454761.47999999835</v>
      </c>
      <c r="EB51" s="60">
        <f t="shared" si="23"/>
        <v>132239.47999999765</v>
      </c>
      <c r="EC51" s="60">
        <f t="shared" si="23"/>
        <v>125622.47999999858</v>
      </c>
      <c r="ED51" s="60">
        <f t="shared" si="23"/>
        <v>163018.47999999858</v>
      </c>
      <c r="EE51" s="60">
        <f t="shared" si="23"/>
        <v>176217.47999999858</v>
      </c>
      <c r="EF51" s="60">
        <f t="shared" si="23"/>
        <v>114888.47999999858</v>
      </c>
      <c r="EG51" s="60">
        <f t="shared" si="23"/>
        <v>108176.48000000417</v>
      </c>
      <c r="EH51" s="60">
        <f t="shared" si="23"/>
        <v>107348.48000000417</v>
      </c>
      <c r="EI51" s="60">
        <f t="shared" si="23"/>
        <v>115983.48000000406</v>
      </c>
      <c r="EJ51" s="60">
        <f t="shared" si="23"/>
        <v>278444.48000000417</v>
      </c>
      <c r="EK51" s="67">
        <f t="shared" si="23"/>
        <v>274499.47999999672</v>
      </c>
      <c r="EL51" s="60">
        <f t="shared" si="23"/>
        <v>136150.47999999672</v>
      </c>
      <c r="EM51" s="60">
        <f t="shared" si="23"/>
        <v>-830482.16000000294</v>
      </c>
      <c r="EN51" s="60">
        <f t="shared" si="23"/>
        <v>102339.47999999672</v>
      </c>
      <c r="EO51" s="60">
        <f t="shared" si="23"/>
        <v>315641.47999999649</v>
      </c>
      <c r="EP51" s="60">
        <f t="shared" si="23"/>
        <v>319464.47999999672</v>
      </c>
      <c r="EQ51" s="60">
        <f t="shared" si="23"/>
        <v>307515.44999999646</v>
      </c>
      <c r="ER51" s="60">
        <f t="shared" si="23"/>
        <v>168933.44999999646</v>
      </c>
      <c r="ES51" s="60">
        <f t="shared" si="23"/>
        <v>115650.449999996</v>
      </c>
      <c r="ET51" s="60">
        <f t="shared" si="23"/>
        <v>107211.4529999959</v>
      </c>
      <c r="EU51" s="60">
        <f t="shared" si="23"/>
        <v>105193.45299999602</v>
      </c>
      <c r="EV51" s="60">
        <f t="shared" si="23"/>
        <v>111710.45299999556</v>
      </c>
      <c r="EW51" s="60">
        <f t="shared" si="23"/>
        <v>121828.53299999586</v>
      </c>
      <c r="EX51" s="60">
        <f t="shared" si="23"/>
        <v>112776.13299999596</v>
      </c>
      <c r="EY51" s="60">
        <f t="shared" si="23"/>
        <v>160936.13299999572</v>
      </c>
      <c r="EZ51" s="60">
        <f t="shared" si="23"/>
        <v>200428.13299999572</v>
      </c>
      <c r="FA51" s="60">
        <f t="shared" si="23"/>
        <v>168428.13300000131</v>
      </c>
      <c r="FB51" s="60">
        <f t="shared" si="23"/>
        <v>106950.13300000154</v>
      </c>
      <c r="FC51" s="60">
        <f t="shared" si="23"/>
        <v>116155.13300000178</v>
      </c>
      <c r="FD51" s="60">
        <f t="shared" si="23"/>
        <v>119671.13300000178</v>
      </c>
      <c r="FE51" s="60">
        <f t="shared" si="23"/>
        <v>120068.13300000131</v>
      </c>
      <c r="FF51" s="60">
        <f t="shared" si="23"/>
        <v>113406.13300000317</v>
      </c>
      <c r="FG51" s="60">
        <f t="shared" si="23"/>
        <v>102888.13300000504</v>
      </c>
      <c r="FH51" s="60">
        <f t="shared" si="23"/>
        <v>116442.13300000504</v>
      </c>
      <c r="FI51" s="60">
        <f t="shared" si="23"/>
        <v>132752.12300000526</v>
      </c>
      <c r="FJ51" s="60">
        <f t="shared" si="23"/>
        <v>111275.12300000526</v>
      </c>
      <c r="FK51" s="60">
        <f t="shared" si="23"/>
        <v>102255.12300000712</v>
      </c>
      <c r="FL51" s="67">
        <f t="shared" si="23"/>
        <v>103196.12300001085</v>
      </c>
      <c r="FM51" s="60">
        <f t="shared" si="23"/>
        <v>101784.54299999774</v>
      </c>
      <c r="FN51" s="60">
        <f t="shared" si="23"/>
        <v>127443.54299999785</v>
      </c>
      <c r="FO51" s="60">
        <f t="shared" si="23"/>
        <v>146792.38299999759</v>
      </c>
      <c r="FP51" s="60">
        <f t="shared" si="23"/>
        <v>109914.38299999759</v>
      </c>
      <c r="FQ51" s="60">
        <f t="shared" si="23"/>
        <v>319591.87299999781</v>
      </c>
      <c r="FR51" s="60">
        <f t="shared" si="23"/>
        <v>167385.18299999787</v>
      </c>
      <c r="FS51" s="60">
        <f t="shared" si="23"/>
        <v>124200.18299999833</v>
      </c>
      <c r="FT51" s="60">
        <f t="shared" si="23"/>
        <v>124743.2829999961</v>
      </c>
      <c r="FU51" s="60">
        <f t="shared" si="23"/>
        <v>160009.28299999563</v>
      </c>
      <c r="FV51" s="60">
        <f t="shared" si="23"/>
        <v>139523.27299999562</v>
      </c>
      <c r="FW51" s="60">
        <f t="shared" si="23"/>
        <v>-120426.69700000435</v>
      </c>
      <c r="FX51" s="60">
        <f t="shared" si="23"/>
        <v>298314.27299999562</v>
      </c>
      <c r="FY51" s="60">
        <f t="shared" si="23"/>
        <v>123926.27299999539</v>
      </c>
      <c r="FZ51" s="110">
        <f t="shared" si="23"/>
        <v>138982.27300000191</v>
      </c>
      <c r="GA51" s="60">
        <f t="shared" si="23"/>
        <v>131672.27300000167</v>
      </c>
      <c r="GB51" s="60">
        <f t="shared" si="23"/>
        <v>128183.27300000191</v>
      </c>
      <c r="GC51" s="60">
        <f t="shared" si="23"/>
        <v>138255.27300000284</v>
      </c>
      <c r="GD51" s="60">
        <f t="shared" si="23"/>
        <v>136528.27300000284</v>
      </c>
      <c r="GE51" s="60">
        <f t="shared" si="23"/>
        <v>130854.27300000284</v>
      </c>
      <c r="GF51" s="60">
        <f t="shared" si="23"/>
        <v>136407.27300000284</v>
      </c>
      <c r="GG51" s="60">
        <f t="shared" si="23"/>
        <v>368495.9130000032</v>
      </c>
      <c r="GH51" s="60">
        <f t="shared" si="23"/>
        <v>174600.82299999893</v>
      </c>
      <c r="GI51" s="60">
        <f t="shared" si="23"/>
        <v>192135.82299999893</v>
      </c>
      <c r="GJ51" s="60">
        <f t="shared" si="23"/>
        <v>115353.82299999893</v>
      </c>
      <c r="GK51" s="60">
        <f t="shared" si="23"/>
        <v>114392.82299999893</v>
      </c>
      <c r="GL51" s="60">
        <f t="shared" si="23"/>
        <v>109657.822999998</v>
      </c>
      <c r="GM51" s="60">
        <f t="shared" ref="GM51:IT51" si="24">+GM6+GM26-GM50</f>
        <v>110503.822999998</v>
      </c>
      <c r="GN51" s="60">
        <f t="shared" si="24"/>
        <v>107719.822999998</v>
      </c>
      <c r="GO51" s="60">
        <f t="shared" si="24"/>
        <v>109608.82299999823</v>
      </c>
      <c r="GP51" s="60">
        <f t="shared" si="24"/>
        <v>-13841931.987000003</v>
      </c>
      <c r="GQ51" s="60">
        <f t="shared" si="24"/>
        <v>132603.82299999567</v>
      </c>
      <c r="GR51" s="60">
        <f t="shared" si="24"/>
        <v>130775.82299999427</v>
      </c>
      <c r="GS51" s="60">
        <f t="shared" si="24"/>
        <v>143485.82299999427</v>
      </c>
      <c r="GT51" s="60">
        <f t="shared" si="24"/>
        <v>183985.82299999427</v>
      </c>
      <c r="GU51" s="110">
        <f t="shared" si="24"/>
        <v>119660.82299998403</v>
      </c>
      <c r="GV51" s="60">
        <f t="shared" si="24"/>
        <v>114130.82299998356</v>
      </c>
      <c r="GW51" s="60">
        <f t="shared" si="24"/>
        <v>151187.82299998356</v>
      </c>
      <c r="GX51" s="60">
        <f t="shared" si="24"/>
        <v>133785.82299998309</v>
      </c>
      <c r="GY51" s="60">
        <f t="shared" si="24"/>
        <v>276251.82299998356</v>
      </c>
      <c r="GZ51" s="60">
        <f t="shared" si="24"/>
        <v>134702.82299998333</v>
      </c>
      <c r="HA51" s="60">
        <f t="shared" si="24"/>
        <v>120145.82299998589</v>
      </c>
      <c r="HB51" s="60">
        <f t="shared" si="24"/>
        <v>115199.82299998635</v>
      </c>
      <c r="HC51" s="60">
        <f t="shared" si="24"/>
        <v>105049.82299998589</v>
      </c>
      <c r="HD51" s="60">
        <f t="shared" si="24"/>
        <v>100423.82299998589</v>
      </c>
      <c r="HE51" s="60">
        <f t="shared" si="24"/>
        <v>99999.72299998533</v>
      </c>
      <c r="HF51" s="60">
        <f t="shared" si="24"/>
        <v>142920.72299998533</v>
      </c>
      <c r="HG51" s="60">
        <f t="shared" si="24"/>
        <v>327634.88299998455</v>
      </c>
      <c r="HH51" s="60">
        <f t="shared" si="24"/>
        <v>443818.55299998447</v>
      </c>
      <c r="HI51" s="60">
        <f t="shared" si="24"/>
        <v>157587.02299998328</v>
      </c>
      <c r="HJ51" s="60">
        <f t="shared" si="24"/>
        <v>207715.02299998328</v>
      </c>
      <c r="HK51" s="60">
        <f t="shared" si="24"/>
        <v>263312.02299998328</v>
      </c>
      <c r="HL51" s="60">
        <f t="shared" si="24"/>
        <v>162886.02299998328</v>
      </c>
      <c r="HM51" s="60">
        <f t="shared" si="24"/>
        <v>122404.02299998328</v>
      </c>
      <c r="HN51" s="143">
        <f t="shared" si="24"/>
        <v>112295.02299998421</v>
      </c>
      <c r="HO51" s="67">
        <f t="shared" si="24"/>
        <v>107663.02299998701</v>
      </c>
      <c r="HP51" s="60">
        <f t="shared" si="24"/>
        <v>120425.02299998701</v>
      </c>
      <c r="HQ51" s="60">
        <f t="shared" si="24"/>
        <v>119694.02299998701</v>
      </c>
      <c r="HR51" s="60">
        <f t="shared" si="24"/>
        <v>134196.02299998701</v>
      </c>
      <c r="HS51" s="60">
        <f t="shared" si="24"/>
        <v>317815.02299998701</v>
      </c>
      <c r="HT51" s="60">
        <f t="shared" si="24"/>
        <v>124032.02299998701</v>
      </c>
      <c r="HU51" s="60">
        <f t="shared" si="24"/>
        <v>103863.02299998887</v>
      </c>
      <c r="HV51" s="60">
        <f t="shared" si="24"/>
        <v>100136.02299998701</v>
      </c>
      <c r="HW51" s="60">
        <f t="shared" si="24"/>
        <v>100002.02299998514</v>
      </c>
      <c r="HX51" s="60">
        <f t="shared" si="24"/>
        <v>100000.02299998491</v>
      </c>
      <c r="HY51" s="60">
        <f t="shared" si="24"/>
        <v>100000.02299998514</v>
      </c>
      <c r="HZ51" s="60">
        <f t="shared" si="24"/>
        <v>100000.02299998514</v>
      </c>
      <c r="IA51" s="60">
        <f t="shared" si="24"/>
        <v>100000.02299998328</v>
      </c>
      <c r="IB51" s="60">
        <f t="shared" si="24"/>
        <v>100000.02299998328</v>
      </c>
      <c r="IC51" s="60">
        <f t="shared" si="24"/>
        <v>100000.02299998701</v>
      </c>
      <c r="ID51" s="60">
        <f t="shared" si="24"/>
        <v>127092.02299998724</v>
      </c>
      <c r="IE51" s="60">
        <f t="shared" si="24"/>
        <v>120613.02299998514</v>
      </c>
      <c r="IF51" s="60">
        <f t="shared" si="24"/>
        <v>249871.02299998701</v>
      </c>
      <c r="IG51" s="60">
        <f t="shared" si="24"/>
        <v>966117.02299998701</v>
      </c>
      <c r="IH51" s="110">
        <f t="shared" si="24"/>
        <v>436795.31299997866</v>
      </c>
      <c r="II51" s="60">
        <f t="shared" si="24"/>
        <v>192932.02299998328</v>
      </c>
      <c r="IJ51" s="60">
        <f t="shared" si="24"/>
        <v>118044.02299998701</v>
      </c>
      <c r="IK51" s="60">
        <f t="shared" si="24"/>
        <v>119878.02299998701</v>
      </c>
      <c r="IL51" s="60">
        <f t="shared" si="24"/>
        <v>245808.02299998701</v>
      </c>
      <c r="IM51" s="60">
        <f t="shared" si="24"/>
        <v>301024.02299998701</v>
      </c>
      <c r="IN51" s="60">
        <f t="shared" si="24"/>
        <v>282759.02299998701</v>
      </c>
      <c r="IO51" s="60">
        <f t="shared" si="24"/>
        <v>136069.02299998701</v>
      </c>
      <c r="IP51" s="60">
        <f t="shared" si="24"/>
        <v>188452.02299998701</v>
      </c>
      <c r="IQ51" s="60">
        <f t="shared" si="24"/>
        <v>105636.02299998328</v>
      </c>
      <c r="IR51" s="60">
        <f t="shared" si="24"/>
        <v>148720.02299998328</v>
      </c>
      <c r="IS51" s="60">
        <f t="shared" si="24"/>
        <v>110446.02299998351</v>
      </c>
      <c r="IT51" s="60">
        <f t="shared" si="24"/>
        <v>113098.02299998328</v>
      </c>
      <c r="IU51" s="60"/>
      <c r="IV51" s="8"/>
    </row>
    <row r="52" spans="1:256" s="8" customFormat="1" ht="14.1" customHeight="1">
      <c r="A52" s="7" t="s">
        <v>16</v>
      </c>
      <c r="B52" s="14"/>
      <c r="C52" s="39">
        <v>17200000</v>
      </c>
      <c r="D52" s="7">
        <v>55000000</v>
      </c>
      <c r="E52" s="7">
        <v>3800000</v>
      </c>
      <c r="F52" s="7">
        <v>37000000</v>
      </c>
      <c r="G52" s="7">
        <v>41200000</v>
      </c>
      <c r="H52" s="7">
        <f>25800000-350000000</f>
        <v>-324200000</v>
      </c>
      <c r="I52" s="7">
        <v>17300000</v>
      </c>
      <c r="J52" s="7">
        <v>-800000</v>
      </c>
      <c r="K52" s="7">
        <v>-1000000</v>
      </c>
      <c r="L52" s="7">
        <v>51700000</v>
      </c>
      <c r="M52" s="7">
        <v>-400000</v>
      </c>
      <c r="N52" s="7">
        <v>-58900000</v>
      </c>
      <c r="O52" s="7">
        <v>2300000</v>
      </c>
      <c r="P52" s="7">
        <v>4400000</v>
      </c>
      <c r="Q52" s="7">
        <v>-6700000</v>
      </c>
      <c r="R52" s="7">
        <v>5100000</v>
      </c>
      <c r="S52" s="7">
        <v>-5600000</v>
      </c>
      <c r="T52" s="7">
        <v>200000</v>
      </c>
      <c r="U52" s="7">
        <v>3300000</v>
      </c>
      <c r="V52" s="7">
        <v>3000000</v>
      </c>
      <c r="W52" s="160">
        <v>900000</v>
      </c>
      <c r="X52" s="7">
        <v>1900000</v>
      </c>
      <c r="Y52" s="7">
        <v>8400000</v>
      </c>
      <c r="Z52" s="7">
        <v>-3200000</v>
      </c>
      <c r="AA52" s="7">
        <v>-14000000</v>
      </c>
      <c r="AB52" s="7">
        <v>-3000000</v>
      </c>
      <c r="AC52" s="7">
        <v>-2600000</v>
      </c>
      <c r="AD52" s="7">
        <v>-1700000</v>
      </c>
      <c r="AE52" s="7">
        <v>-700000</v>
      </c>
      <c r="AF52" s="7">
        <v>-58900000</v>
      </c>
      <c r="AG52" s="7">
        <v>-9500000</v>
      </c>
      <c r="AH52" s="7">
        <v>-300000</v>
      </c>
      <c r="AI52" s="7">
        <v>-500000</v>
      </c>
      <c r="AJ52" s="7">
        <v>-1900000</v>
      </c>
      <c r="AK52" s="7">
        <v>-8000000</v>
      </c>
      <c r="AL52" s="7">
        <v>0</v>
      </c>
      <c r="AM52" s="7">
        <v>5700000</v>
      </c>
      <c r="AN52" s="7">
        <v>6300000</v>
      </c>
      <c r="AO52" s="7">
        <v>-2700000</v>
      </c>
      <c r="AP52" s="7">
        <v>2300000</v>
      </c>
      <c r="AQ52" s="7">
        <v>-1900000</v>
      </c>
      <c r="AR52" s="160">
        <v>-1800000</v>
      </c>
      <c r="AS52" s="7">
        <v>-750000</v>
      </c>
      <c r="AT52" s="7">
        <f>12000000-1500000</f>
        <v>10500000</v>
      </c>
      <c r="AU52" s="7">
        <v>2000000</v>
      </c>
      <c r="AV52" s="7">
        <v>-20700000</v>
      </c>
      <c r="AW52" s="7">
        <v>0</v>
      </c>
      <c r="AX52" s="7">
        <v>0</v>
      </c>
      <c r="AY52" s="7">
        <v>-1600000</v>
      </c>
      <c r="AZ52" s="7">
        <v>400000</v>
      </c>
      <c r="BA52" s="7">
        <v>-4100000</v>
      </c>
      <c r="BB52" s="7">
        <v>2000000</v>
      </c>
      <c r="BC52" s="7">
        <v>-8800000</v>
      </c>
      <c r="BD52" s="7">
        <v>-16000000</v>
      </c>
      <c r="BE52" s="7">
        <v>-2200000</v>
      </c>
      <c r="BF52" s="7">
        <v>-4200000</v>
      </c>
      <c r="BG52" s="7">
        <v>1300000</v>
      </c>
      <c r="BH52" s="7">
        <v>-1200000</v>
      </c>
      <c r="BI52" s="7">
        <v>4400000</v>
      </c>
      <c r="BJ52" s="7">
        <v>-1800000</v>
      </c>
      <c r="BK52" s="7">
        <v>4200000</v>
      </c>
      <c r="BL52" s="7">
        <v>-4500000</v>
      </c>
      <c r="BM52" s="7">
        <v>800000</v>
      </c>
      <c r="BN52" s="160">
        <v>-900000</v>
      </c>
      <c r="BO52" s="7">
        <v>-250000</v>
      </c>
      <c r="BP52" s="7">
        <v>-1400000</v>
      </c>
      <c r="BQ52" s="7">
        <v>-1900000</v>
      </c>
      <c r="BR52" s="7">
        <v>-14500000</v>
      </c>
      <c r="BS52" s="7">
        <v>-500000</v>
      </c>
      <c r="BT52" s="7">
        <v>300000</v>
      </c>
      <c r="BU52" s="7">
        <v>0</v>
      </c>
      <c r="BV52" s="7">
        <v>59900000</v>
      </c>
      <c r="BW52" s="7">
        <v>34600000</v>
      </c>
      <c r="BX52" s="7">
        <v>-400000</v>
      </c>
      <c r="BY52" s="7">
        <v>-60900000</v>
      </c>
      <c r="BZ52" s="7">
        <v>-16500000</v>
      </c>
      <c r="CA52" s="7">
        <v>-6500000</v>
      </c>
      <c r="CB52" s="7">
        <v>-1200000</v>
      </c>
      <c r="CC52" s="7">
        <v>-2300000</v>
      </c>
      <c r="CD52" s="7">
        <v>-500000</v>
      </c>
      <c r="CE52" s="7">
        <v>-600000</v>
      </c>
      <c r="CF52" s="7">
        <v>9600000</v>
      </c>
      <c r="CG52" s="7">
        <v>-1400000</v>
      </c>
      <c r="CH52" s="7">
        <v>-1150000</v>
      </c>
      <c r="CI52" s="160">
        <v>-4000000</v>
      </c>
      <c r="CJ52" s="7">
        <v>-1200000</v>
      </c>
      <c r="CK52" s="7">
        <v>-3000000</v>
      </c>
      <c r="CL52" s="7">
        <v>6000000</v>
      </c>
      <c r="CM52" s="7">
        <v>-2000000</v>
      </c>
      <c r="CN52" s="7">
        <v>5000000</v>
      </c>
      <c r="CO52" s="7">
        <v>28600000</v>
      </c>
      <c r="CP52" s="7">
        <v>-1750000</v>
      </c>
      <c r="CQ52" s="7">
        <v>-700000</v>
      </c>
      <c r="CR52" s="7">
        <v>500000</v>
      </c>
      <c r="CS52" s="7">
        <v>13200000</v>
      </c>
      <c r="CT52" s="7">
        <v>-10600000</v>
      </c>
      <c r="CU52" s="7">
        <v>-1600000</v>
      </c>
      <c r="CV52" s="7">
        <v>-2600000</v>
      </c>
      <c r="CW52" s="7">
        <v>-1700000</v>
      </c>
      <c r="CX52" s="7">
        <v>-2300000</v>
      </c>
      <c r="CY52" s="7">
        <v>-2300000</v>
      </c>
      <c r="CZ52" s="7">
        <v>750000</v>
      </c>
      <c r="DA52" s="7">
        <v>3000000</v>
      </c>
      <c r="DB52" s="7">
        <v>1300000</v>
      </c>
      <c r="DC52" s="7">
        <v>2600000</v>
      </c>
      <c r="DD52" s="160">
        <v>-800000</v>
      </c>
      <c r="DE52" s="92">
        <v>-8200000</v>
      </c>
      <c r="DF52" s="7">
        <v>-1100000</v>
      </c>
      <c r="DG52" s="7">
        <v>-6800000</v>
      </c>
      <c r="DH52" s="7">
        <v>-1500000</v>
      </c>
      <c r="DI52" s="7">
        <v>500000</v>
      </c>
      <c r="DJ52" s="7">
        <v>-200000</v>
      </c>
      <c r="DK52" s="7">
        <v>400000</v>
      </c>
      <c r="DL52" s="7">
        <v>-2000000</v>
      </c>
      <c r="DM52" s="7">
        <v>49200000</v>
      </c>
      <c r="DN52" s="7">
        <v>-62000000</v>
      </c>
      <c r="DO52" s="7">
        <v>18000000</v>
      </c>
      <c r="DP52" s="7">
        <v>1400000</v>
      </c>
      <c r="DQ52" s="7">
        <v>-1900000</v>
      </c>
      <c r="DR52" s="92">
        <v>800000</v>
      </c>
      <c r="DS52" s="7">
        <v>0</v>
      </c>
      <c r="DT52" s="7">
        <v>-600000</v>
      </c>
      <c r="DU52" s="7">
        <v>1200000</v>
      </c>
      <c r="DV52" s="7">
        <v>2200000</v>
      </c>
      <c r="DW52" s="7">
        <v>3000000</v>
      </c>
      <c r="DX52" s="7">
        <v>6800000</v>
      </c>
      <c r="DY52" s="7">
        <v>-600000</v>
      </c>
      <c r="DZ52" s="160">
        <v>-1400000</v>
      </c>
      <c r="EA52" s="7">
        <v>-1400000</v>
      </c>
      <c r="EB52" s="7">
        <v>-300000</v>
      </c>
      <c r="EC52" s="7">
        <f>-5000000-250000</f>
        <v>-5250000</v>
      </c>
      <c r="ED52" s="7">
        <v>-15400000</v>
      </c>
      <c r="EE52" s="7">
        <v>-800000</v>
      </c>
      <c r="EF52" s="7">
        <v>-1100000</v>
      </c>
      <c r="EG52" s="34">
        <v>126400000</v>
      </c>
      <c r="EH52" s="7">
        <f>-EH20+EH49</f>
        <v>10000000</v>
      </c>
      <c r="EI52" s="7">
        <f>-EI20+EI49</f>
        <v>-500000</v>
      </c>
      <c r="EJ52" s="7">
        <f>-EJ20+EJ49</f>
        <v>-1500000</v>
      </c>
      <c r="EK52" s="79">
        <f>-EK20+EK49</f>
        <v>-60500000</v>
      </c>
      <c r="EL52" s="7">
        <v>-11600000</v>
      </c>
      <c r="EM52" s="7">
        <v>3400000</v>
      </c>
      <c r="EN52" s="7">
        <v>3200000</v>
      </c>
      <c r="EO52" s="7">
        <v>-1000000</v>
      </c>
      <c r="EP52" s="7">
        <v>-3000000</v>
      </c>
      <c r="EQ52" s="7">
        <f>-EQ20+EQ49</f>
        <v>1900000</v>
      </c>
      <c r="ER52" s="7">
        <v>-100000</v>
      </c>
      <c r="ES52" s="7">
        <v>-2400000</v>
      </c>
      <c r="ET52" s="7">
        <v>-250000</v>
      </c>
      <c r="EU52" s="160">
        <v>-1300000</v>
      </c>
      <c r="EV52" s="7">
        <v>-2100000</v>
      </c>
      <c r="EW52" s="7">
        <v>-1600000</v>
      </c>
      <c r="EX52" s="7">
        <v>900000</v>
      </c>
      <c r="EY52" s="7">
        <v>-16300000</v>
      </c>
      <c r="EZ52" s="7">
        <v>-450000</v>
      </c>
      <c r="FA52" s="7">
        <v>68700000</v>
      </c>
      <c r="FB52" s="7">
        <v>900000</v>
      </c>
      <c r="FC52" s="7">
        <v>-750000</v>
      </c>
      <c r="FD52" s="7">
        <v>0</v>
      </c>
      <c r="FE52" s="7">
        <v>-60200000</v>
      </c>
      <c r="FF52" s="7">
        <v>-9150000</v>
      </c>
      <c r="FG52" s="7">
        <v>3700000</v>
      </c>
      <c r="FH52" s="7">
        <v>-1800000</v>
      </c>
      <c r="FI52" s="7">
        <v>-4500000</v>
      </c>
      <c r="FJ52" s="7">
        <v>5800000</v>
      </c>
      <c r="FK52" s="7">
        <v>7600000</v>
      </c>
      <c r="FL52" s="79">
        <v>15350000</v>
      </c>
      <c r="FM52" s="7">
        <v>119750000</v>
      </c>
      <c r="FN52" s="7">
        <v>-700000</v>
      </c>
      <c r="FO52" s="7">
        <v>-2800000</v>
      </c>
      <c r="FP52" s="160">
        <v>-2200000</v>
      </c>
      <c r="FQ52" s="7">
        <v>-700000</v>
      </c>
      <c r="FR52" s="7">
        <v>-1850000</v>
      </c>
      <c r="FS52" s="7">
        <v>-4300000</v>
      </c>
      <c r="FT52" s="7">
        <v>-4800000</v>
      </c>
      <c r="FU52" s="7">
        <v>-2700000</v>
      </c>
      <c r="FV52" s="7">
        <v>-700000</v>
      </c>
      <c r="FW52" s="7">
        <v>400000</v>
      </c>
      <c r="FX52" s="7">
        <v>-1300000</v>
      </c>
      <c r="FY52" s="7">
        <v>-2500000</v>
      </c>
      <c r="FZ52" s="111">
        <f>-70400000-75000000</f>
        <v>-145400000</v>
      </c>
      <c r="GA52" s="7">
        <v>-1000000</v>
      </c>
      <c r="GB52" s="7">
        <v>-5000000</v>
      </c>
      <c r="GC52" s="7">
        <v>-3750000</v>
      </c>
      <c r="GD52" s="7">
        <v>-1200000</v>
      </c>
      <c r="GE52" s="7">
        <v>-1000000</v>
      </c>
      <c r="GF52" s="7">
        <v>-750000</v>
      </c>
      <c r="GG52" s="7">
        <v>-800000</v>
      </c>
      <c r="GH52" s="7">
        <v>86500000</v>
      </c>
      <c r="GI52" s="7">
        <f>8800000</f>
        <v>8800000</v>
      </c>
      <c r="GJ52" s="7">
        <v>-1700000</v>
      </c>
      <c r="GK52" s="7">
        <v>-150000</v>
      </c>
      <c r="GL52" s="160">
        <v>-3500000</v>
      </c>
      <c r="GM52" s="7">
        <v>-2300000</v>
      </c>
      <c r="GN52" s="7">
        <v>-200000</v>
      </c>
      <c r="GO52" s="7">
        <v>600000</v>
      </c>
      <c r="GP52" s="7">
        <v>0</v>
      </c>
      <c r="GQ52" s="7">
        <v>-7200000</v>
      </c>
      <c r="GR52" s="7">
        <v>2000000</v>
      </c>
      <c r="GS52" s="7">
        <v>-500000</v>
      </c>
      <c r="GT52" s="7">
        <v>1500000</v>
      </c>
      <c r="GU52" s="116">
        <v>2600000</v>
      </c>
      <c r="GV52" s="7">
        <v>-1300000</v>
      </c>
      <c r="GW52" s="7">
        <v>1200000</v>
      </c>
      <c r="GX52" s="7">
        <v>4600000</v>
      </c>
      <c r="GY52" s="7">
        <v>1500000</v>
      </c>
      <c r="GZ52" s="7">
        <v>-100000</v>
      </c>
      <c r="HA52" s="7">
        <v>-7700000</v>
      </c>
      <c r="HB52" s="7">
        <v>1600000</v>
      </c>
      <c r="HC52" s="7">
        <v>-2800000</v>
      </c>
      <c r="HD52" s="160">
        <v>-750000</v>
      </c>
      <c r="HE52" s="7">
        <v>7200000</v>
      </c>
      <c r="HF52" s="7">
        <v>3500000</v>
      </c>
      <c r="HG52" s="7">
        <v>5300000</v>
      </c>
      <c r="HH52" s="7">
        <v>2600000</v>
      </c>
      <c r="HI52" s="7">
        <f>-HI20+HI49</f>
        <v>-13200000</v>
      </c>
      <c r="HJ52" s="7">
        <v>-3500000</v>
      </c>
      <c r="HK52" s="7">
        <v>2600000</v>
      </c>
      <c r="HL52" s="7">
        <v>1600000</v>
      </c>
      <c r="HM52" s="7">
        <v>7400000</v>
      </c>
      <c r="HN52" s="135">
        <v>900000</v>
      </c>
      <c r="HO52" s="79">
        <v>-73300000</v>
      </c>
      <c r="HP52" s="7">
        <v>3900000</v>
      </c>
      <c r="HQ52" s="7">
        <v>400000</v>
      </c>
      <c r="HR52" s="7">
        <v>900000</v>
      </c>
      <c r="HS52" s="7">
        <v>1600000</v>
      </c>
      <c r="HT52" s="7">
        <v>6600000</v>
      </c>
      <c r="HU52" s="7">
        <v>6600000</v>
      </c>
      <c r="HV52" s="7">
        <v>16500000</v>
      </c>
      <c r="HW52" s="7">
        <v>2000000</v>
      </c>
      <c r="HX52" s="7">
        <v>-1700000</v>
      </c>
      <c r="HY52" s="7">
        <v>15300000</v>
      </c>
      <c r="HZ52" s="160">
        <v>6200000</v>
      </c>
      <c r="IA52" s="7">
        <v>17500000</v>
      </c>
      <c r="IB52" s="7">
        <v>-800000</v>
      </c>
      <c r="IC52" s="7">
        <v>17300000</v>
      </c>
      <c r="ID52" s="7">
        <v>0</v>
      </c>
      <c r="IE52" s="7">
        <v>12200000</v>
      </c>
      <c r="IF52" s="7">
        <v>15000000</v>
      </c>
      <c r="IG52" s="7">
        <v>-88800000</v>
      </c>
      <c r="IH52" s="116">
        <v>53000000</v>
      </c>
      <c r="II52" s="7">
        <v>21200000</v>
      </c>
      <c r="IJ52" s="7">
        <v>-49800000</v>
      </c>
      <c r="IK52" s="7">
        <v>8600000</v>
      </c>
      <c r="IL52" s="7">
        <v>-46000000</v>
      </c>
      <c r="IM52" s="7">
        <v>4750000</v>
      </c>
      <c r="IN52" s="7">
        <v>4900000</v>
      </c>
      <c r="IO52" s="7">
        <v>1200000</v>
      </c>
      <c r="IP52" s="7">
        <v>9200000</v>
      </c>
      <c r="IQ52" s="7">
        <v>4600000</v>
      </c>
      <c r="IR52" s="7">
        <v>27600000</v>
      </c>
      <c r="IS52" s="7">
        <v>-1000000</v>
      </c>
      <c r="IT52" s="160">
        <v>16800000</v>
      </c>
      <c r="IU52" s="7"/>
    </row>
    <row r="53" spans="1:256" s="8" customFormat="1" ht="14.1" customHeight="1">
      <c r="A53" s="21"/>
      <c r="B53" s="14"/>
      <c r="C53" s="152"/>
      <c r="S53" s="8" t="s">
        <v>50</v>
      </c>
      <c r="W53" s="152"/>
      <c r="AR53" s="152"/>
      <c r="BN53" s="152"/>
      <c r="CI53" s="152"/>
      <c r="DD53" s="152"/>
      <c r="DE53" s="83"/>
      <c r="DR53" s="83"/>
      <c r="DZ53" s="152"/>
      <c r="EG53" s="38"/>
      <c r="EK53" s="71"/>
      <c r="EU53" s="152"/>
      <c r="FL53" s="71"/>
      <c r="FP53" s="152"/>
      <c r="FZ53" s="98"/>
      <c r="GL53" s="152"/>
      <c r="GU53" s="98"/>
      <c r="HD53" s="152"/>
      <c r="HM53" s="140"/>
      <c r="HN53" s="127"/>
      <c r="HO53" s="71"/>
      <c r="HZ53" s="152"/>
      <c r="IH53" s="98"/>
      <c r="IT53" s="152"/>
    </row>
    <row r="54" spans="1:256" s="8" customFormat="1" ht="14.1" customHeight="1">
      <c r="A54" s="22" t="s">
        <v>23</v>
      </c>
      <c r="B54" s="22" t="s">
        <v>42</v>
      </c>
      <c r="C54" s="152"/>
      <c r="W54" s="152"/>
      <c r="AR54" s="152"/>
      <c r="BN54" s="152"/>
      <c r="CI54" s="152"/>
      <c r="DD54" s="152"/>
      <c r="DE54" s="83"/>
      <c r="DR54" s="83"/>
      <c r="DZ54" s="152"/>
      <c r="EG54" s="38"/>
      <c r="EK54" s="71"/>
      <c r="EU54" s="152"/>
      <c r="FL54" s="71"/>
      <c r="FP54" s="152"/>
      <c r="FZ54" s="98"/>
      <c r="GL54" s="152"/>
      <c r="GU54" s="98"/>
      <c r="HD54" s="152"/>
      <c r="HM54" s="140"/>
      <c r="HN54" s="127"/>
      <c r="HO54" s="71"/>
      <c r="HZ54" s="152"/>
      <c r="IH54" s="98"/>
      <c r="IT54" s="152"/>
    </row>
    <row r="55" spans="1:256" s="8" customFormat="1" ht="14.1" customHeight="1">
      <c r="A55" s="14" t="s">
        <v>17</v>
      </c>
      <c r="B55" s="14"/>
      <c r="C55" s="39">
        <v>320038041.02999997</v>
      </c>
      <c r="D55" s="14">
        <f t="shared" ref="D55:T55" si="25">C55+D52</f>
        <v>375038041.02999997</v>
      </c>
      <c r="E55" s="14">
        <f t="shared" si="25"/>
        <v>378838041.02999997</v>
      </c>
      <c r="F55" s="14">
        <f t="shared" si="25"/>
        <v>415838041.02999997</v>
      </c>
      <c r="G55" s="14">
        <f t="shared" si="25"/>
        <v>457038041.02999997</v>
      </c>
      <c r="H55" s="14">
        <f t="shared" si="25"/>
        <v>132838041.02999997</v>
      </c>
      <c r="I55" s="14">
        <f t="shared" si="25"/>
        <v>150138041.02999997</v>
      </c>
      <c r="J55" s="14">
        <f t="shared" si="25"/>
        <v>149338041.02999997</v>
      </c>
      <c r="K55" s="14">
        <f t="shared" si="25"/>
        <v>148338041.02999997</v>
      </c>
      <c r="L55" s="14">
        <f t="shared" si="25"/>
        <v>200038041.02999997</v>
      </c>
      <c r="M55" s="14">
        <f t="shared" si="25"/>
        <v>199638041.02999997</v>
      </c>
      <c r="N55" s="14">
        <f t="shared" si="25"/>
        <v>140738041.02999997</v>
      </c>
      <c r="O55" s="14">
        <f t="shared" si="25"/>
        <v>143038041.02999997</v>
      </c>
      <c r="P55" s="14">
        <f t="shared" si="25"/>
        <v>147438041.02999997</v>
      </c>
      <c r="Q55" s="14">
        <f t="shared" si="25"/>
        <v>140738041.02999997</v>
      </c>
      <c r="R55" s="14">
        <f t="shared" si="25"/>
        <v>145838041.02999997</v>
      </c>
      <c r="S55" s="14">
        <f t="shared" si="25"/>
        <v>140238041.02999997</v>
      </c>
      <c r="T55" s="14">
        <f t="shared" si="25"/>
        <v>140438041.02999997</v>
      </c>
      <c r="U55" s="14">
        <f>T55+U52</f>
        <v>143738041.02999997</v>
      </c>
      <c r="V55" s="14">
        <f t="shared" ref="V55:AP55" si="26">U55+V52</f>
        <v>146738041.02999997</v>
      </c>
      <c r="W55" s="39">
        <f>V55+W52+589286.85</f>
        <v>148227327.87999997</v>
      </c>
      <c r="X55" s="14">
        <f t="shared" si="26"/>
        <v>150127327.87999997</v>
      </c>
      <c r="Y55" s="14">
        <f t="shared" si="26"/>
        <v>158527327.87999997</v>
      </c>
      <c r="Z55" s="14">
        <f t="shared" si="26"/>
        <v>155327327.87999997</v>
      </c>
      <c r="AA55" s="14">
        <f t="shared" si="26"/>
        <v>141327327.87999997</v>
      </c>
      <c r="AB55" s="14">
        <f t="shared" si="26"/>
        <v>138327327.87999997</v>
      </c>
      <c r="AC55" s="14">
        <f t="shared" si="26"/>
        <v>135727327.87999997</v>
      </c>
      <c r="AD55" s="14">
        <f t="shared" si="26"/>
        <v>134027327.87999997</v>
      </c>
      <c r="AE55" s="14">
        <f t="shared" si="26"/>
        <v>133327327.87999997</v>
      </c>
      <c r="AF55" s="14">
        <f t="shared" si="26"/>
        <v>74427327.879999965</v>
      </c>
      <c r="AG55" s="14">
        <f t="shared" si="26"/>
        <v>64927327.879999965</v>
      </c>
      <c r="AH55" s="14">
        <f t="shared" si="26"/>
        <v>64627327.879999965</v>
      </c>
      <c r="AI55" s="14">
        <f t="shared" si="26"/>
        <v>64127327.879999965</v>
      </c>
      <c r="AJ55" s="14">
        <f t="shared" si="26"/>
        <v>62227327.879999965</v>
      </c>
      <c r="AK55" s="14">
        <f t="shared" si="26"/>
        <v>54227327.879999965</v>
      </c>
      <c r="AL55" s="14">
        <f t="shared" si="26"/>
        <v>54227327.879999965</v>
      </c>
      <c r="AM55" s="14">
        <f t="shared" si="26"/>
        <v>59927327.879999965</v>
      </c>
      <c r="AN55" s="14">
        <f t="shared" si="26"/>
        <v>66227327.879999965</v>
      </c>
      <c r="AO55" s="14">
        <f t="shared" si="26"/>
        <v>63527327.879999965</v>
      </c>
      <c r="AP55" s="14">
        <f t="shared" si="26"/>
        <v>65827327.879999965</v>
      </c>
      <c r="AQ55" s="14">
        <f>AP55+AQ52</f>
        <v>63927327.879999965</v>
      </c>
      <c r="AR55" s="39">
        <f>AQ55+AR52+265126.71</f>
        <v>62392454.589999966</v>
      </c>
      <c r="AS55" s="14">
        <f t="shared" ref="AS55:BK55" si="27">AR55+AS52</f>
        <v>61642454.589999966</v>
      </c>
      <c r="AT55" s="14">
        <f t="shared" si="27"/>
        <v>72142454.589999974</v>
      </c>
      <c r="AU55" s="14">
        <f t="shared" si="27"/>
        <v>74142454.589999974</v>
      </c>
      <c r="AV55" s="14">
        <f t="shared" si="27"/>
        <v>53442454.589999974</v>
      </c>
      <c r="AW55" s="14">
        <f t="shared" si="27"/>
        <v>53442454.589999974</v>
      </c>
      <c r="AX55" s="14">
        <f t="shared" si="27"/>
        <v>53442454.589999974</v>
      </c>
      <c r="AY55" s="14">
        <f t="shared" si="27"/>
        <v>51842454.589999974</v>
      </c>
      <c r="AZ55" s="14">
        <f t="shared" si="27"/>
        <v>52242454.589999974</v>
      </c>
      <c r="BA55" s="14">
        <f t="shared" si="27"/>
        <v>48142454.589999974</v>
      </c>
      <c r="BB55" s="14">
        <f t="shared" si="27"/>
        <v>50142454.589999974</v>
      </c>
      <c r="BC55" s="14">
        <f t="shared" si="27"/>
        <v>41342454.589999974</v>
      </c>
      <c r="BD55" s="14">
        <f t="shared" si="27"/>
        <v>25342454.589999974</v>
      </c>
      <c r="BE55" s="14">
        <f t="shared" si="27"/>
        <v>23142454.589999974</v>
      </c>
      <c r="BF55" s="14">
        <f t="shared" si="27"/>
        <v>18942454.589999974</v>
      </c>
      <c r="BG55" s="14">
        <f t="shared" si="27"/>
        <v>20242454.589999974</v>
      </c>
      <c r="BH55" s="14">
        <f t="shared" si="27"/>
        <v>19042454.589999974</v>
      </c>
      <c r="BI55" s="14">
        <f t="shared" si="27"/>
        <v>23442454.589999974</v>
      </c>
      <c r="BJ55" s="14">
        <f t="shared" si="27"/>
        <v>21642454.589999974</v>
      </c>
      <c r="BK55" s="14">
        <f t="shared" si="27"/>
        <v>25842454.589999974</v>
      </c>
      <c r="BL55" s="14">
        <f>BK55+BL52</f>
        <v>21342454.589999974</v>
      </c>
      <c r="BM55" s="14">
        <f t="shared" ref="BM55:CG55" si="28">BL55+BM52</f>
        <v>22142454.589999974</v>
      </c>
      <c r="BN55" s="39">
        <f>BM55+BN52+89811.47</f>
        <v>21332266.059999973</v>
      </c>
      <c r="BO55" s="14">
        <f t="shared" si="28"/>
        <v>21082266.059999973</v>
      </c>
      <c r="BP55" s="14">
        <f t="shared" si="28"/>
        <v>19682266.059999973</v>
      </c>
      <c r="BQ55" s="14">
        <f t="shared" si="28"/>
        <v>17782266.059999973</v>
      </c>
      <c r="BR55" s="14">
        <f t="shared" si="28"/>
        <v>3282266.0599999726</v>
      </c>
      <c r="BS55" s="14">
        <f t="shared" si="28"/>
        <v>2782266.0599999726</v>
      </c>
      <c r="BT55" s="14">
        <f t="shared" si="28"/>
        <v>3082266.0599999726</v>
      </c>
      <c r="BU55" s="14">
        <f t="shared" si="28"/>
        <v>3082266.0599999726</v>
      </c>
      <c r="BV55" s="14">
        <f t="shared" si="28"/>
        <v>62982266.059999973</v>
      </c>
      <c r="BW55" s="14">
        <f t="shared" si="28"/>
        <v>97582266.059999973</v>
      </c>
      <c r="BX55" s="14">
        <f t="shared" si="28"/>
        <v>97182266.059999973</v>
      </c>
      <c r="BY55" s="14">
        <f t="shared" si="28"/>
        <v>36282266.059999973</v>
      </c>
      <c r="BZ55" s="14">
        <f t="shared" si="28"/>
        <v>19782266.059999973</v>
      </c>
      <c r="CA55" s="14">
        <f t="shared" si="28"/>
        <v>13282266.059999973</v>
      </c>
      <c r="CB55" s="14">
        <f t="shared" si="28"/>
        <v>12082266.059999973</v>
      </c>
      <c r="CC55" s="14">
        <f t="shared" si="28"/>
        <v>9782266.0599999726</v>
      </c>
      <c r="CD55" s="14">
        <f t="shared" si="28"/>
        <v>9282266.0599999726</v>
      </c>
      <c r="CE55" s="14">
        <f t="shared" si="28"/>
        <v>8682266.0599999726</v>
      </c>
      <c r="CF55" s="14">
        <f t="shared" si="28"/>
        <v>18282266.059999973</v>
      </c>
      <c r="CG55" s="14">
        <f t="shared" si="28"/>
        <v>16882266.059999973</v>
      </c>
      <c r="CH55" s="14">
        <f>CG55+CH52</f>
        <v>15732266.059999973</v>
      </c>
      <c r="CI55" s="39">
        <f>CH55+CI52+42943.9</f>
        <v>11775209.959999973</v>
      </c>
      <c r="CJ55" s="14">
        <f t="shared" ref="CJ55:DB55" si="29">CI55+CJ52</f>
        <v>10575209.959999973</v>
      </c>
      <c r="CK55" s="14">
        <f t="shared" si="29"/>
        <v>7575209.959999973</v>
      </c>
      <c r="CL55" s="14">
        <f t="shared" si="29"/>
        <v>13575209.959999973</v>
      </c>
      <c r="CM55" s="14">
        <f t="shared" si="29"/>
        <v>11575209.959999973</v>
      </c>
      <c r="CN55" s="14">
        <f t="shared" si="29"/>
        <v>16575209.959999973</v>
      </c>
      <c r="CO55" s="14">
        <f t="shared" si="29"/>
        <v>45175209.959999971</v>
      </c>
      <c r="CP55" s="14">
        <f t="shared" si="29"/>
        <v>43425209.959999971</v>
      </c>
      <c r="CQ55" s="14">
        <f t="shared" si="29"/>
        <v>42725209.959999971</v>
      </c>
      <c r="CR55" s="14">
        <f t="shared" si="29"/>
        <v>43225209.959999971</v>
      </c>
      <c r="CS55" s="14">
        <f t="shared" si="29"/>
        <v>56425209.959999971</v>
      </c>
      <c r="CT55" s="14">
        <f t="shared" si="29"/>
        <v>45825209.959999971</v>
      </c>
      <c r="CU55" s="14">
        <f t="shared" si="29"/>
        <v>44225209.959999971</v>
      </c>
      <c r="CV55" s="14">
        <f t="shared" si="29"/>
        <v>41625209.959999971</v>
      </c>
      <c r="CW55" s="14">
        <f t="shared" si="29"/>
        <v>39925209.959999971</v>
      </c>
      <c r="CX55" s="14">
        <f t="shared" si="29"/>
        <v>37625209.959999971</v>
      </c>
      <c r="CY55" s="14">
        <f t="shared" si="29"/>
        <v>35325209.959999971</v>
      </c>
      <c r="CZ55" s="14">
        <f t="shared" si="29"/>
        <v>36075209.959999971</v>
      </c>
      <c r="DA55" s="14">
        <f t="shared" si="29"/>
        <v>39075209.959999971</v>
      </c>
      <c r="DB55" s="14">
        <f t="shared" si="29"/>
        <v>40375209.959999971</v>
      </c>
      <c r="DC55" s="14">
        <f>DB55+DC52</f>
        <v>42975209.959999971</v>
      </c>
      <c r="DD55" s="39">
        <f>DC55+DD52+72665.59</f>
        <v>42247875.549999975</v>
      </c>
      <c r="DE55" s="93">
        <f t="shared" ref="DE55:DQ55" si="30">DD55+DE52</f>
        <v>34047875.549999975</v>
      </c>
      <c r="DF55" s="14">
        <f t="shared" si="30"/>
        <v>32947875.549999975</v>
      </c>
      <c r="DG55" s="14">
        <f t="shared" si="30"/>
        <v>26147875.549999975</v>
      </c>
      <c r="DH55" s="14">
        <f t="shared" si="30"/>
        <v>24647875.549999975</v>
      </c>
      <c r="DI55" s="14">
        <f t="shared" si="30"/>
        <v>25147875.549999975</v>
      </c>
      <c r="DJ55" s="14">
        <f t="shared" si="30"/>
        <v>24947875.549999975</v>
      </c>
      <c r="DK55" s="14">
        <f t="shared" si="30"/>
        <v>25347875.549999975</v>
      </c>
      <c r="DL55" s="14">
        <f t="shared" si="30"/>
        <v>23347875.549999975</v>
      </c>
      <c r="DM55" s="14">
        <f t="shared" si="30"/>
        <v>72547875.549999982</v>
      </c>
      <c r="DN55" s="14">
        <f t="shared" si="30"/>
        <v>10547875.549999982</v>
      </c>
      <c r="DO55" s="14">
        <f t="shared" si="30"/>
        <v>28547875.549999982</v>
      </c>
      <c r="DP55" s="14">
        <f t="shared" si="30"/>
        <v>29947875.549999982</v>
      </c>
      <c r="DQ55" s="14">
        <f t="shared" si="30"/>
        <v>28047875.549999982</v>
      </c>
      <c r="DR55" s="93">
        <f>DQ55+DR52</f>
        <v>28847875.549999982</v>
      </c>
      <c r="DS55" s="14">
        <f>DR55+DS52</f>
        <v>28847875.549999982</v>
      </c>
      <c r="DT55" s="14">
        <f>DS55+DT52</f>
        <v>28247875.549999982</v>
      </c>
      <c r="DU55" s="14">
        <f>DT55+DU52</f>
        <v>29447875.549999982</v>
      </c>
      <c r="DV55" s="14">
        <f>DU55+DV52</f>
        <v>31647875.549999982</v>
      </c>
      <c r="DW55" s="14">
        <f t="shared" ref="DW55:GH55" si="31">DV55+DW52</f>
        <v>34647875.549999982</v>
      </c>
      <c r="DX55" s="14">
        <f t="shared" si="31"/>
        <v>41447875.549999982</v>
      </c>
      <c r="DY55" s="14">
        <f t="shared" si="31"/>
        <v>40847875.549999982</v>
      </c>
      <c r="DZ55" s="39">
        <f>DY55+DZ52+64335.2</f>
        <v>39512210.749999985</v>
      </c>
      <c r="EA55" s="14">
        <f t="shared" si="31"/>
        <v>38112210.749999985</v>
      </c>
      <c r="EB55" s="14">
        <f t="shared" si="31"/>
        <v>37812210.749999985</v>
      </c>
      <c r="EC55" s="14">
        <f t="shared" si="31"/>
        <v>32562210.749999985</v>
      </c>
      <c r="ED55" s="14">
        <f t="shared" si="31"/>
        <v>17162210.749999985</v>
      </c>
      <c r="EE55" s="14">
        <f t="shared" si="31"/>
        <v>16362210.749999985</v>
      </c>
      <c r="EF55" s="14">
        <f t="shared" si="31"/>
        <v>15262210.749999985</v>
      </c>
      <c r="EG55" s="27">
        <f t="shared" si="31"/>
        <v>141662210.75</v>
      </c>
      <c r="EH55" s="14">
        <f t="shared" si="31"/>
        <v>151662210.75</v>
      </c>
      <c r="EI55" s="14">
        <f t="shared" si="31"/>
        <v>151162210.75</v>
      </c>
      <c r="EJ55" s="14">
        <f t="shared" si="31"/>
        <v>149662210.75</v>
      </c>
      <c r="EK55" s="80">
        <f t="shared" si="31"/>
        <v>89162210.75</v>
      </c>
      <c r="EL55" s="14">
        <f t="shared" si="31"/>
        <v>77562210.75</v>
      </c>
      <c r="EM55" s="14">
        <f t="shared" si="31"/>
        <v>80962210.75</v>
      </c>
      <c r="EN55" s="14">
        <f t="shared" si="31"/>
        <v>84162210.75</v>
      </c>
      <c r="EO55" s="14">
        <f t="shared" si="31"/>
        <v>83162210.75</v>
      </c>
      <c r="EP55" s="14">
        <f t="shared" si="31"/>
        <v>80162210.75</v>
      </c>
      <c r="EQ55" s="14">
        <f t="shared" si="31"/>
        <v>82062210.75</v>
      </c>
      <c r="ER55" s="14">
        <f t="shared" si="31"/>
        <v>81962210.75</v>
      </c>
      <c r="ES55" s="14">
        <f t="shared" si="31"/>
        <v>79562210.75</v>
      </c>
      <c r="ET55" s="14">
        <f t="shared" si="31"/>
        <v>79312210.75</v>
      </c>
      <c r="EU55" s="39">
        <f>ET55+EU52+156572.77</f>
        <v>78168783.519999996</v>
      </c>
      <c r="EV55" s="14">
        <f t="shared" si="31"/>
        <v>76068783.519999996</v>
      </c>
      <c r="EW55" s="14">
        <f t="shared" si="31"/>
        <v>74468783.519999996</v>
      </c>
      <c r="EX55" s="14">
        <f t="shared" si="31"/>
        <v>75368783.519999996</v>
      </c>
      <c r="EY55" s="14">
        <f t="shared" si="31"/>
        <v>59068783.519999996</v>
      </c>
      <c r="EZ55" s="14">
        <f t="shared" si="31"/>
        <v>58618783.519999996</v>
      </c>
      <c r="FA55" s="14">
        <f t="shared" si="31"/>
        <v>127318783.52</v>
      </c>
      <c r="FB55" s="14">
        <f t="shared" si="31"/>
        <v>128218783.52</v>
      </c>
      <c r="FC55" s="14">
        <f t="shared" si="31"/>
        <v>127468783.52</v>
      </c>
      <c r="FD55" s="14">
        <f t="shared" si="31"/>
        <v>127468783.52</v>
      </c>
      <c r="FE55" s="14">
        <f t="shared" si="31"/>
        <v>67268783.519999996</v>
      </c>
      <c r="FF55" s="14">
        <f t="shared" si="31"/>
        <v>58118783.519999996</v>
      </c>
      <c r="FG55" s="14">
        <f t="shared" si="31"/>
        <v>61818783.519999996</v>
      </c>
      <c r="FH55" s="14">
        <f t="shared" si="31"/>
        <v>60018783.519999996</v>
      </c>
      <c r="FI55" s="14">
        <f t="shared" si="31"/>
        <v>55518783.519999996</v>
      </c>
      <c r="FJ55" s="14">
        <f t="shared" si="31"/>
        <v>61318783.519999996</v>
      </c>
      <c r="FK55" s="14">
        <f t="shared" si="31"/>
        <v>68918783.519999996</v>
      </c>
      <c r="FL55" s="80">
        <f t="shared" si="31"/>
        <v>84268783.519999996</v>
      </c>
      <c r="FM55" s="14">
        <f t="shared" si="31"/>
        <v>204018783.51999998</v>
      </c>
      <c r="FN55" s="14">
        <f t="shared" si="31"/>
        <v>203318783.51999998</v>
      </c>
      <c r="FO55" s="14">
        <f t="shared" si="31"/>
        <v>200518783.51999998</v>
      </c>
      <c r="FP55" s="39">
        <f>FO55+FP52+213825.72</f>
        <v>198532609.23999998</v>
      </c>
      <c r="FQ55" s="14">
        <f t="shared" si="31"/>
        <v>197832609.23999998</v>
      </c>
      <c r="FR55" s="14">
        <f t="shared" si="31"/>
        <v>195982609.23999998</v>
      </c>
      <c r="FS55" s="14">
        <f t="shared" si="31"/>
        <v>191682609.23999998</v>
      </c>
      <c r="FT55" s="14">
        <f t="shared" si="31"/>
        <v>186882609.23999998</v>
      </c>
      <c r="FU55" s="14">
        <f t="shared" si="31"/>
        <v>184182609.23999998</v>
      </c>
      <c r="FV55" s="14">
        <f t="shared" si="31"/>
        <v>183482609.23999998</v>
      </c>
      <c r="FW55" s="14">
        <f t="shared" si="31"/>
        <v>183882609.23999998</v>
      </c>
      <c r="FX55" s="14">
        <f t="shared" si="31"/>
        <v>182582609.23999998</v>
      </c>
      <c r="FY55" s="14">
        <f t="shared" si="31"/>
        <v>180082609.23999998</v>
      </c>
      <c r="FZ55" s="112">
        <f t="shared" si="31"/>
        <v>34682609.23999998</v>
      </c>
      <c r="GA55" s="14">
        <f t="shared" si="31"/>
        <v>33682609.23999998</v>
      </c>
      <c r="GB55" s="14">
        <f t="shared" si="31"/>
        <v>28682609.23999998</v>
      </c>
      <c r="GC55" s="14">
        <f t="shared" si="31"/>
        <v>24932609.23999998</v>
      </c>
      <c r="GD55" s="14">
        <f t="shared" si="31"/>
        <v>23732609.23999998</v>
      </c>
      <c r="GE55" s="14">
        <f t="shared" si="31"/>
        <v>22732609.23999998</v>
      </c>
      <c r="GF55" s="14">
        <f t="shared" si="31"/>
        <v>21982609.23999998</v>
      </c>
      <c r="GG55" s="14">
        <f t="shared" si="31"/>
        <v>21182609.23999998</v>
      </c>
      <c r="GH55" s="14">
        <f t="shared" si="31"/>
        <v>107682609.23999998</v>
      </c>
      <c r="GI55" s="14">
        <f t="shared" ref="GI55:HC55" si="32">GH55+GI52</f>
        <v>116482609.23999998</v>
      </c>
      <c r="GJ55" s="14">
        <f t="shared" si="32"/>
        <v>114782609.23999998</v>
      </c>
      <c r="GK55" s="14">
        <f t="shared" si="32"/>
        <v>114632609.23999998</v>
      </c>
      <c r="GL55" s="39">
        <f>GK55+GL52+222685.28</f>
        <v>111355294.51999998</v>
      </c>
      <c r="GM55" s="14">
        <f t="shared" si="32"/>
        <v>109055294.51999998</v>
      </c>
      <c r="GN55" s="14">
        <f t="shared" si="32"/>
        <v>108855294.51999998</v>
      </c>
      <c r="GO55" s="14">
        <f t="shared" si="32"/>
        <v>109455294.51999998</v>
      </c>
      <c r="GP55" s="14">
        <f t="shared" si="32"/>
        <v>109455294.51999998</v>
      </c>
      <c r="GQ55" s="14">
        <f t="shared" si="32"/>
        <v>102255294.51999998</v>
      </c>
      <c r="GR55" s="14">
        <f t="shared" si="32"/>
        <v>104255294.51999998</v>
      </c>
      <c r="GS55" s="14">
        <f t="shared" si="32"/>
        <v>103755294.51999998</v>
      </c>
      <c r="GT55" s="14">
        <f t="shared" si="32"/>
        <v>105255294.51999998</v>
      </c>
      <c r="GU55" s="112">
        <f t="shared" si="32"/>
        <v>107855294.51999998</v>
      </c>
      <c r="GV55" s="14">
        <f t="shared" si="32"/>
        <v>106555294.51999998</v>
      </c>
      <c r="GW55" s="14">
        <f t="shared" si="32"/>
        <v>107755294.51999998</v>
      </c>
      <c r="GX55" s="14">
        <f t="shared" si="32"/>
        <v>112355294.51999998</v>
      </c>
      <c r="GY55" s="14">
        <f t="shared" si="32"/>
        <v>113855294.51999998</v>
      </c>
      <c r="GZ55" s="14">
        <f t="shared" si="32"/>
        <v>113755294.51999998</v>
      </c>
      <c r="HA55" s="14">
        <f t="shared" si="32"/>
        <v>106055294.51999998</v>
      </c>
      <c r="HB55" s="14">
        <f t="shared" si="32"/>
        <v>107655294.51999998</v>
      </c>
      <c r="HC55" s="14">
        <f t="shared" si="32"/>
        <v>104855294.51999998</v>
      </c>
      <c r="HD55" s="39">
        <f>HC55+HD52+199498.2</f>
        <v>104304792.71999998</v>
      </c>
      <c r="HE55" s="14">
        <f>HD55+HE52</f>
        <v>111504792.71999998</v>
      </c>
      <c r="HF55" s="14">
        <f>HE55+HF52</f>
        <v>115004792.71999998</v>
      </c>
      <c r="HG55" s="14">
        <f t="shared" ref="HG55:IT55" si="33">HF55+HG52</f>
        <v>120304792.71999998</v>
      </c>
      <c r="HH55" s="14">
        <f t="shared" si="33"/>
        <v>122904792.71999998</v>
      </c>
      <c r="HI55" s="14">
        <f t="shared" si="33"/>
        <v>109704792.71999998</v>
      </c>
      <c r="HJ55" s="14">
        <f t="shared" si="33"/>
        <v>106204792.71999998</v>
      </c>
      <c r="HK55" s="14">
        <f t="shared" si="33"/>
        <v>108804792.71999998</v>
      </c>
      <c r="HL55" s="14">
        <f t="shared" si="33"/>
        <v>110404792.71999998</v>
      </c>
      <c r="HM55" s="14">
        <f t="shared" si="33"/>
        <v>117804792.71999998</v>
      </c>
      <c r="HN55" s="136">
        <f t="shared" si="33"/>
        <v>118704792.71999998</v>
      </c>
      <c r="HO55" s="80">
        <f t="shared" si="33"/>
        <v>45404792.719999984</v>
      </c>
      <c r="HP55" s="14">
        <f t="shared" si="33"/>
        <v>49304792.719999984</v>
      </c>
      <c r="HQ55" s="14">
        <f t="shared" si="33"/>
        <v>49704792.719999984</v>
      </c>
      <c r="HR55" s="14">
        <f t="shared" si="33"/>
        <v>50604792.719999984</v>
      </c>
      <c r="HS55" s="14">
        <f t="shared" si="33"/>
        <v>52204792.719999984</v>
      </c>
      <c r="HT55" s="14">
        <f t="shared" si="33"/>
        <v>58804792.719999984</v>
      </c>
      <c r="HU55" s="14">
        <f t="shared" si="33"/>
        <v>65404792.719999984</v>
      </c>
      <c r="HV55" s="14">
        <f t="shared" si="33"/>
        <v>81904792.719999984</v>
      </c>
      <c r="HW55" s="14">
        <f t="shared" si="33"/>
        <v>83904792.719999984</v>
      </c>
      <c r="HX55" s="14">
        <f t="shared" si="33"/>
        <v>82204792.719999984</v>
      </c>
      <c r="HY55" s="14">
        <f t="shared" si="33"/>
        <v>97504792.719999984</v>
      </c>
      <c r="HZ55" s="39">
        <f>HY55+HZ52+132240.73</f>
        <v>103837033.44999999</v>
      </c>
      <c r="IA55" s="14">
        <f t="shared" si="33"/>
        <v>121337033.44999999</v>
      </c>
      <c r="IB55" s="14">
        <f t="shared" si="33"/>
        <v>120537033.44999999</v>
      </c>
      <c r="IC55" s="14">
        <f t="shared" si="33"/>
        <v>137837033.44999999</v>
      </c>
      <c r="ID55" s="14">
        <f t="shared" si="33"/>
        <v>137837033.44999999</v>
      </c>
      <c r="IE55" s="14">
        <f t="shared" si="33"/>
        <v>150037033.44999999</v>
      </c>
      <c r="IF55" s="14">
        <f t="shared" si="33"/>
        <v>165037033.44999999</v>
      </c>
      <c r="IG55" s="14">
        <f t="shared" si="33"/>
        <v>76237033.449999988</v>
      </c>
      <c r="IH55" s="112">
        <f t="shared" si="33"/>
        <v>129237033.44999999</v>
      </c>
      <c r="II55" s="14">
        <f t="shared" si="33"/>
        <v>150437033.44999999</v>
      </c>
      <c r="IJ55" s="14">
        <f t="shared" si="33"/>
        <v>100637033.44999999</v>
      </c>
      <c r="IK55" s="14">
        <f t="shared" si="33"/>
        <v>109237033.44999999</v>
      </c>
      <c r="IL55" s="14">
        <f t="shared" si="33"/>
        <v>63237033.449999988</v>
      </c>
      <c r="IM55" s="14">
        <f t="shared" si="33"/>
        <v>67987033.449999988</v>
      </c>
      <c r="IN55" s="14">
        <f t="shared" si="33"/>
        <v>72887033.449999988</v>
      </c>
      <c r="IO55" s="14">
        <f t="shared" si="33"/>
        <v>74087033.449999988</v>
      </c>
      <c r="IP55" s="14">
        <f t="shared" si="33"/>
        <v>83287033.449999988</v>
      </c>
      <c r="IQ55" s="14">
        <f t="shared" si="33"/>
        <v>87887033.449999988</v>
      </c>
      <c r="IR55" s="14">
        <f t="shared" si="33"/>
        <v>115487033.44999999</v>
      </c>
      <c r="IS55" s="14">
        <f t="shared" si="33"/>
        <v>114487033.44999999</v>
      </c>
      <c r="IT55" s="39">
        <f t="shared" si="33"/>
        <v>131287033.44999999</v>
      </c>
      <c r="IU55" s="14"/>
    </row>
    <row r="56" spans="1:256" s="8" customFormat="1" ht="14.1" customHeight="1">
      <c r="A56" s="14" t="s">
        <v>69</v>
      </c>
      <c r="B56" s="14"/>
      <c r="C56" s="39">
        <v>0</v>
      </c>
      <c r="D56" s="14">
        <f t="shared" ref="D56:BO56" si="34">+C56</f>
        <v>0</v>
      </c>
      <c r="E56" s="14">
        <f t="shared" si="34"/>
        <v>0</v>
      </c>
      <c r="F56" s="14">
        <f t="shared" si="34"/>
        <v>0</v>
      </c>
      <c r="G56" s="14">
        <f t="shared" si="34"/>
        <v>0</v>
      </c>
      <c r="H56" s="14">
        <f t="shared" si="34"/>
        <v>0</v>
      </c>
      <c r="I56" s="14">
        <f t="shared" si="34"/>
        <v>0</v>
      </c>
      <c r="J56" s="14">
        <f t="shared" si="34"/>
        <v>0</v>
      </c>
      <c r="K56" s="14">
        <f t="shared" si="34"/>
        <v>0</v>
      </c>
      <c r="L56" s="14">
        <f t="shared" si="34"/>
        <v>0</v>
      </c>
      <c r="M56" s="14">
        <f t="shared" si="34"/>
        <v>0</v>
      </c>
      <c r="N56" s="14">
        <f t="shared" si="34"/>
        <v>0</v>
      </c>
      <c r="O56" s="14">
        <f t="shared" si="34"/>
        <v>0</v>
      </c>
      <c r="P56" s="14">
        <f t="shared" si="34"/>
        <v>0</v>
      </c>
      <c r="Q56" s="14">
        <f t="shared" si="34"/>
        <v>0</v>
      </c>
      <c r="R56" s="14">
        <f t="shared" si="34"/>
        <v>0</v>
      </c>
      <c r="S56" s="14">
        <f t="shared" si="34"/>
        <v>0</v>
      </c>
      <c r="T56" s="14">
        <f t="shared" si="34"/>
        <v>0</v>
      </c>
      <c r="U56" s="14">
        <f t="shared" si="34"/>
        <v>0</v>
      </c>
      <c r="V56" s="14">
        <f t="shared" si="34"/>
        <v>0</v>
      </c>
      <c r="W56" s="39">
        <f t="shared" si="34"/>
        <v>0</v>
      </c>
      <c r="X56" s="14">
        <f t="shared" si="34"/>
        <v>0</v>
      </c>
      <c r="Y56" s="14">
        <f t="shared" si="34"/>
        <v>0</v>
      </c>
      <c r="Z56" s="14">
        <f t="shared" si="34"/>
        <v>0</v>
      </c>
      <c r="AA56" s="14">
        <f t="shared" si="34"/>
        <v>0</v>
      </c>
      <c r="AB56" s="14">
        <f t="shared" si="34"/>
        <v>0</v>
      </c>
      <c r="AC56" s="14">
        <f t="shared" si="34"/>
        <v>0</v>
      </c>
      <c r="AD56" s="14">
        <f t="shared" si="34"/>
        <v>0</v>
      </c>
      <c r="AE56" s="14">
        <f t="shared" si="34"/>
        <v>0</v>
      </c>
      <c r="AF56" s="14">
        <f t="shared" si="34"/>
        <v>0</v>
      </c>
      <c r="AG56" s="14">
        <f t="shared" si="34"/>
        <v>0</v>
      </c>
      <c r="AH56" s="14">
        <f t="shared" si="34"/>
        <v>0</v>
      </c>
      <c r="AI56" s="14">
        <f t="shared" si="34"/>
        <v>0</v>
      </c>
      <c r="AJ56" s="14">
        <f t="shared" si="34"/>
        <v>0</v>
      </c>
      <c r="AK56" s="14">
        <f t="shared" si="34"/>
        <v>0</v>
      </c>
      <c r="AL56" s="14">
        <f t="shared" si="34"/>
        <v>0</v>
      </c>
      <c r="AM56" s="14">
        <f t="shared" si="34"/>
        <v>0</v>
      </c>
      <c r="AN56" s="14">
        <f t="shared" si="34"/>
        <v>0</v>
      </c>
      <c r="AO56" s="14">
        <f t="shared" si="34"/>
        <v>0</v>
      </c>
      <c r="AP56" s="14">
        <f t="shared" si="34"/>
        <v>0</v>
      </c>
      <c r="AQ56" s="14">
        <f t="shared" si="34"/>
        <v>0</v>
      </c>
      <c r="AR56" s="39">
        <f t="shared" si="34"/>
        <v>0</v>
      </c>
      <c r="AS56" s="14">
        <f t="shared" si="34"/>
        <v>0</v>
      </c>
      <c r="AT56" s="14">
        <f t="shared" si="34"/>
        <v>0</v>
      </c>
      <c r="AU56" s="14">
        <f t="shared" si="34"/>
        <v>0</v>
      </c>
      <c r="AV56" s="14">
        <f t="shared" si="34"/>
        <v>0</v>
      </c>
      <c r="AW56" s="14">
        <f t="shared" si="34"/>
        <v>0</v>
      </c>
      <c r="AX56" s="14">
        <f t="shared" si="34"/>
        <v>0</v>
      </c>
      <c r="AY56" s="14">
        <f t="shared" si="34"/>
        <v>0</v>
      </c>
      <c r="AZ56" s="14">
        <f t="shared" si="34"/>
        <v>0</v>
      </c>
      <c r="BA56" s="14">
        <f t="shared" si="34"/>
        <v>0</v>
      </c>
      <c r="BB56" s="14">
        <f t="shared" si="34"/>
        <v>0</v>
      </c>
      <c r="BC56" s="14">
        <f t="shared" si="34"/>
        <v>0</v>
      </c>
      <c r="BD56" s="14">
        <f t="shared" si="34"/>
        <v>0</v>
      </c>
      <c r="BE56" s="14">
        <f t="shared" si="34"/>
        <v>0</v>
      </c>
      <c r="BF56" s="14">
        <f t="shared" si="34"/>
        <v>0</v>
      </c>
      <c r="BG56" s="14">
        <f t="shared" si="34"/>
        <v>0</v>
      </c>
      <c r="BH56" s="14">
        <f t="shared" si="34"/>
        <v>0</v>
      </c>
      <c r="BI56" s="14">
        <f t="shared" si="34"/>
        <v>0</v>
      </c>
      <c r="BJ56" s="14">
        <f t="shared" si="34"/>
        <v>0</v>
      </c>
      <c r="BK56" s="14">
        <f t="shared" si="34"/>
        <v>0</v>
      </c>
      <c r="BL56" s="14">
        <f t="shared" si="34"/>
        <v>0</v>
      </c>
      <c r="BM56" s="14">
        <f t="shared" si="34"/>
        <v>0</v>
      </c>
      <c r="BN56" s="39">
        <f t="shared" si="34"/>
        <v>0</v>
      </c>
      <c r="BO56" s="14">
        <f t="shared" si="34"/>
        <v>0</v>
      </c>
      <c r="BP56" s="14">
        <f t="shared" ref="BP56:DQ56" si="35">+BO56</f>
        <v>0</v>
      </c>
      <c r="BQ56" s="14">
        <f t="shared" si="35"/>
        <v>0</v>
      </c>
      <c r="BR56" s="14">
        <f t="shared" si="35"/>
        <v>0</v>
      </c>
      <c r="BS56" s="14">
        <f t="shared" si="35"/>
        <v>0</v>
      </c>
      <c r="BT56" s="14">
        <f t="shared" si="35"/>
        <v>0</v>
      </c>
      <c r="BU56" s="14">
        <f t="shared" si="35"/>
        <v>0</v>
      </c>
      <c r="BV56" s="14">
        <f t="shared" si="35"/>
        <v>0</v>
      </c>
      <c r="BW56" s="14">
        <f t="shared" si="35"/>
        <v>0</v>
      </c>
      <c r="BX56" s="14">
        <f t="shared" si="35"/>
        <v>0</v>
      </c>
      <c r="BY56" s="14">
        <f t="shared" si="35"/>
        <v>0</v>
      </c>
      <c r="BZ56" s="14">
        <f t="shared" si="35"/>
        <v>0</v>
      </c>
      <c r="CA56" s="14">
        <f t="shared" si="35"/>
        <v>0</v>
      </c>
      <c r="CB56" s="14">
        <f t="shared" si="35"/>
        <v>0</v>
      </c>
      <c r="CC56" s="14">
        <f t="shared" si="35"/>
        <v>0</v>
      </c>
      <c r="CD56" s="14">
        <f t="shared" si="35"/>
        <v>0</v>
      </c>
      <c r="CE56" s="14">
        <f t="shared" si="35"/>
        <v>0</v>
      </c>
      <c r="CF56" s="14">
        <f t="shared" si="35"/>
        <v>0</v>
      </c>
      <c r="CG56" s="14">
        <f t="shared" si="35"/>
        <v>0</v>
      </c>
      <c r="CH56" s="14">
        <f t="shared" si="35"/>
        <v>0</v>
      </c>
      <c r="CI56" s="39">
        <f t="shared" si="35"/>
        <v>0</v>
      </c>
      <c r="CJ56" s="14">
        <f t="shared" si="35"/>
        <v>0</v>
      </c>
      <c r="CK56" s="14">
        <f t="shared" si="35"/>
        <v>0</v>
      </c>
      <c r="CL56" s="14">
        <f t="shared" si="35"/>
        <v>0</v>
      </c>
      <c r="CM56" s="14">
        <f t="shared" si="35"/>
        <v>0</v>
      </c>
      <c r="CN56" s="14">
        <f t="shared" si="35"/>
        <v>0</v>
      </c>
      <c r="CO56" s="14">
        <f t="shared" si="35"/>
        <v>0</v>
      </c>
      <c r="CP56" s="14">
        <f t="shared" si="35"/>
        <v>0</v>
      </c>
      <c r="CQ56" s="14">
        <f t="shared" si="35"/>
        <v>0</v>
      </c>
      <c r="CR56" s="14">
        <f t="shared" si="35"/>
        <v>0</v>
      </c>
      <c r="CS56" s="14">
        <f t="shared" si="35"/>
        <v>0</v>
      </c>
      <c r="CT56" s="14">
        <f t="shared" si="35"/>
        <v>0</v>
      </c>
      <c r="CU56" s="14">
        <f t="shared" si="35"/>
        <v>0</v>
      </c>
      <c r="CV56" s="14">
        <f t="shared" si="35"/>
        <v>0</v>
      </c>
      <c r="CW56" s="14">
        <f t="shared" si="35"/>
        <v>0</v>
      </c>
      <c r="CX56" s="14">
        <f t="shared" si="35"/>
        <v>0</v>
      </c>
      <c r="CY56" s="14">
        <f t="shared" si="35"/>
        <v>0</v>
      </c>
      <c r="CZ56" s="14">
        <f t="shared" si="35"/>
        <v>0</v>
      </c>
      <c r="DA56" s="14">
        <f t="shared" si="35"/>
        <v>0</v>
      </c>
      <c r="DB56" s="14">
        <f t="shared" si="35"/>
        <v>0</v>
      </c>
      <c r="DC56" s="14">
        <f t="shared" si="35"/>
        <v>0</v>
      </c>
      <c r="DD56" s="39">
        <f t="shared" si="35"/>
        <v>0</v>
      </c>
      <c r="DE56" s="93">
        <f t="shared" si="35"/>
        <v>0</v>
      </c>
      <c r="DF56" s="14">
        <f t="shared" si="35"/>
        <v>0</v>
      </c>
      <c r="DG56" s="14">
        <f t="shared" si="35"/>
        <v>0</v>
      </c>
      <c r="DH56" s="14">
        <f t="shared" si="35"/>
        <v>0</v>
      </c>
      <c r="DI56" s="14">
        <f t="shared" si="35"/>
        <v>0</v>
      </c>
      <c r="DJ56" s="14">
        <f t="shared" si="35"/>
        <v>0</v>
      </c>
      <c r="DK56" s="14">
        <f t="shared" si="35"/>
        <v>0</v>
      </c>
      <c r="DL56" s="14">
        <f t="shared" si="35"/>
        <v>0</v>
      </c>
      <c r="DM56" s="14">
        <f t="shared" si="35"/>
        <v>0</v>
      </c>
      <c r="DN56" s="14">
        <f t="shared" si="35"/>
        <v>0</v>
      </c>
      <c r="DO56" s="14">
        <f t="shared" si="35"/>
        <v>0</v>
      </c>
      <c r="DP56" s="14">
        <f t="shared" si="35"/>
        <v>0</v>
      </c>
      <c r="DQ56" s="14">
        <f t="shared" si="35"/>
        <v>0</v>
      </c>
      <c r="DR56" s="93">
        <f>+DQ56</f>
        <v>0</v>
      </c>
      <c r="DS56" s="14">
        <f>+DR56</f>
        <v>0</v>
      </c>
      <c r="DT56" s="14">
        <f>+DS56</f>
        <v>0</v>
      </c>
      <c r="DU56" s="14">
        <f>+DT56</f>
        <v>0</v>
      </c>
      <c r="DV56" s="14">
        <f>+DU56</f>
        <v>0</v>
      </c>
      <c r="DW56" s="14">
        <f t="shared" ref="DW56:GH56" si="36">+DV56</f>
        <v>0</v>
      </c>
      <c r="DX56" s="14">
        <f t="shared" si="36"/>
        <v>0</v>
      </c>
      <c r="DY56" s="14">
        <f t="shared" si="36"/>
        <v>0</v>
      </c>
      <c r="DZ56" s="39">
        <f t="shared" si="36"/>
        <v>0</v>
      </c>
      <c r="EA56" s="14">
        <f t="shared" si="36"/>
        <v>0</v>
      </c>
      <c r="EB56" s="14">
        <f t="shared" si="36"/>
        <v>0</v>
      </c>
      <c r="EC56" s="14">
        <f t="shared" si="36"/>
        <v>0</v>
      </c>
      <c r="ED56" s="14">
        <f t="shared" si="36"/>
        <v>0</v>
      </c>
      <c r="EE56" s="14">
        <f t="shared" si="36"/>
        <v>0</v>
      </c>
      <c r="EF56" s="14">
        <f t="shared" si="36"/>
        <v>0</v>
      </c>
      <c r="EG56" s="27">
        <f t="shared" si="36"/>
        <v>0</v>
      </c>
      <c r="EH56" s="14">
        <f t="shared" si="36"/>
        <v>0</v>
      </c>
      <c r="EI56" s="14">
        <f t="shared" si="36"/>
        <v>0</v>
      </c>
      <c r="EJ56" s="14">
        <f t="shared" si="36"/>
        <v>0</v>
      </c>
      <c r="EK56" s="80">
        <f t="shared" si="36"/>
        <v>0</v>
      </c>
      <c r="EL56" s="14">
        <f t="shared" si="36"/>
        <v>0</v>
      </c>
      <c r="EM56" s="14">
        <f t="shared" si="36"/>
        <v>0</v>
      </c>
      <c r="EN56" s="14">
        <f t="shared" si="36"/>
        <v>0</v>
      </c>
      <c r="EO56" s="14">
        <f t="shared" si="36"/>
        <v>0</v>
      </c>
      <c r="EP56" s="14">
        <f t="shared" si="36"/>
        <v>0</v>
      </c>
      <c r="EQ56" s="14">
        <f t="shared" si="36"/>
        <v>0</v>
      </c>
      <c r="ER56" s="14">
        <f t="shared" si="36"/>
        <v>0</v>
      </c>
      <c r="ES56" s="14">
        <f t="shared" si="36"/>
        <v>0</v>
      </c>
      <c r="ET56" s="14">
        <f t="shared" si="36"/>
        <v>0</v>
      </c>
      <c r="EU56" s="39">
        <f t="shared" si="36"/>
        <v>0</v>
      </c>
      <c r="EV56" s="14">
        <f t="shared" si="36"/>
        <v>0</v>
      </c>
      <c r="EW56" s="14">
        <f t="shared" si="36"/>
        <v>0</v>
      </c>
      <c r="EX56" s="14">
        <f t="shared" si="36"/>
        <v>0</v>
      </c>
      <c r="EY56" s="14">
        <f t="shared" si="36"/>
        <v>0</v>
      </c>
      <c r="EZ56" s="14">
        <f t="shared" si="36"/>
        <v>0</v>
      </c>
      <c r="FA56" s="14">
        <f t="shared" si="36"/>
        <v>0</v>
      </c>
      <c r="FB56" s="14">
        <f t="shared" si="36"/>
        <v>0</v>
      </c>
      <c r="FC56" s="14">
        <f t="shared" si="36"/>
        <v>0</v>
      </c>
      <c r="FD56" s="14">
        <f t="shared" si="36"/>
        <v>0</v>
      </c>
      <c r="FE56" s="14">
        <f t="shared" si="36"/>
        <v>0</v>
      </c>
      <c r="FF56" s="14">
        <f t="shared" si="36"/>
        <v>0</v>
      </c>
      <c r="FG56" s="14">
        <f t="shared" si="36"/>
        <v>0</v>
      </c>
      <c r="FH56" s="14">
        <f t="shared" si="36"/>
        <v>0</v>
      </c>
      <c r="FI56" s="14">
        <f t="shared" si="36"/>
        <v>0</v>
      </c>
      <c r="FJ56" s="14">
        <f t="shared" si="36"/>
        <v>0</v>
      </c>
      <c r="FK56" s="14">
        <f t="shared" si="36"/>
        <v>0</v>
      </c>
      <c r="FL56" s="80">
        <f t="shared" si="36"/>
        <v>0</v>
      </c>
      <c r="FM56" s="14">
        <f t="shared" si="36"/>
        <v>0</v>
      </c>
      <c r="FN56" s="14">
        <f t="shared" si="36"/>
        <v>0</v>
      </c>
      <c r="FO56" s="14">
        <f t="shared" si="36"/>
        <v>0</v>
      </c>
      <c r="FP56" s="39">
        <f t="shared" si="36"/>
        <v>0</v>
      </c>
      <c r="FQ56" s="14">
        <f t="shared" si="36"/>
        <v>0</v>
      </c>
      <c r="FR56" s="14">
        <f t="shared" si="36"/>
        <v>0</v>
      </c>
      <c r="FS56" s="14">
        <f t="shared" si="36"/>
        <v>0</v>
      </c>
      <c r="FT56" s="14">
        <f t="shared" si="36"/>
        <v>0</v>
      </c>
      <c r="FU56" s="14">
        <f t="shared" si="36"/>
        <v>0</v>
      </c>
      <c r="FV56" s="14">
        <f t="shared" si="36"/>
        <v>0</v>
      </c>
      <c r="FW56" s="14">
        <f t="shared" si="36"/>
        <v>0</v>
      </c>
      <c r="FX56" s="14">
        <f t="shared" si="36"/>
        <v>0</v>
      </c>
      <c r="FY56" s="14">
        <f t="shared" si="36"/>
        <v>0</v>
      </c>
      <c r="FZ56" s="112">
        <v>75000000</v>
      </c>
      <c r="GA56" s="14">
        <f t="shared" si="36"/>
        <v>75000000</v>
      </c>
      <c r="GB56" s="14">
        <f t="shared" si="36"/>
        <v>75000000</v>
      </c>
      <c r="GC56" s="14">
        <f t="shared" si="36"/>
        <v>75000000</v>
      </c>
      <c r="GD56" s="14">
        <f t="shared" si="36"/>
        <v>75000000</v>
      </c>
      <c r="GE56" s="14">
        <f t="shared" si="36"/>
        <v>75000000</v>
      </c>
      <c r="GF56" s="14">
        <f t="shared" si="36"/>
        <v>75000000</v>
      </c>
      <c r="GG56" s="14">
        <f t="shared" si="36"/>
        <v>75000000</v>
      </c>
      <c r="GH56" s="14">
        <f t="shared" si="36"/>
        <v>75000000</v>
      </c>
      <c r="GI56" s="14">
        <f t="shared" ref="GI56:HD56" si="37">+GH56</f>
        <v>75000000</v>
      </c>
      <c r="GJ56" s="14">
        <f t="shared" si="37"/>
        <v>75000000</v>
      </c>
      <c r="GK56" s="14">
        <f t="shared" si="37"/>
        <v>75000000</v>
      </c>
      <c r="GL56" s="39">
        <f t="shared" si="37"/>
        <v>75000000</v>
      </c>
      <c r="GM56" s="14">
        <f t="shared" si="37"/>
        <v>75000000</v>
      </c>
      <c r="GN56" s="14">
        <f t="shared" si="37"/>
        <v>75000000</v>
      </c>
      <c r="GO56" s="14">
        <f t="shared" si="37"/>
        <v>75000000</v>
      </c>
      <c r="GP56" s="14">
        <f t="shared" si="37"/>
        <v>75000000</v>
      </c>
      <c r="GQ56" s="14">
        <f t="shared" si="37"/>
        <v>75000000</v>
      </c>
      <c r="GR56" s="14">
        <f t="shared" si="37"/>
        <v>75000000</v>
      </c>
      <c r="GS56" s="14">
        <f t="shared" si="37"/>
        <v>75000000</v>
      </c>
      <c r="GT56" s="14">
        <f t="shared" si="37"/>
        <v>75000000</v>
      </c>
      <c r="GU56" s="112">
        <v>0</v>
      </c>
      <c r="GV56" s="14">
        <f t="shared" si="37"/>
        <v>0</v>
      </c>
      <c r="GW56" s="14">
        <f t="shared" si="37"/>
        <v>0</v>
      </c>
      <c r="GX56" s="14">
        <f t="shared" si="37"/>
        <v>0</v>
      </c>
      <c r="GY56" s="14">
        <f t="shared" si="37"/>
        <v>0</v>
      </c>
      <c r="GZ56" s="14">
        <f t="shared" si="37"/>
        <v>0</v>
      </c>
      <c r="HA56" s="14">
        <f t="shared" si="37"/>
        <v>0</v>
      </c>
      <c r="HB56" s="14">
        <f t="shared" si="37"/>
        <v>0</v>
      </c>
      <c r="HC56" s="14">
        <f t="shared" si="37"/>
        <v>0</v>
      </c>
      <c r="HD56" s="39">
        <f t="shared" si="37"/>
        <v>0</v>
      </c>
      <c r="HE56" s="14">
        <f>+HD56</f>
        <v>0</v>
      </c>
      <c r="HF56" s="14">
        <f>+HE56</f>
        <v>0</v>
      </c>
      <c r="HG56" s="14">
        <f t="shared" ref="HG56:IT56" si="38">+HF56</f>
        <v>0</v>
      </c>
      <c r="HH56" s="14">
        <f t="shared" si="38"/>
        <v>0</v>
      </c>
      <c r="HI56" s="14">
        <f t="shared" si="38"/>
        <v>0</v>
      </c>
      <c r="HJ56" s="14">
        <f t="shared" si="38"/>
        <v>0</v>
      </c>
      <c r="HK56" s="14">
        <f t="shared" si="38"/>
        <v>0</v>
      </c>
      <c r="HL56" s="14">
        <f t="shared" si="38"/>
        <v>0</v>
      </c>
      <c r="HM56" s="14">
        <f t="shared" si="38"/>
        <v>0</v>
      </c>
      <c r="HN56" s="136">
        <f t="shared" si="38"/>
        <v>0</v>
      </c>
      <c r="HO56" s="80">
        <f t="shared" si="38"/>
        <v>0</v>
      </c>
      <c r="HP56" s="14">
        <f t="shared" si="38"/>
        <v>0</v>
      </c>
      <c r="HQ56" s="14">
        <f t="shared" si="38"/>
        <v>0</v>
      </c>
      <c r="HR56" s="14">
        <f t="shared" si="38"/>
        <v>0</v>
      </c>
      <c r="HS56" s="14">
        <f t="shared" si="38"/>
        <v>0</v>
      </c>
      <c r="HT56" s="14">
        <f t="shared" si="38"/>
        <v>0</v>
      </c>
      <c r="HU56" s="14">
        <f t="shared" si="38"/>
        <v>0</v>
      </c>
      <c r="HV56" s="14">
        <f t="shared" si="38"/>
        <v>0</v>
      </c>
      <c r="HW56" s="14">
        <f t="shared" si="38"/>
        <v>0</v>
      </c>
      <c r="HX56" s="14">
        <f t="shared" si="38"/>
        <v>0</v>
      </c>
      <c r="HY56" s="14">
        <f t="shared" si="38"/>
        <v>0</v>
      </c>
      <c r="HZ56" s="39">
        <f t="shared" si="38"/>
        <v>0</v>
      </c>
      <c r="IA56" s="14">
        <f t="shared" si="38"/>
        <v>0</v>
      </c>
      <c r="IB56" s="14">
        <f t="shared" si="38"/>
        <v>0</v>
      </c>
      <c r="IC56" s="14">
        <f t="shared" si="38"/>
        <v>0</v>
      </c>
      <c r="ID56" s="14">
        <f t="shared" si="38"/>
        <v>0</v>
      </c>
      <c r="IE56" s="14">
        <f t="shared" si="38"/>
        <v>0</v>
      </c>
      <c r="IF56" s="14">
        <f t="shared" si="38"/>
        <v>0</v>
      </c>
      <c r="IG56" s="14">
        <f t="shared" si="38"/>
        <v>0</v>
      </c>
      <c r="IH56" s="112">
        <f t="shared" si="38"/>
        <v>0</v>
      </c>
      <c r="II56" s="14">
        <f t="shared" si="38"/>
        <v>0</v>
      </c>
      <c r="IJ56" s="14">
        <f t="shared" si="38"/>
        <v>0</v>
      </c>
      <c r="IK56" s="14">
        <f t="shared" si="38"/>
        <v>0</v>
      </c>
      <c r="IL56" s="14">
        <f t="shared" si="38"/>
        <v>0</v>
      </c>
      <c r="IM56" s="14">
        <f t="shared" si="38"/>
        <v>0</v>
      </c>
      <c r="IN56" s="14">
        <f t="shared" si="38"/>
        <v>0</v>
      </c>
      <c r="IO56" s="14">
        <f t="shared" si="38"/>
        <v>0</v>
      </c>
      <c r="IP56" s="14">
        <f t="shared" si="38"/>
        <v>0</v>
      </c>
      <c r="IQ56" s="14">
        <f t="shared" si="38"/>
        <v>0</v>
      </c>
      <c r="IR56" s="14">
        <f t="shared" si="38"/>
        <v>0</v>
      </c>
      <c r="IS56" s="14">
        <f t="shared" si="38"/>
        <v>0</v>
      </c>
      <c r="IT56" s="39">
        <f t="shared" si="38"/>
        <v>0</v>
      </c>
      <c r="IU56" s="14"/>
    </row>
    <row r="57" spans="1:256" s="8" customFormat="1" ht="14.1" customHeight="1">
      <c r="A57" s="14" t="s">
        <v>22</v>
      </c>
      <c r="B57" s="14"/>
      <c r="C57" s="39">
        <v>31708.12</v>
      </c>
      <c r="D57" s="14">
        <f t="shared" ref="D57:G59" si="39">C57-D22</f>
        <v>31708.12</v>
      </c>
      <c r="E57" s="14">
        <f t="shared" si="39"/>
        <v>31708.12</v>
      </c>
      <c r="F57" s="14">
        <f t="shared" si="39"/>
        <v>31708.12</v>
      </c>
      <c r="G57" s="14">
        <f t="shared" si="39"/>
        <v>31708.12</v>
      </c>
      <c r="H57" s="14">
        <f>G57-H22+50000000</f>
        <v>50031708.119999997</v>
      </c>
      <c r="I57" s="14">
        <f t="shared" ref="I57:V57" si="40">H57-I22</f>
        <v>50031708.119999997</v>
      </c>
      <c r="J57" s="14">
        <f t="shared" si="40"/>
        <v>50031708.119999997</v>
      </c>
      <c r="K57" s="14">
        <f t="shared" si="40"/>
        <v>50031708.119999997</v>
      </c>
      <c r="L57" s="14">
        <f t="shared" si="40"/>
        <v>50031708.119999997</v>
      </c>
      <c r="M57" s="14">
        <f t="shared" si="40"/>
        <v>50031708.119999997</v>
      </c>
      <c r="N57" s="14">
        <f t="shared" si="40"/>
        <v>50031708.119999997</v>
      </c>
      <c r="O57" s="14">
        <f t="shared" si="40"/>
        <v>50031708.119999997</v>
      </c>
      <c r="P57" s="14">
        <f t="shared" si="40"/>
        <v>50031708.119999997</v>
      </c>
      <c r="Q57" s="14">
        <f t="shared" si="40"/>
        <v>50031708.119999997</v>
      </c>
      <c r="R57" s="14">
        <f t="shared" si="40"/>
        <v>50031708.119999997</v>
      </c>
      <c r="S57" s="14">
        <f t="shared" si="40"/>
        <v>50031708.119999997</v>
      </c>
      <c r="T57" s="14">
        <f t="shared" si="40"/>
        <v>50031708.119999997</v>
      </c>
      <c r="U57" s="14">
        <f t="shared" si="40"/>
        <v>50031708.119999997</v>
      </c>
      <c r="V57" s="14">
        <f t="shared" si="40"/>
        <v>50031708.119999997</v>
      </c>
      <c r="W57" s="39">
        <f>V57-W22+107628.55</f>
        <v>50139336.669999994</v>
      </c>
      <c r="X57" s="14">
        <f t="shared" ref="X57:AQ57" si="41">W57-X22</f>
        <v>50139336.669999994</v>
      </c>
      <c r="Y57" s="14">
        <f t="shared" si="41"/>
        <v>50139336.669999994</v>
      </c>
      <c r="Z57" s="14">
        <f t="shared" si="41"/>
        <v>50139336.669999994</v>
      </c>
      <c r="AA57" s="14">
        <f t="shared" si="41"/>
        <v>50139336.669999994</v>
      </c>
      <c r="AB57" s="14">
        <f t="shared" si="41"/>
        <v>50139336.669999994</v>
      </c>
      <c r="AC57" s="14">
        <f t="shared" si="41"/>
        <v>50139336.669999994</v>
      </c>
      <c r="AD57" s="14">
        <f t="shared" si="41"/>
        <v>50139336.669999994</v>
      </c>
      <c r="AE57" s="14">
        <f t="shared" si="41"/>
        <v>50139336.669999994</v>
      </c>
      <c r="AF57" s="14">
        <f t="shared" si="41"/>
        <v>50139336.669999994</v>
      </c>
      <c r="AG57" s="14">
        <f t="shared" si="41"/>
        <v>50139336.669999994</v>
      </c>
      <c r="AH57" s="14">
        <f t="shared" si="41"/>
        <v>50139336.669999994</v>
      </c>
      <c r="AI57" s="14">
        <f t="shared" si="41"/>
        <v>50139336.669999994</v>
      </c>
      <c r="AJ57" s="14">
        <f t="shared" si="41"/>
        <v>50139336.669999994</v>
      </c>
      <c r="AK57" s="14">
        <f t="shared" si="41"/>
        <v>50139336.669999994</v>
      </c>
      <c r="AL57" s="14">
        <f t="shared" si="41"/>
        <v>50139336.669999994</v>
      </c>
      <c r="AM57" s="14">
        <f t="shared" si="41"/>
        <v>50139336.669999994</v>
      </c>
      <c r="AN57" s="14">
        <f t="shared" si="41"/>
        <v>50139336.669999994</v>
      </c>
      <c r="AO57" s="14">
        <f t="shared" si="41"/>
        <v>50139336.669999994</v>
      </c>
      <c r="AP57" s="14">
        <f t="shared" si="41"/>
        <v>50139336.669999994</v>
      </c>
      <c r="AQ57" s="14">
        <f t="shared" si="41"/>
        <v>50139336.669999994</v>
      </c>
      <c r="AR57" s="39">
        <f>AQ57-AR22+126570.62</f>
        <v>50265907.289999992</v>
      </c>
      <c r="AS57" s="14">
        <f t="shared" ref="AS57:BM57" si="42">AR57-AS22</f>
        <v>50265907.289999992</v>
      </c>
      <c r="AT57" s="14">
        <f t="shared" si="42"/>
        <v>50265907.289999992</v>
      </c>
      <c r="AU57" s="14">
        <f t="shared" si="42"/>
        <v>50265907.289999992</v>
      </c>
      <c r="AV57" s="14">
        <f t="shared" si="42"/>
        <v>50265907.289999992</v>
      </c>
      <c r="AW57" s="14">
        <f t="shared" si="42"/>
        <v>50265907.289999992</v>
      </c>
      <c r="AX57" s="14">
        <f t="shared" si="42"/>
        <v>50265907.289999992</v>
      </c>
      <c r="AY57" s="14">
        <f t="shared" si="42"/>
        <v>50265907.289999992</v>
      </c>
      <c r="AZ57" s="14">
        <f t="shared" si="42"/>
        <v>50265907.289999992</v>
      </c>
      <c r="BA57" s="14">
        <f t="shared" si="42"/>
        <v>50265907.289999992</v>
      </c>
      <c r="BB57" s="14">
        <f t="shared" si="42"/>
        <v>50265907.289999992</v>
      </c>
      <c r="BC57" s="14">
        <f t="shared" si="42"/>
        <v>50265907.289999992</v>
      </c>
      <c r="BD57" s="14">
        <f t="shared" si="42"/>
        <v>50265907.289999992</v>
      </c>
      <c r="BE57" s="14">
        <f t="shared" si="42"/>
        <v>50265907.289999992</v>
      </c>
      <c r="BF57" s="14">
        <f t="shared" si="42"/>
        <v>50265907.289999992</v>
      </c>
      <c r="BG57" s="14">
        <f t="shared" si="42"/>
        <v>50265907.289999992</v>
      </c>
      <c r="BH57" s="14">
        <f t="shared" si="42"/>
        <v>50265907.289999992</v>
      </c>
      <c r="BI57" s="14">
        <f t="shared" si="42"/>
        <v>50265907.289999992</v>
      </c>
      <c r="BJ57" s="14">
        <f t="shared" si="42"/>
        <v>50265907.289999992</v>
      </c>
      <c r="BK57" s="14">
        <f t="shared" si="42"/>
        <v>50265907.289999992</v>
      </c>
      <c r="BL57" s="14">
        <f t="shared" si="42"/>
        <v>50265907.289999992</v>
      </c>
      <c r="BM57" s="14">
        <f t="shared" si="42"/>
        <v>50265907.289999992</v>
      </c>
      <c r="BN57" s="39">
        <f>BM57-BN22+101099.21</f>
        <v>50367006.499999993</v>
      </c>
      <c r="BO57" s="14">
        <f t="shared" ref="BO57:CH57" si="43">BN57-BO22</f>
        <v>50367006.499999993</v>
      </c>
      <c r="BP57" s="14">
        <f t="shared" si="43"/>
        <v>50367006.499999993</v>
      </c>
      <c r="BQ57" s="14">
        <f t="shared" si="43"/>
        <v>50367006.499999993</v>
      </c>
      <c r="BR57" s="14">
        <f t="shared" si="43"/>
        <v>50367006.499999993</v>
      </c>
      <c r="BS57" s="14">
        <f t="shared" si="43"/>
        <v>50367006.499999993</v>
      </c>
      <c r="BT57" s="14">
        <f t="shared" si="43"/>
        <v>50367006.499999993</v>
      </c>
      <c r="BU57" s="14">
        <f t="shared" si="43"/>
        <v>50367006.499999993</v>
      </c>
      <c r="BV57" s="14">
        <f t="shared" si="43"/>
        <v>50367006.499999993</v>
      </c>
      <c r="BW57" s="14">
        <f t="shared" si="43"/>
        <v>25367006.499999993</v>
      </c>
      <c r="BX57" s="14">
        <f t="shared" si="43"/>
        <v>25367006.499999993</v>
      </c>
      <c r="BY57" s="14">
        <f t="shared" si="43"/>
        <v>25367006.499999993</v>
      </c>
      <c r="BZ57" s="14">
        <f t="shared" si="43"/>
        <v>25367006.499999993</v>
      </c>
      <c r="CA57" s="14">
        <f t="shared" si="43"/>
        <v>25367006.499999993</v>
      </c>
      <c r="CB57" s="14">
        <f t="shared" si="43"/>
        <v>25367006.499999993</v>
      </c>
      <c r="CC57" s="14">
        <f t="shared" si="43"/>
        <v>25367006.499999993</v>
      </c>
      <c r="CD57" s="14">
        <f t="shared" si="43"/>
        <v>25367006.499999993</v>
      </c>
      <c r="CE57" s="14">
        <f t="shared" si="43"/>
        <v>25367006.499999993</v>
      </c>
      <c r="CF57" s="14">
        <f t="shared" si="43"/>
        <v>25367006.499999993</v>
      </c>
      <c r="CG57" s="14">
        <f t="shared" si="43"/>
        <v>25367006.499999993</v>
      </c>
      <c r="CH57" s="14">
        <f t="shared" si="43"/>
        <v>25367006.499999993</v>
      </c>
      <c r="CI57" s="39">
        <f>CH57-CI22+67546.4</f>
        <v>25434552.899999991</v>
      </c>
      <c r="CJ57" s="14">
        <f t="shared" ref="CJ57:DC57" si="44">CI57-CJ22</f>
        <v>25434552.899999991</v>
      </c>
      <c r="CK57" s="14">
        <f t="shared" si="44"/>
        <v>25434552.899999991</v>
      </c>
      <c r="CL57" s="14">
        <f t="shared" si="44"/>
        <v>25434552.899999991</v>
      </c>
      <c r="CM57" s="14">
        <f t="shared" si="44"/>
        <v>25434552.899999991</v>
      </c>
      <c r="CN57" s="14">
        <f t="shared" si="44"/>
        <v>25434552.899999991</v>
      </c>
      <c r="CO57" s="14">
        <f t="shared" si="44"/>
        <v>15434552.899999991</v>
      </c>
      <c r="CP57" s="14">
        <f t="shared" si="44"/>
        <v>15434552.899999991</v>
      </c>
      <c r="CQ57" s="14">
        <f t="shared" si="44"/>
        <v>15434552.899999991</v>
      </c>
      <c r="CR57" s="14">
        <f t="shared" si="44"/>
        <v>15434552.899999991</v>
      </c>
      <c r="CS57" s="14">
        <f t="shared" si="44"/>
        <v>10434552.899999991</v>
      </c>
      <c r="CT57" s="14">
        <f t="shared" si="44"/>
        <v>10434552.899999991</v>
      </c>
      <c r="CU57" s="14">
        <f t="shared" si="44"/>
        <v>10434552.899999991</v>
      </c>
      <c r="CV57" s="14">
        <f t="shared" si="44"/>
        <v>10434552.899999991</v>
      </c>
      <c r="CW57" s="14">
        <f t="shared" si="44"/>
        <v>10434552.899999991</v>
      </c>
      <c r="CX57" s="14">
        <f t="shared" si="44"/>
        <v>10434552.899999991</v>
      </c>
      <c r="CY57" s="14">
        <f t="shared" si="44"/>
        <v>10434552.899999991</v>
      </c>
      <c r="CZ57" s="14">
        <f t="shared" si="44"/>
        <v>10434552.899999991</v>
      </c>
      <c r="DA57" s="14">
        <f t="shared" si="44"/>
        <v>10434552.899999991</v>
      </c>
      <c r="DB57" s="14">
        <f t="shared" si="44"/>
        <v>10434552.899999991</v>
      </c>
      <c r="DC57" s="14">
        <f t="shared" si="44"/>
        <v>10434552.899999991</v>
      </c>
      <c r="DD57" s="39">
        <f>DC57-DD22+28119.44</f>
        <v>10462672.339999991</v>
      </c>
      <c r="DE57" s="93">
        <f t="shared" ref="DE57:DY57" si="45">DD57-DE22</f>
        <v>10462672.339999991</v>
      </c>
      <c r="DF57" s="14">
        <f t="shared" si="45"/>
        <v>10462672.339999991</v>
      </c>
      <c r="DG57" s="14">
        <f t="shared" si="45"/>
        <v>10462672.339999991</v>
      </c>
      <c r="DH57" s="14">
        <f t="shared" si="45"/>
        <v>10462672.339999991</v>
      </c>
      <c r="DI57" s="14">
        <f t="shared" si="45"/>
        <v>10462672.339999991</v>
      </c>
      <c r="DJ57" s="14">
        <f t="shared" si="45"/>
        <v>10462672.339999991</v>
      </c>
      <c r="DK57" s="14">
        <f t="shared" si="45"/>
        <v>10462672.339999991</v>
      </c>
      <c r="DL57" s="14">
        <f t="shared" si="45"/>
        <v>10462672.339999991</v>
      </c>
      <c r="DM57" s="14">
        <f t="shared" si="45"/>
        <v>462672.33999999054</v>
      </c>
      <c r="DN57" s="14">
        <f t="shared" si="45"/>
        <v>462672.33999999054</v>
      </c>
      <c r="DO57" s="14">
        <f t="shared" si="45"/>
        <v>462672.33999999054</v>
      </c>
      <c r="DP57" s="14">
        <f t="shared" si="45"/>
        <v>462672.33999999054</v>
      </c>
      <c r="DQ57" s="14">
        <f t="shared" si="45"/>
        <v>462672.33999999054</v>
      </c>
      <c r="DR57" s="93">
        <f t="shared" si="45"/>
        <v>462672.33999999054</v>
      </c>
      <c r="DS57" s="14">
        <f t="shared" si="45"/>
        <v>462672.33999999054</v>
      </c>
      <c r="DT57" s="14">
        <f t="shared" si="45"/>
        <v>462672.33999999054</v>
      </c>
      <c r="DU57" s="14">
        <f t="shared" si="45"/>
        <v>462672.33999999054</v>
      </c>
      <c r="DV57" s="14">
        <f t="shared" si="45"/>
        <v>462672.33999999054</v>
      </c>
      <c r="DW57" s="14">
        <f t="shared" si="45"/>
        <v>462672.33999999054</v>
      </c>
      <c r="DX57" s="14">
        <f t="shared" si="45"/>
        <v>462672.33999999054</v>
      </c>
      <c r="DY57" s="14">
        <f t="shared" si="45"/>
        <v>462672.33999999054</v>
      </c>
      <c r="DZ57" s="39">
        <f>DY57-DZ22+8851.48</f>
        <v>471523.81999999052</v>
      </c>
      <c r="EA57" s="14">
        <f t="shared" ref="EA57:ET57" si="46">DZ57-EA22</f>
        <v>471523.81999999052</v>
      </c>
      <c r="EB57" s="14">
        <f t="shared" si="46"/>
        <v>471523.81999999052</v>
      </c>
      <c r="EC57" s="14">
        <f t="shared" si="46"/>
        <v>471523.81999999052</v>
      </c>
      <c r="ED57" s="14">
        <f t="shared" si="46"/>
        <v>471523.81999999052</v>
      </c>
      <c r="EE57" s="14">
        <f t="shared" si="46"/>
        <v>471523.81999999052</v>
      </c>
      <c r="EF57" s="14">
        <f t="shared" si="46"/>
        <v>471523.81999999052</v>
      </c>
      <c r="EG57" s="27">
        <f t="shared" si="46"/>
        <v>471523.81999999052</v>
      </c>
      <c r="EH57" s="14">
        <f t="shared" si="46"/>
        <v>471523.81999999052</v>
      </c>
      <c r="EI57" s="14">
        <f t="shared" si="46"/>
        <v>471523.81999999052</v>
      </c>
      <c r="EJ57" s="14">
        <f t="shared" si="46"/>
        <v>471523.81999999052</v>
      </c>
      <c r="EK57" s="80">
        <f t="shared" si="46"/>
        <v>471523.81999999052</v>
      </c>
      <c r="EL57" s="14">
        <f t="shared" si="46"/>
        <v>471523.81999999052</v>
      </c>
      <c r="EM57" s="14">
        <f t="shared" si="46"/>
        <v>471523.81999999052</v>
      </c>
      <c r="EN57" s="14">
        <f t="shared" si="46"/>
        <v>471523.81999999052</v>
      </c>
      <c r="EO57" s="14">
        <f t="shared" si="46"/>
        <v>471523.81999999052</v>
      </c>
      <c r="EP57" s="14">
        <f t="shared" si="46"/>
        <v>471523.81999999052</v>
      </c>
      <c r="EQ57" s="14">
        <f t="shared" si="46"/>
        <v>471523.81999999052</v>
      </c>
      <c r="ER57" s="14">
        <f t="shared" si="46"/>
        <v>471523.81999999052</v>
      </c>
      <c r="ES57" s="14">
        <f t="shared" si="46"/>
        <v>471523.81999999052</v>
      </c>
      <c r="ET57" s="14">
        <f t="shared" si="46"/>
        <v>471523.81999999052</v>
      </c>
      <c r="EU57" s="39">
        <f>ET57-EU22+916.19</f>
        <v>472440.00999999052</v>
      </c>
      <c r="EV57" s="14">
        <f t="shared" ref="EV57:FO57" si="47">EU57-EV22</f>
        <v>472440.00999999052</v>
      </c>
      <c r="EW57" s="14">
        <f t="shared" si="47"/>
        <v>472440.00999999052</v>
      </c>
      <c r="EX57" s="14">
        <f t="shared" si="47"/>
        <v>472440.00999999052</v>
      </c>
      <c r="EY57" s="14">
        <f t="shared" si="47"/>
        <v>472440.00999999052</v>
      </c>
      <c r="EZ57" s="14">
        <f t="shared" si="47"/>
        <v>472440.00999999052</v>
      </c>
      <c r="FA57" s="14">
        <f t="shared" si="47"/>
        <v>472440.00999999052</v>
      </c>
      <c r="FB57" s="14">
        <f t="shared" si="47"/>
        <v>472440.00999999052</v>
      </c>
      <c r="FC57" s="14">
        <f t="shared" si="47"/>
        <v>472440.00999999052</v>
      </c>
      <c r="FD57" s="14">
        <f t="shared" si="47"/>
        <v>472440.00999999052</v>
      </c>
      <c r="FE57" s="14">
        <f t="shared" si="47"/>
        <v>472440.00999999052</v>
      </c>
      <c r="FF57" s="14">
        <f t="shared" si="47"/>
        <v>9.9999905214644969E-3</v>
      </c>
      <c r="FG57" s="14">
        <f t="shared" si="47"/>
        <v>9.9999905214644969E-3</v>
      </c>
      <c r="FH57" s="14">
        <f t="shared" si="47"/>
        <v>9.9999905214644969E-3</v>
      </c>
      <c r="FI57" s="14">
        <f t="shared" si="47"/>
        <v>9.9999905214644969E-3</v>
      </c>
      <c r="FJ57" s="14">
        <f t="shared" si="47"/>
        <v>9.9999905214644969E-3</v>
      </c>
      <c r="FK57" s="14">
        <f t="shared" si="47"/>
        <v>9.9999905214644969E-3</v>
      </c>
      <c r="FL57" s="80">
        <f t="shared" si="47"/>
        <v>9.9999905214644969E-3</v>
      </c>
      <c r="FM57" s="14">
        <f t="shared" si="47"/>
        <v>9.9999905214644969E-3</v>
      </c>
      <c r="FN57" s="14">
        <f t="shared" si="47"/>
        <v>9.9999905214644969E-3</v>
      </c>
      <c r="FO57" s="14">
        <f t="shared" si="47"/>
        <v>9.9999905214644969E-3</v>
      </c>
      <c r="FP57" s="39">
        <f>FO57-FP22+461.78</f>
        <v>461.78999999052144</v>
      </c>
      <c r="FQ57" s="14">
        <f t="shared" ref="FQ57:GK57" si="48">FP57-FQ22</f>
        <v>461.78999999052144</v>
      </c>
      <c r="FR57" s="14">
        <f t="shared" si="48"/>
        <v>461.78999999052144</v>
      </c>
      <c r="FS57" s="14">
        <f t="shared" si="48"/>
        <v>461.78999999052144</v>
      </c>
      <c r="FT57" s="14">
        <f t="shared" si="48"/>
        <v>461.78999999052144</v>
      </c>
      <c r="FU57" s="14">
        <f t="shared" si="48"/>
        <v>461.78999999052144</v>
      </c>
      <c r="FV57" s="14">
        <f t="shared" si="48"/>
        <v>461.78999999052144</v>
      </c>
      <c r="FW57" s="14">
        <f t="shared" si="48"/>
        <v>461.78999999052144</v>
      </c>
      <c r="FX57" s="14">
        <f t="shared" si="48"/>
        <v>461.78999999052144</v>
      </c>
      <c r="FY57" s="14">
        <f t="shared" si="48"/>
        <v>461.78999999052144</v>
      </c>
      <c r="FZ57" s="112">
        <f t="shared" si="48"/>
        <v>461.78999999052144</v>
      </c>
      <c r="GA57" s="14">
        <f t="shared" si="48"/>
        <v>461.78999999052144</v>
      </c>
      <c r="GB57" s="14">
        <f t="shared" si="48"/>
        <v>461.78999999052144</v>
      </c>
      <c r="GC57" s="14">
        <f t="shared" si="48"/>
        <v>461.78999999052144</v>
      </c>
      <c r="GD57" s="14">
        <f t="shared" si="48"/>
        <v>461.78999999052144</v>
      </c>
      <c r="GE57" s="14">
        <f t="shared" si="48"/>
        <v>461.78999999052144</v>
      </c>
      <c r="GF57" s="14">
        <f t="shared" si="48"/>
        <v>461.78999999052144</v>
      </c>
      <c r="GG57" s="14">
        <f t="shared" si="48"/>
        <v>461.78999999052144</v>
      </c>
      <c r="GH57" s="14">
        <f t="shared" si="48"/>
        <v>461.78999999052144</v>
      </c>
      <c r="GI57" s="14">
        <f t="shared" si="48"/>
        <v>461.78999999052144</v>
      </c>
      <c r="GJ57" s="14">
        <f t="shared" si="48"/>
        <v>461.78999999052144</v>
      </c>
      <c r="GK57" s="14">
        <f t="shared" si="48"/>
        <v>461.78999999052144</v>
      </c>
      <c r="GL57" s="39">
        <f>GK57-GL22+0.77</f>
        <v>462.55999999052142</v>
      </c>
      <c r="GM57" s="14">
        <f t="shared" ref="GM57:HC57" si="49">GL57-GM22</f>
        <v>462.55999999052142</v>
      </c>
      <c r="GN57" s="14">
        <f t="shared" si="49"/>
        <v>462.55999999052142</v>
      </c>
      <c r="GO57" s="14">
        <f t="shared" si="49"/>
        <v>462.55999999052142</v>
      </c>
      <c r="GP57" s="14">
        <f t="shared" si="49"/>
        <v>462.55999999052142</v>
      </c>
      <c r="GQ57" s="14">
        <f t="shared" si="49"/>
        <v>462.55999999052142</v>
      </c>
      <c r="GR57" s="14">
        <f t="shared" si="49"/>
        <v>462.55999999052142</v>
      </c>
      <c r="GS57" s="14">
        <f t="shared" si="49"/>
        <v>462.55999999052142</v>
      </c>
      <c r="GT57" s="14">
        <f t="shared" si="49"/>
        <v>462.55999999052142</v>
      </c>
      <c r="GU57" s="112">
        <f t="shared" si="49"/>
        <v>462.55999999052142</v>
      </c>
      <c r="GV57" s="14">
        <f t="shared" si="49"/>
        <v>462.55999999052142</v>
      </c>
      <c r="GW57" s="14">
        <f t="shared" si="49"/>
        <v>462.55999999052142</v>
      </c>
      <c r="GX57" s="14">
        <f t="shared" si="49"/>
        <v>462.55999999052142</v>
      </c>
      <c r="GY57" s="14">
        <f t="shared" si="49"/>
        <v>462.55999999052142</v>
      </c>
      <c r="GZ57" s="14">
        <f t="shared" si="49"/>
        <v>462.55999999052142</v>
      </c>
      <c r="HA57" s="14">
        <f t="shared" si="49"/>
        <v>462.55999999052142</v>
      </c>
      <c r="HB57" s="14">
        <f t="shared" si="49"/>
        <v>462.55999999052142</v>
      </c>
      <c r="HC57" s="14">
        <f t="shared" si="49"/>
        <v>462.55999999052142</v>
      </c>
      <c r="HD57" s="39">
        <f>HC57-HD22+0.65</f>
        <v>463.2099999905214</v>
      </c>
      <c r="HE57" s="14">
        <f t="shared" ref="HE57:HY57" si="50">HD57-HE22</f>
        <v>463.2099999905214</v>
      </c>
      <c r="HF57" s="14">
        <f t="shared" si="50"/>
        <v>463.2099999905214</v>
      </c>
      <c r="HG57" s="14">
        <f t="shared" si="50"/>
        <v>463.2099999905214</v>
      </c>
      <c r="HH57" s="14">
        <f t="shared" si="50"/>
        <v>463.2099999905214</v>
      </c>
      <c r="HI57" s="14">
        <f t="shared" si="50"/>
        <v>463.2099999905214</v>
      </c>
      <c r="HJ57" s="14">
        <f t="shared" si="50"/>
        <v>463.2099999905214</v>
      </c>
      <c r="HK57" s="14">
        <f t="shared" si="50"/>
        <v>463.2099999905214</v>
      </c>
      <c r="HL57" s="14">
        <f t="shared" si="50"/>
        <v>463.2099999905214</v>
      </c>
      <c r="HM57" s="14">
        <f t="shared" si="50"/>
        <v>463.2099999905214</v>
      </c>
      <c r="HN57" s="136">
        <f t="shared" si="50"/>
        <v>463.2099999905214</v>
      </c>
      <c r="HO57" s="80">
        <f t="shared" si="50"/>
        <v>463.2099999905214</v>
      </c>
      <c r="HP57" s="14">
        <f t="shared" si="50"/>
        <v>463.2099999905214</v>
      </c>
      <c r="HQ57" s="14">
        <f t="shared" si="50"/>
        <v>463.2099999905214</v>
      </c>
      <c r="HR57" s="14">
        <f t="shared" si="50"/>
        <v>463.2099999905214</v>
      </c>
      <c r="HS57" s="14">
        <f t="shared" si="50"/>
        <v>463.2099999905214</v>
      </c>
      <c r="HT57" s="14">
        <f t="shared" si="50"/>
        <v>463.2099999905214</v>
      </c>
      <c r="HU57" s="14">
        <f t="shared" si="50"/>
        <v>463.2099999905214</v>
      </c>
      <c r="HV57" s="14">
        <f t="shared" si="50"/>
        <v>463.2099999905214</v>
      </c>
      <c r="HW57" s="14">
        <f t="shared" si="50"/>
        <v>463.2099999905214</v>
      </c>
      <c r="HX57" s="14">
        <f t="shared" si="50"/>
        <v>463.2099999905214</v>
      </c>
      <c r="HY57" s="14">
        <f t="shared" si="50"/>
        <v>463.2099999905214</v>
      </c>
      <c r="HZ57" s="39">
        <f>HY57-HZ22+0.61</f>
        <v>463.81999999052141</v>
      </c>
      <c r="IA57" s="14">
        <f t="shared" ref="IA57:IF59" si="51">HZ57-IA22</f>
        <v>463.81999999052141</v>
      </c>
      <c r="IB57" s="14">
        <f t="shared" si="51"/>
        <v>463.81999999052141</v>
      </c>
      <c r="IC57" s="14">
        <f t="shared" si="51"/>
        <v>463.81999999052141</v>
      </c>
      <c r="ID57" s="14">
        <f t="shared" si="51"/>
        <v>463.81999999052141</v>
      </c>
      <c r="IE57" s="14">
        <f t="shared" si="51"/>
        <v>463.81999999052141</v>
      </c>
      <c r="IF57" s="14">
        <f t="shared" si="51"/>
        <v>463.81999999052141</v>
      </c>
      <c r="IG57" s="14">
        <f>IF57-IG22+20000000</f>
        <v>20000463.819999989</v>
      </c>
      <c r="IH57" s="112">
        <f t="shared" ref="IH57:IK59" si="52">IG57-IH22</f>
        <v>20000463.819999989</v>
      </c>
      <c r="II57" s="14">
        <f t="shared" si="52"/>
        <v>20000463.819999989</v>
      </c>
      <c r="IJ57" s="14">
        <f t="shared" si="52"/>
        <v>20000463.819999989</v>
      </c>
      <c r="IK57" s="14">
        <f t="shared" si="52"/>
        <v>20000463.819999989</v>
      </c>
      <c r="IL57" s="14">
        <f>IK57-IL22+10000000</f>
        <v>30000463.819999989</v>
      </c>
      <c r="IM57" s="14">
        <f t="shared" ref="IM57:IT59" si="53">IL57-IM22</f>
        <v>30000463.819999989</v>
      </c>
      <c r="IN57" s="14">
        <f t="shared" si="53"/>
        <v>30000463.819999989</v>
      </c>
      <c r="IO57" s="14">
        <f t="shared" si="53"/>
        <v>30000463.819999989</v>
      </c>
      <c r="IP57" s="14">
        <f t="shared" si="53"/>
        <v>30000463.819999989</v>
      </c>
      <c r="IQ57" s="14">
        <f t="shared" si="53"/>
        <v>30000463.819999989</v>
      </c>
      <c r="IR57" s="14">
        <f t="shared" si="53"/>
        <v>30000463.819999989</v>
      </c>
      <c r="IS57" s="14">
        <f t="shared" si="53"/>
        <v>30000463.819999989</v>
      </c>
      <c r="IT57" s="39">
        <f t="shared" si="53"/>
        <v>30000463.819999989</v>
      </c>
      <c r="IU57" s="14"/>
    </row>
    <row r="58" spans="1:256" s="8" customFormat="1" ht="14.1" customHeight="1">
      <c r="A58" s="14" t="s">
        <v>18</v>
      </c>
      <c r="B58" s="14"/>
      <c r="C58" s="39">
        <v>5177236.1900000004</v>
      </c>
      <c r="D58" s="14">
        <f t="shared" si="39"/>
        <v>5177236.1900000004</v>
      </c>
      <c r="E58" s="14">
        <f t="shared" si="39"/>
        <v>5177236.1900000004</v>
      </c>
      <c r="F58" s="14">
        <f t="shared" si="39"/>
        <v>5177236.1900000004</v>
      </c>
      <c r="G58" s="14">
        <f t="shared" si="39"/>
        <v>5177236.1900000004</v>
      </c>
      <c r="H58" s="14">
        <f>G58-H23+75000000</f>
        <v>80177236.189999998</v>
      </c>
      <c r="I58" s="14">
        <f t="shared" ref="I58:V58" si="54">H58-I23</f>
        <v>80177236.189999998</v>
      </c>
      <c r="J58" s="14">
        <f t="shared" si="54"/>
        <v>80177236.189999998</v>
      </c>
      <c r="K58" s="14">
        <f t="shared" si="54"/>
        <v>80177236.189999998</v>
      </c>
      <c r="L58" s="14">
        <f t="shared" si="54"/>
        <v>80177236.189999998</v>
      </c>
      <c r="M58" s="14">
        <f t="shared" si="54"/>
        <v>80177236.189999998</v>
      </c>
      <c r="N58" s="14">
        <f t="shared" si="54"/>
        <v>80177236.189999998</v>
      </c>
      <c r="O58" s="14">
        <f t="shared" si="54"/>
        <v>80177236.189999998</v>
      </c>
      <c r="P58" s="14">
        <f t="shared" si="54"/>
        <v>80177236.189999998</v>
      </c>
      <c r="Q58" s="14">
        <f t="shared" si="54"/>
        <v>80177236.189999998</v>
      </c>
      <c r="R58" s="14">
        <f t="shared" si="54"/>
        <v>80177236.189999998</v>
      </c>
      <c r="S58" s="14">
        <f t="shared" si="54"/>
        <v>80177236.189999998</v>
      </c>
      <c r="T58" s="14">
        <f t="shared" si="54"/>
        <v>80177236.189999998</v>
      </c>
      <c r="U58" s="14">
        <f t="shared" si="54"/>
        <v>80177236.189999998</v>
      </c>
      <c r="V58" s="14">
        <f t="shared" si="54"/>
        <v>80177236.189999998</v>
      </c>
      <c r="W58" s="39">
        <f>V58-W23+181345.92</f>
        <v>80358582.109999999</v>
      </c>
      <c r="X58" s="14">
        <f t="shared" ref="X58:AQ58" si="55">W58-X23</f>
        <v>80358582.109999999</v>
      </c>
      <c r="Y58" s="14">
        <f t="shared" si="55"/>
        <v>80358582.109999999</v>
      </c>
      <c r="Z58" s="14">
        <f t="shared" si="55"/>
        <v>80358582.109999999</v>
      </c>
      <c r="AA58" s="14">
        <f t="shared" si="55"/>
        <v>80358582.109999999</v>
      </c>
      <c r="AB58" s="14">
        <f t="shared" si="55"/>
        <v>80358582.109999999</v>
      </c>
      <c r="AC58" s="14">
        <f t="shared" si="55"/>
        <v>80358582.109999999</v>
      </c>
      <c r="AD58" s="14">
        <f t="shared" si="55"/>
        <v>80358582.109999999</v>
      </c>
      <c r="AE58" s="14">
        <f t="shared" si="55"/>
        <v>80358582.109999999</v>
      </c>
      <c r="AF58" s="14">
        <f t="shared" si="55"/>
        <v>80358582.109999999</v>
      </c>
      <c r="AG58" s="14">
        <f t="shared" si="55"/>
        <v>80358582.109999999</v>
      </c>
      <c r="AH58" s="14">
        <f t="shared" si="55"/>
        <v>80358582.109999999</v>
      </c>
      <c r="AI58" s="14">
        <f t="shared" si="55"/>
        <v>80358582.109999999</v>
      </c>
      <c r="AJ58" s="14">
        <f t="shared" si="55"/>
        <v>80358582.109999999</v>
      </c>
      <c r="AK58" s="14">
        <f t="shared" si="55"/>
        <v>80358582.109999999</v>
      </c>
      <c r="AL58" s="14">
        <f t="shared" si="55"/>
        <v>80358582.109999999</v>
      </c>
      <c r="AM58" s="14">
        <f t="shared" si="55"/>
        <v>80358582.109999999</v>
      </c>
      <c r="AN58" s="14">
        <f t="shared" si="55"/>
        <v>80358582.109999999</v>
      </c>
      <c r="AO58" s="14">
        <f t="shared" si="55"/>
        <v>80358582.109999999</v>
      </c>
      <c r="AP58" s="14">
        <f t="shared" si="55"/>
        <v>80358582.109999999</v>
      </c>
      <c r="AQ58" s="14">
        <f t="shared" si="55"/>
        <v>80358582.109999999</v>
      </c>
      <c r="AR58" s="39">
        <f>AQ58-AR23+212485.43</f>
        <v>80571067.540000007</v>
      </c>
      <c r="AS58" s="14">
        <f t="shared" ref="AS58:BM58" si="56">AR58-AS23</f>
        <v>80571067.540000007</v>
      </c>
      <c r="AT58" s="14">
        <f t="shared" si="56"/>
        <v>80571067.540000007</v>
      </c>
      <c r="AU58" s="14">
        <f t="shared" si="56"/>
        <v>80571067.540000007</v>
      </c>
      <c r="AV58" s="14">
        <f t="shared" si="56"/>
        <v>80571067.540000007</v>
      </c>
      <c r="AW58" s="14">
        <f t="shared" si="56"/>
        <v>80571067.540000007</v>
      </c>
      <c r="AX58" s="14">
        <f t="shared" si="56"/>
        <v>80571067.540000007</v>
      </c>
      <c r="AY58" s="14">
        <f t="shared" si="56"/>
        <v>80571067.540000007</v>
      </c>
      <c r="AZ58" s="14">
        <f t="shared" si="56"/>
        <v>80571067.540000007</v>
      </c>
      <c r="BA58" s="14">
        <f t="shared" si="56"/>
        <v>80571067.540000007</v>
      </c>
      <c r="BB58" s="14">
        <f t="shared" si="56"/>
        <v>80571067.540000007</v>
      </c>
      <c r="BC58" s="14">
        <f t="shared" si="56"/>
        <v>80571067.540000007</v>
      </c>
      <c r="BD58" s="14">
        <f t="shared" si="56"/>
        <v>80571067.540000007</v>
      </c>
      <c r="BE58" s="14">
        <f t="shared" si="56"/>
        <v>80571067.540000007</v>
      </c>
      <c r="BF58" s="14">
        <f t="shared" si="56"/>
        <v>80571067.540000007</v>
      </c>
      <c r="BG58" s="14">
        <f t="shared" si="56"/>
        <v>80571067.540000007</v>
      </c>
      <c r="BH58" s="14">
        <f t="shared" si="56"/>
        <v>80571067.540000007</v>
      </c>
      <c r="BI58" s="14">
        <f t="shared" si="56"/>
        <v>80571067.540000007</v>
      </c>
      <c r="BJ58" s="14">
        <f t="shared" si="56"/>
        <v>80571067.540000007</v>
      </c>
      <c r="BK58" s="14">
        <f t="shared" si="56"/>
        <v>80571067.540000007</v>
      </c>
      <c r="BL58" s="14">
        <f t="shared" si="56"/>
        <v>80571067.540000007</v>
      </c>
      <c r="BM58" s="14">
        <f t="shared" si="56"/>
        <v>80571067.540000007</v>
      </c>
      <c r="BN58" s="39">
        <f>BM58-BN23+181374.13</f>
        <v>80752441.670000002</v>
      </c>
      <c r="BO58" s="14">
        <f t="shared" ref="BO58:CH58" si="57">BN58-BO23</f>
        <v>80752441.670000002</v>
      </c>
      <c r="BP58" s="14">
        <f t="shared" si="57"/>
        <v>80752441.670000002</v>
      </c>
      <c r="BQ58" s="14">
        <f t="shared" si="57"/>
        <v>80752441.670000002</v>
      </c>
      <c r="BR58" s="14">
        <f t="shared" si="57"/>
        <v>80752441.670000002</v>
      </c>
      <c r="BS58" s="14">
        <f t="shared" si="57"/>
        <v>80752441.670000002</v>
      </c>
      <c r="BT58" s="14">
        <f t="shared" si="57"/>
        <v>80752441.670000002</v>
      </c>
      <c r="BU58" s="14">
        <f t="shared" si="57"/>
        <v>80752441.670000002</v>
      </c>
      <c r="BV58" s="14">
        <f t="shared" si="57"/>
        <v>80752441.670000002</v>
      </c>
      <c r="BW58" s="14">
        <f t="shared" si="57"/>
        <v>70752441.670000002</v>
      </c>
      <c r="BX58" s="14">
        <f t="shared" si="57"/>
        <v>70752441.670000002</v>
      </c>
      <c r="BY58" s="14">
        <f t="shared" si="57"/>
        <v>70752441.670000002</v>
      </c>
      <c r="BZ58" s="14">
        <f t="shared" si="57"/>
        <v>70752441.670000002</v>
      </c>
      <c r="CA58" s="14">
        <f t="shared" si="57"/>
        <v>70752441.670000002</v>
      </c>
      <c r="CB58" s="14">
        <f t="shared" si="57"/>
        <v>70752441.670000002</v>
      </c>
      <c r="CC58" s="14">
        <f t="shared" si="57"/>
        <v>70752441.670000002</v>
      </c>
      <c r="CD58" s="14">
        <f t="shared" si="57"/>
        <v>70752441.670000002</v>
      </c>
      <c r="CE58" s="14">
        <f t="shared" si="57"/>
        <v>70752441.670000002</v>
      </c>
      <c r="CF58" s="14">
        <f t="shared" si="57"/>
        <v>70752441.670000002</v>
      </c>
      <c r="CG58" s="14">
        <f t="shared" si="57"/>
        <v>70752441.670000002</v>
      </c>
      <c r="CH58" s="14">
        <f t="shared" si="57"/>
        <v>70752441.670000002</v>
      </c>
      <c r="CI58" s="39">
        <f>CH58-CI23+160440.27</f>
        <v>70912881.939999998</v>
      </c>
      <c r="CJ58" s="14">
        <f t="shared" ref="CJ58:DC58" si="58">CI58-CJ23</f>
        <v>70912881.939999998</v>
      </c>
      <c r="CK58" s="14">
        <f t="shared" si="58"/>
        <v>70912881.939999998</v>
      </c>
      <c r="CL58" s="14">
        <f t="shared" si="58"/>
        <v>70912881.939999998</v>
      </c>
      <c r="CM58" s="14">
        <f t="shared" si="58"/>
        <v>70912881.939999998</v>
      </c>
      <c r="CN58" s="14">
        <f t="shared" si="58"/>
        <v>70912881.939999998</v>
      </c>
      <c r="CO58" s="14">
        <f t="shared" si="58"/>
        <v>60912881.939999998</v>
      </c>
      <c r="CP58" s="14">
        <f t="shared" si="58"/>
        <v>60912881.939999998</v>
      </c>
      <c r="CQ58" s="14">
        <f t="shared" si="58"/>
        <v>60912881.939999998</v>
      </c>
      <c r="CR58" s="14">
        <f t="shared" si="58"/>
        <v>60912881.939999998</v>
      </c>
      <c r="CS58" s="14">
        <f t="shared" si="58"/>
        <v>20912881.939999998</v>
      </c>
      <c r="CT58" s="14">
        <f t="shared" si="58"/>
        <v>20912881.939999998</v>
      </c>
      <c r="CU58" s="14">
        <f t="shared" si="58"/>
        <v>20912881.939999998</v>
      </c>
      <c r="CV58" s="14">
        <f t="shared" si="58"/>
        <v>20912881.939999998</v>
      </c>
      <c r="CW58" s="14">
        <f t="shared" si="58"/>
        <v>20912881.939999998</v>
      </c>
      <c r="CX58" s="14">
        <f t="shared" si="58"/>
        <v>20912881.939999998</v>
      </c>
      <c r="CY58" s="14">
        <f t="shared" si="58"/>
        <v>20912881.939999998</v>
      </c>
      <c r="CZ58" s="14">
        <f t="shared" si="58"/>
        <v>20912881.939999998</v>
      </c>
      <c r="DA58" s="14">
        <f t="shared" si="58"/>
        <v>20912881.939999998</v>
      </c>
      <c r="DB58" s="14">
        <f t="shared" si="58"/>
        <v>20912881.939999998</v>
      </c>
      <c r="DC58" s="14">
        <f t="shared" si="58"/>
        <v>20912881.939999998</v>
      </c>
      <c r="DD58" s="39">
        <f>DC58-DD23+80110.68</f>
        <v>20992992.619999997</v>
      </c>
      <c r="DE58" s="93">
        <f t="shared" ref="DE58:DY58" si="59">DD58-DE23</f>
        <v>20992992.619999997</v>
      </c>
      <c r="DF58" s="14">
        <f t="shared" si="59"/>
        <v>20992992.619999997</v>
      </c>
      <c r="DG58" s="14">
        <f t="shared" si="59"/>
        <v>20992992.619999997</v>
      </c>
      <c r="DH58" s="14">
        <f t="shared" si="59"/>
        <v>20992992.619999997</v>
      </c>
      <c r="DI58" s="14">
        <f t="shared" si="59"/>
        <v>20992992.619999997</v>
      </c>
      <c r="DJ58" s="14">
        <f t="shared" si="59"/>
        <v>20992992.619999997</v>
      </c>
      <c r="DK58" s="14">
        <f t="shared" si="59"/>
        <v>20992992.619999997</v>
      </c>
      <c r="DL58" s="14">
        <f t="shared" si="59"/>
        <v>20992992.619999997</v>
      </c>
      <c r="DM58" s="14">
        <f t="shared" si="59"/>
        <v>10992992.619999997</v>
      </c>
      <c r="DN58" s="14">
        <f t="shared" si="59"/>
        <v>10992992.619999997</v>
      </c>
      <c r="DO58" s="14">
        <f t="shared" si="59"/>
        <v>992992.61999999732</v>
      </c>
      <c r="DP58" s="14">
        <f t="shared" si="59"/>
        <v>992992.61999999732</v>
      </c>
      <c r="DQ58" s="14">
        <f t="shared" si="59"/>
        <v>992992.61999999732</v>
      </c>
      <c r="DR58" s="93">
        <f t="shared" si="59"/>
        <v>992992.61999999732</v>
      </c>
      <c r="DS58" s="14">
        <f t="shared" si="59"/>
        <v>992992.61999999732</v>
      </c>
      <c r="DT58" s="14">
        <f t="shared" si="59"/>
        <v>992992.61999999732</v>
      </c>
      <c r="DU58" s="14">
        <f t="shared" si="59"/>
        <v>992992.61999999732</v>
      </c>
      <c r="DV58" s="14">
        <f t="shared" si="59"/>
        <v>992992.61999999732</v>
      </c>
      <c r="DW58" s="14">
        <f t="shared" si="59"/>
        <v>992992.61999999732</v>
      </c>
      <c r="DX58" s="14">
        <f t="shared" si="59"/>
        <v>992992.61999999732</v>
      </c>
      <c r="DY58" s="14">
        <f t="shared" si="59"/>
        <v>992992.61999999732</v>
      </c>
      <c r="DZ58" s="39">
        <f>DY58-DZ23+21081.47</f>
        <v>1014074.0899999973</v>
      </c>
      <c r="EA58" s="14">
        <f t="shared" ref="EA58:ET58" si="60">DZ58-EA23</f>
        <v>1014074.0899999973</v>
      </c>
      <c r="EB58" s="14">
        <f t="shared" si="60"/>
        <v>1014074.0899999973</v>
      </c>
      <c r="EC58" s="14">
        <f t="shared" si="60"/>
        <v>1014074.0899999973</v>
      </c>
      <c r="ED58" s="14">
        <f t="shared" si="60"/>
        <v>1014074.0899999973</v>
      </c>
      <c r="EE58" s="14">
        <f t="shared" si="60"/>
        <v>1014074.0899999973</v>
      </c>
      <c r="EF58" s="14">
        <f t="shared" si="60"/>
        <v>1014074.0899999973</v>
      </c>
      <c r="EG58" s="27">
        <f t="shared" si="60"/>
        <v>1014074.0899999973</v>
      </c>
      <c r="EH58" s="14">
        <f t="shared" si="60"/>
        <v>1014074.0899999973</v>
      </c>
      <c r="EI58" s="14">
        <f t="shared" si="60"/>
        <v>1014074.0899999973</v>
      </c>
      <c r="EJ58" s="14">
        <f t="shared" si="60"/>
        <v>1014074.0899999973</v>
      </c>
      <c r="EK58" s="80">
        <f t="shared" si="60"/>
        <v>1014074.0899999973</v>
      </c>
      <c r="EL58" s="14">
        <f t="shared" si="60"/>
        <v>1014074.0899999973</v>
      </c>
      <c r="EM58" s="14">
        <f t="shared" si="60"/>
        <v>1014074.0899999973</v>
      </c>
      <c r="EN58" s="14">
        <f t="shared" si="60"/>
        <v>1014074.0899999973</v>
      </c>
      <c r="EO58" s="14">
        <f t="shared" si="60"/>
        <v>1014074.0899999973</v>
      </c>
      <c r="EP58" s="14">
        <f t="shared" si="60"/>
        <v>1014074.0899999973</v>
      </c>
      <c r="EQ58" s="14">
        <f t="shared" si="60"/>
        <v>1014074.0899999973</v>
      </c>
      <c r="ER58" s="14">
        <f t="shared" si="60"/>
        <v>1014074.0899999973</v>
      </c>
      <c r="ES58" s="14">
        <f t="shared" si="60"/>
        <v>1014074.0899999973</v>
      </c>
      <c r="ET58" s="14">
        <f t="shared" si="60"/>
        <v>1014074.0899999973</v>
      </c>
      <c r="EU58" s="39">
        <f>ET58-EU23+2128.3</f>
        <v>1016202.3899999973</v>
      </c>
      <c r="EV58" s="14">
        <f t="shared" ref="EV58:FO58" si="61">EU58-EV23</f>
        <v>1016202.3899999973</v>
      </c>
      <c r="EW58" s="14">
        <f t="shared" si="61"/>
        <v>1016202.3899999973</v>
      </c>
      <c r="EX58" s="14">
        <f t="shared" si="61"/>
        <v>1016202.3899999973</v>
      </c>
      <c r="EY58" s="14">
        <f t="shared" si="61"/>
        <v>1016202.3899999973</v>
      </c>
      <c r="EZ58" s="14">
        <f t="shared" si="61"/>
        <v>1016202.3899999973</v>
      </c>
      <c r="FA58" s="14">
        <f t="shared" si="61"/>
        <v>1016202.3899999973</v>
      </c>
      <c r="FB58" s="14">
        <f t="shared" si="61"/>
        <v>1016202.3899999973</v>
      </c>
      <c r="FC58" s="14">
        <f t="shared" si="61"/>
        <v>1016202.3899999973</v>
      </c>
      <c r="FD58" s="14">
        <f t="shared" si="61"/>
        <v>1016202.3899999973</v>
      </c>
      <c r="FE58" s="14">
        <f t="shared" si="61"/>
        <v>1016202.3899999973</v>
      </c>
      <c r="FF58" s="14">
        <f t="shared" si="61"/>
        <v>1016202.3899999973</v>
      </c>
      <c r="FG58" s="14">
        <f t="shared" si="61"/>
        <v>1016202.3899999973</v>
      </c>
      <c r="FH58" s="14">
        <f t="shared" si="61"/>
        <v>1016202.3899999973</v>
      </c>
      <c r="FI58" s="14">
        <f t="shared" si="61"/>
        <v>1016202.3899999973</v>
      </c>
      <c r="FJ58" s="14">
        <f t="shared" si="61"/>
        <v>1016202.3899999973</v>
      </c>
      <c r="FK58" s="14">
        <f t="shared" si="61"/>
        <v>1016202.3899999973</v>
      </c>
      <c r="FL58" s="80">
        <f t="shared" si="61"/>
        <v>1016202.3899999973</v>
      </c>
      <c r="FM58" s="14">
        <f t="shared" si="61"/>
        <v>1016202.3899999973</v>
      </c>
      <c r="FN58" s="14">
        <f t="shared" si="61"/>
        <v>1016202.3899999973</v>
      </c>
      <c r="FO58" s="14">
        <f t="shared" si="61"/>
        <v>1016202.3899999973</v>
      </c>
      <c r="FP58" s="39">
        <f>FO58-FP23+2035.26</f>
        <v>1018237.6499999973</v>
      </c>
      <c r="FQ58" s="14">
        <f t="shared" ref="FQ58:GK58" si="62">FP58-FQ23</f>
        <v>1018237.6499999973</v>
      </c>
      <c r="FR58" s="14">
        <f t="shared" si="62"/>
        <v>1018237.6499999973</v>
      </c>
      <c r="FS58" s="14">
        <f t="shared" si="62"/>
        <v>1018237.6499999973</v>
      </c>
      <c r="FT58" s="14">
        <f t="shared" si="62"/>
        <v>1018237.6499999973</v>
      </c>
      <c r="FU58" s="14">
        <f t="shared" si="62"/>
        <v>1018237.6499999973</v>
      </c>
      <c r="FV58" s="14">
        <f t="shared" si="62"/>
        <v>1018237.6499999973</v>
      </c>
      <c r="FW58" s="14">
        <f t="shared" si="62"/>
        <v>1018237.6499999973</v>
      </c>
      <c r="FX58" s="14">
        <f t="shared" si="62"/>
        <v>1018237.6499999973</v>
      </c>
      <c r="FY58" s="14">
        <f t="shared" si="62"/>
        <v>1018237.6499999973</v>
      </c>
      <c r="FZ58" s="112">
        <f t="shared" si="62"/>
        <v>1018237.6499999973</v>
      </c>
      <c r="GA58" s="14">
        <f t="shared" si="62"/>
        <v>1018237.6499999973</v>
      </c>
      <c r="GB58" s="14">
        <f t="shared" si="62"/>
        <v>1018237.6499999973</v>
      </c>
      <c r="GC58" s="14">
        <f t="shared" si="62"/>
        <v>1018237.6499999973</v>
      </c>
      <c r="GD58" s="14">
        <f t="shared" si="62"/>
        <v>1018237.6499999973</v>
      </c>
      <c r="GE58" s="14">
        <f t="shared" si="62"/>
        <v>1018237.6499999973</v>
      </c>
      <c r="GF58" s="14">
        <f t="shared" si="62"/>
        <v>1018237.6499999973</v>
      </c>
      <c r="GG58" s="14">
        <f t="shared" si="62"/>
        <v>1018237.6499999973</v>
      </c>
      <c r="GH58" s="14">
        <f t="shared" si="62"/>
        <v>1018237.6499999973</v>
      </c>
      <c r="GI58" s="14">
        <f t="shared" si="62"/>
        <v>1018237.6499999973</v>
      </c>
      <c r="GJ58" s="14">
        <f t="shared" si="62"/>
        <v>1018237.6499999973</v>
      </c>
      <c r="GK58" s="14">
        <f t="shared" si="62"/>
        <v>1018237.6499999973</v>
      </c>
      <c r="GL58" s="39">
        <f>GK58-GL23+1766.69</f>
        <v>1020004.3399999973</v>
      </c>
      <c r="GM58" s="14">
        <f t="shared" ref="GM58:HC58" si="63">GL58-GM23</f>
        <v>1020004.3399999973</v>
      </c>
      <c r="GN58" s="14">
        <f t="shared" si="63"/>
        <v>1020004.3399999973</v>
      </c>
      <c r="GO58" s="14">
        <f t="shared" si="63"/>
        <v>1020004.3399999973</v>
      </c>
      <c r="GP58" s="14">
        <f t="shared" si="63"/>
        <v>1020004.3399999973</v>
      </c>
      <c r="GQ58" s="14">
        <f t="shared" si="63"/>
        <v>1020004.3399999973</v>
      </c>
      <c r="GR58" s="14">
        <f t="shared" si="63"/>
        <v>1020004.3399999973</v>
      </c>
      <c r="GS58" s="14">
        <f t="shared" si="63"/>
        <v>1020004.3399999973</v>
      </c>
      <c r="GT58" s="14">
        <f t="shared" si="63"/>
        <v>1020004.3399999973</v>
      </c>
      <c r="GU58" s="112">
        <f t="shared" si="63"/>
        <v>1020004.3399999973</v>
      </c>
      <c r="GV58" s="14">
        <f t="shared" si="63"/>
        <v>1020004.3399999973</v>
      </c>
      <c r="GW58" s="14">
        <f t="shared" si="63"/>
        <v>1020004.3399999973</v>
      </c>
      <c r="GX58" s="14">
        <f t="shared" si="63"/>
        <v>1020004.3399999973</v>
      </c>
      <c r="GY58" s="14">
        <f t="shared" si="63"/>
        <v>1020004.3399999973</v>
      </c>
      <c r="GZ58" s="14">
        <f t="shared" si="63"/>
        <v>1020004.3399999973</v>
      </c>
      <c r="HA58" s="14">
        <f t="shared" si="63"/>
        <v>1020004.3399999973</v>
      </c>
      <c r="HB58" s="14">
        <f t="shared" si="63"/>
        <v>1020004.3399999973</v>
      </c>
      <c r="HC58" s="14">
        <f t="shared" si="63"/>
        <v>1020004.3399999973</v>
      </c>
      <c r="HD58" s="39">
        <f>HC58-HD23+1395.84</f>
        <v>1021400.1799999973</v>
      </c>
      <c r="HE58" s="14">
        <f t="shared" ref="HE58:HY58" si="64">HD58-HE23</f>
        <v>1021400.1799999973</v>
      </c>
      <c r="HF58" s="14">
        <f t="shared" si="64"/>
        <v>1021400.1799999973</v>
      </c>
      <c r="HG58" s="14">
        <f t="shared" si="64"/>
        <v>1021400.1799999973</v>
      </c>
      <c r="HH58" s="14">
        <f t="shared" si="64"/>
        <v>1021400.1799999973</v>
      </c>
      <c r="HI58" s="14">
        <f t="shared" si="64"/>
        <v>1021400.1799999973</v>
      </c>
      <c r="HJ58" s="14">
        <f t="shared" si="64"/>
        <v>1021400.1799999973</v>
      </c>
      <c r="HK58" s="14">
        <f t="shared" si="64"/>
        <v>1021400.1799999973</v>
      </c>
      <c r="HL58" s="14">
        <f t="shared" si="64"/>
        <v>1021400.1799999973</v>
      </c>
      <c r="HM58" s="14">
        <f t="shared" si="64"/>
        <v>1021400.1799999973</v>
      </c>
      <c r="HN58" s="136">
        <f t="shared" si="64"/>
        <v>1021400.1799999973</v>
      </c>
      <c r="HO58" s="80">
        <f t="shared" si="64"/>
        <v>1021400.1799999973</v>
      </c>
      <c r="HP58" s="14">
        <f t="shared" si="64"/>
        <v>1021400.1799999973</v>
      </c>
      <c r="HQ58" s="14">
        <f t="shared" si="64"/>
        <v>1021400.1799999973</v>
      </c>
      <c r="HR58" s="14">
        <f t="shared" si="64"/>
        <v>1021400.1799999973</v>
      </c>
      <c r="HS58" s="14">
        <f t="shared" si="64"/>
        <v>1021400.1799999973</v>
      </c>
      <c r="HT58" s="14">
        <f t="shared" si="64"/>
        <v>1021400.1799999973</v>
      </c>
      <c r="HU58" s="14">
        <f t="shared" si="64"/>
        <v>1021400.1799999973</v>
      </c>
      <c r="HV58" s="14">
        <f t="shared" si="64"/>
        <v>1021400.1799999973</v>
      </c>
      <c r="HW58" s="14">
        <f t="shared" si="64"/>
        <v>1021400.1799999973</v>
      </c>
      <c r="HX58" s="14">
        <f t="shared" si="64"/>
        <v>1021400.1799999973</v>
      </c>
      <c r="HY58" s="14">
        <f t="shared" si="64"/>
        <v>1021400.1799999973</v>
      </c>
      <c r="HZ58" s="39">
        <f>HY58-HZ23+1285.16</f>
        <v>1022685.3399999973</v>
      </c>
      <c r="IA58" s="14">
        <f t="shared" si="51"/>
        <v>1022685.3399999973</v>
      </c>
      <c r="IB58" s="14">
        <f t="shared" si="51"/>
        <v>1022685.3399999973</v>
      </c>
      <c r="IC58" s="14">
        <f t="shared" si="51"/>
        <v>1022685.3399999973</v>
      </c>
      <c r="ID58" s="14">
        <f t="shared" si="51"/>
        <v>1022685.3399999973</v>
      </c>
      <c r="IE58" s="14">
        <f t="shared" si="51"/>
        <v>1022685.3399999973</v>
      </c>
      <c r="IF58" s="14">
        <f t="shared" si="51"/>
        <v>1022685.3399999973</v>
      </c>
      <c r="IG58" s="14">
        <f>IF58-IG23+20000000</f>
        <v>21022685.339999996</v>
      </c>
      <c r="IH58" s="112">
        <f t="shared" si="52"/>
        <v>21022685.339999996</v>
      </c>
      <c r="II58" s="14">
        <f t="shared" si="52"/>
        <v>21022685.339999996</v>
      </c>
      <c r="IJ58" s="14">
        <f t="shared" si="52"/>
        <v>21022685.339999996</v>
      </c>
      <c r="IK58" s="14">
        <f t="shared" si="52"/>
        <v>21022685.339999996</v>
      </c>
      <c r="IL58" s="14">
        <f>IK58-IL23+5000000</f>
        <v>26022685.339999996</v>
      </c>
      <c r="IM58" s="14">
        <f t="shared" si="53"/>
        <v>26022685.339999996</v>
      </c>
      <c r="IN58" s="14">
        <f t="shared" si="53"/>
        <v>26022685.339999996</v>
      </c>
      <c r="IO58" s="14">
        <f t="shared" si="53"/>
        <v>26022685.339999996</v>
      </c>
      <c r="IP58" s="14">
        <f t="shared" si="53"/>
        <v>26022685.339999996</v>
      </c>
      <c r="IQ58" s="14">
        <f t="shared" si="53"/>
        <v>26022685.339999996</v>
      </c>
      <c r="IR58" s="14">
        <f t="shared" si="53"/>
        <v>26022685.339999996</v>
      </c>
      <c r="IS58" s="14">
        <f t="shared" si="53"/>
        <v>26022685.339999996</v>
      </c>
      <c r="IT58" s="39">
        <f t="shared" si="53"/>
        <v>26022685.339999996</v>
      </c>
      <c r="IU58" s="14"/>
    </row>
    <row r="59" spans="1:256" s="8" customFormat="1" ht="14.1" customHeight="1">
      <c r="A59" s="14" t="s">
        <v>19</v>
      </c>
      <c r="B59" s="14"/>
      <c r="C59" s="39">
        <v>5144751.42</v>
      </c>
      <c r="D59" s="14">
        <f t="shared" si="39"/>
        <v>5144751.42</v>
      </c>
      <c r="E59" s="14">
        <f t="shared" si="39"/>
        <v>5144751.42</v>
      </c>
      <c r="F59" s="14">
        <f t="shared" si="39"/>
        <v>5144751.42</v>
      </c>
      <c r="G59" s="14">
        <f t="shared" si="39"/>
        <v>5144751.42</v>
      </c>
      <c r="H59" s="14">
        <f>G59-H24+75000000</f>
        <v>80144751.420000002</v>
      </c>
      <c r="I59" s="14">
        <f t="shared" ref="I59:V59" si="65">H59-I24</f>
        <v>80144751.420000002</v>
      </c>
      <c r="J59" s="14">
        <f t="shared" si="65"/>
        <v>80144751.420000002</v>
      </c>
      <c r="K59" s="14">
        <f t="shared" si="65"/>
        <v>80144751.420000002</v>
      </c>
      <c r="L59" s="14">
        <f t="shared" si="65"/>
        <v>80144751.420000002</v>
      </c>
      <c r="M59" s="14">
        <f t="shared" si="65"/>
        <v>80144751.420000002</v>
      </c>
      <c r="N59" s="14">
        <f t="shared" si="65"/>
        <v>80144751.420000002</v>
      </c>
      <c r="O59" s="14">
        <f t="shared" si="65"/>
        <v>80144751.420000002</v>
      </c>
      <c r="P59" s="14">
        <f t="shared" si="65"/>
        <v>80144751.420000002</v>
      </c>
      <c r="Q59" s="14">
        <f t="shared" si="65"/>
        <v>80144751.420000002</v>
      </c>
      <c r="R59" s="14">
        <f t="shared" si="65"/>
        <v>80144751.420000002</v>
      </c>
      <c r="S59" s="14">
        <f t="shared" si="65"/>
        <v>80144751.420000002</v>
      </c>
      <c r="T59" s="14">
        <f t="shared" si="65"/>
        <v>80144751.420000002</v>
      </c>
      <c r="U59" s="14">
        <f t="shared" si="65"/>
        <v>80144751.420000002</v>
      </c>
      <c r="V59" s="14">
        <f t="shared" si="65"/>
        <v>80144751.420000002</v>
      </c>
      <c r="W59" s="39">
        <f>V59-W24+184822.89</f>
        <v>80329574.310000002</v>
      </c>
      <c r="X59" s="14">
        <f t="shared" ref="X59:AQ59" si="66">W59-X24</f>
        <v>80329574.310000002</v>
      </c>
      <c r="Y59" s="14">
        <f t="shared" si="66"/>
        <v>80329574.310000002</v>
      </c>
      <c r="Z59" s="14">
        <f t="shared" si="66"/>
        <v>80329574.310000002</v>
      </c>
      <c r="AA59" s="14">
        <f t="shared" si="66"/>
        <v>80329574.310000002</v>
      </c>
      <c r="AB59" s="14">
        <f t="shared" si="66"/>
        <v>80329574.310000002</v>
      </c>
      <c r="AC59" s="14">
        <f t="shared" si="66"/>
        <v>80329574.310000002</v>
      </c>
      <c r="AD59" s="14">
        <f t="shared" si="66"/>
        <v>80329574.310000002</v>
      </c>
      <c r="AE59" s="14">
        <f t="shared" si="66"/>
        <v>80329574.310000002</v>
      </c>
      <c r="AF59" s="14">
        <f t="shared" si="66"/>
        <v>80329574.310000002</v>
      </c>
      <c r="AG59" s="14">
        <f t="shared" si="66"/>
        <v>80329574.310000002</v>
      </c>
      <c r="AH59" s="14">
        <f t="shared" si="66"/>
        <v>80329574.310000002</v>
      </c>
      <c r="AI59" s="14">
        <f t="shared" si="66"/>
        <v>80329574.310000002</v>
      </c>
      <c r="AJ59" s="14">
        <f t="shared" si="66"/>
        <v>80329574.310000002</v>
      </c>
      <c r="AK59" s="14">
        <f t="shared" si="66"/>
        <v>80329574.310000002</v>
      </c>
      <c r="AL59" s="14">
        <f t="shared" si="66"/>
        <v>80329574.310000002</v>
      </c>
      <c r="AM59" s="14">
        <f t="shared" si="66"/>
        <v>80329574.310000002</v>
      </c>
      <c r="AN59" s="14">
        <f t="shared" si="66"/>
        <v>80329574.310000002</v>
      </c>
      <c r="AO59" s="14">
        <f t="shared" si="66"/>
        <v>80329574.310000002</v>
      </c>
      <c r="AP59" s="14">
        <f t="shared" si="66"/>
        <v>80329574.310000002</v>
      </c>
      <c r="AQ59" s="14">
        <f t="shared" si="66"/>
        <v>80329574.310000002</v>
      </c>
      <c r="AR59" s="39">
        <f>AQ59-AR24+217437.38</f>
        <v>80547011.689999998</v>
      </c>
      <c r="AS59" s="14">
        <f t="shared" ref="AS59:BM59" si="67">AR59-AS24</f>
        <v>80547011.689999998</v>
      </c>
      <c r="AT59" s="14">
        <f t="shared" si="67"/>
        <v>80547011.689999998</v>
      </c>
      <c r="AU59" s="14">
        <f t="shared" si="67"/>
        <v>80547011.689999998</v>
      </c>
      <c r="AV59" s="14">
        <f t="shared" si="67"/>
        <v>80547011.689999998</v>
      </c>
      <c r="AW59" s="14">
        <f t="shared" si="67"/>
        <v>80547011.689999998</v>
      </c>
      <c r="AX59" s="14">
        <f t="shared" si="67"/>
        <v>80547011.689999998</v>
      </c>
      <c r="AY59" s="14">
        <f t="shared" si="67"/>
        <v>80547011.689999998</v>
      </c>
      <c r="AZ59" s="14">
        <f t="shared" si="67"/>
        <v>80547011.689999998</v>
      </c>
      <c r="BA59" s="14">
        <f t="shared" si="67"/>
        <v>80547011.689999998</v>
      </c>
      <c r="BB59" s="14">
        <f t="shared" si="67"/>
        <v>80547011.689999998</v>
      </c>
      <c r="BC59" s="14">
        <f t="shared" si="67"/>
        <v>80547011.689999998</v>
      </c>
      <c r="BD59" s="14">
        <f t="shared" si="67"/>
        <v>80547011.689999998</v>
      </c>
      <c r="BE59" s="14">
        <f t="shared" si="67"/>
        <v>80547011.689999998</v>
      </c>
      <c r="BF59" s="14">
        <f t="shared" si="67"/>
        <v>80547011.689999998</v>
      </c>
      <c r="BG59" s="14">
        <f t="shared" si="67"/>
        <v>80547011.689999998</v>
      </c>
      <c r="BH59" s="14">
        <f t="shared" si="67"/>
        <v>80547011.689999998</v>
      </c>
      <c r="BI59" s="14">
        <f t="shared" si="67"/>
        <v>80547011.689999998</v>
      </c>
      <c r="BJ59" s="14">
        <f t="shared" si="67"/>
        <v>80547011.689999998</v>
      </c>
      <c r="BK59" s="14">
        <f t="shared" si="67"/>
        <v>80547011.689999998</v>
      </c>
      <c r="BL59" s="14">
        <f t="shared" si="67"/>
        <v>80547011.689999998</v>
      </c>
      <c r="BM59" s="14">
        <f t="shared" si="67"/>
        <v>80547011.689999998</v>
      </c>
      <c r="BN59" s="39">
        <f>BM59-BN24+182260.33</f>
        <v>80729272.019999996</v>
      </c>
      <c r="BO59" s="14">
        <f t="shared" ref="BO59:CH59" si="68">BN59-BO24</f>
        <v>80729272.019999996</v>
      </c>
      <c r="BP59" s="14">
        <f t="shared" si="68"/>
        <v>80729272.019999996</v>
      </c>
      <c r="BQ59" s="14">
        <f t="shared" si="68"/>
        <v>80729272.019999996</v>
      </c>
      <c r="BR59" s="14">
        <f t="shared" si="68"/>
        <v>80729272.019999996</v>
      </c>
      <c r="BS59" s="14">
        <f t="shared" si="68"/>
        <v>80729272.019999996</v>
      </c>
      <c r="BT59" s="14">
        <f t="shared" si="68"/>
        <v>80729272.019999996</v>
      </c>
      <c r="BU59" s="14">
        <f t="shared" si="68"/>
        <v>80729272.019999996</v>
      </c>
      <c r="BV59" s="14">
        <f t="shared" si="68"/>
        <v>55729272.019999996</v>
      </c>
      <c r="BW59" s="14">
        <f t="shared" si="68"/>
        <v>55729272.019999996</v>
      </c>
      <c r="BX59" s="14">
        <f t="shared" si="68"/>
        <v>55729272.019999996</v>
      </c>
      <c r="BY59" s="14">
        <f t="shared" si="68"/>
        <v>55729272.019999996</v>
      </c>
      <c r="BZ59" s="14">
        <f t="shared" si="68"/>
        <v>55729272.019999996</v>
      </c>
      <c r="CA59" s="14">
        <f t="shared" si="68"/>
        <v>55729272.019999996</v>
      </c>
      <c r="CB59" s="14">
        <f t="shared" si="68"/>
        <v>55729272.019999996</v>
      </c>
      <c r="CC59" s="14">
        <f t="shared" si="68"/>
        <v>55729272.019999996</v>
      </c>
      <c r="CD59" s="14">
        <f t="shared" si="68"/>
        <v>55729272.019999996</v>
      </c>
      <c r="CE59" s="14">
        <f t="shared" si="68"/>
        <v>55729272.019999996</v>
      </c>
      <c r="CF59" s="14">
        <f t="shared" si="68"/>
        <v>55729272.019999996</v>
      </c>
      <c r="CG59" s="14">
        <f t="shared" si="68"/>
        <v>55729272.019999996</v>
      </c>
      <c r="CH59" s="14">
        <f t="shared" si="68"/>
        <v>55729272.019999996</v>
      </c>
      <c r="CI59" s="39">
        <f>CH59-CI24+140344.7</f>
        <v>55869616.719999999</v>
      </c>
      <c r="CJ59" s="14">
        <f t="shared" ref="CJ59:DC59" si="69">CI59-CJ24</f>
        <v>55869616.719999999</v>
      </c>
      <c r="CK59" s="14">
        <f t="shared" si="69"/>
        <v>55869616.719999999</v>
      </c>
      <c r="CL59" s="14">
        <f t="shared" si="69"/>
        <v>55869616.719999999</v>
      </c>
      <c r="CM59" s="14">
        <f t="shared" si="69"/>
        <v>55869616.719999999</v>
      </c>
      <c r="CN59" s="14">
        <f t="shared" si="69"/>
        <v>45869616.719999999</v>
      </c>
      <c r="CO59" s="14">
        <f t="shared" si="69"/>
        <v>45869616.719999999</v>
      </c>
      <c r="CP59" s="14">
        <f t="shared" si="69"/>
        <v>45869616.719999999</v>
      </c>
      <c r="CQ59" s="14">
        <f t="shared" si="69"/>
        <v>45869616.719999999</v>
      </c>
      <c r="CR59" s="14">
        <f t="shared" si="69"/>
        <v>45869616.719999999</v>
      </c>
      <c r="CS59" s="14">
        <f t="shared" si="69"/>
        <v>25869616.719999999</v>
      </c>
      <c r="CT59" s="14">
        <f t="shared" si="69"/>
        <v>25869616.719999999</v>
      </c>
      <c r="CU59" s="14">
        <f t="shared" si="69"/>
        <v>25869616.719999999</v>
      </c>
      <c r="CV59" s="14">
        <f t="shared" si="69"/>
        <v>25869616.719999999</v>
      </c>
      <c r="CW59" s="14">
        <f t="shared" si="69"/>
        <v>25869616.719999999</v>
      </c>
      <c r="CX59" s="14">
        <f t="shared" si="69"/>
        <v>25869616.719999999</v>
      </c>
      <c r="CY59" s="14">
        <f t="shared" si="69"/>
        <v>25869616.719999999</v>
      </c>
      <c r="CZ59" s="14">
        <f t="shared" si="69"/>
        <v>25869616.719999999</v>
      </c>
      <c r="DA59" s="14">
        <f t="shared" si="69"/>
        <v>25869616.719999999</v>
      </c>
      <c r="DB59" s="14">
        <f t="shared" si="69"/>
        <v>25869616.719999999</v>
      </c>
      <c r="DC59" s="14">
        <f t="shared" si="69"/>
        <v>25869616.719999999</v>
      </c>
      <c r="DD59" s="39">
        <f>DC59-DD24+74187.92</f>
        <v>25943804.640000001</v>
      </c>
      <c r="DE59" s="93">
        <f t="shared" ref="DE59:DY59" si="70">DD59-DE24</f>
        <v>25943804.640000001</v>
      </c>
      <c r="DF59" s="14">
        <f t="shared" si="70"/>
        <v>25943804.640000001</v>
      </c>
      <c r="DG59" s="14">
        <f t="shared" si="70"/>
        <v>25943804.640000001</v>
      </c>
      <c r="DH59" s="14">
        <f t="shared" si="70"/>
        <v>25943804.640000001</v>
      </c>
      <c r="DI59" s="14">
        <f t="shared" si="70"/>
        <v>25943804.640000001</v>
      </c>
      <c r="DJ59" s="14">
        <f t="shared" si="70"/>
        <v>25943804.640000001</v>
      </c>
      <c r="DK59" s="14">
        <f t="shared" si="70"/>
        <v>25943804.640000001</v>
      </c>
      <c r="DL59" s="14">
        <f t="shared" si="70"/>
        <v>25943804.640000001</v>
      </c>
      <c r="DM59" s="14">
        <f t="shared" si="70"/>
        <v>15943804.640000001</v>
      </c>
      <c r="DN59" s="14">
        <f t="shared" si="70"/>
        <v>15943804.640000001</v>
      </c>
      <c r="DO59" s="14">
        <f t="shared" si="70"/>
        <v>5943804.6400000006</v>
      </c>
      <c r="DP59" s="14">
        <f t="shared" si="70"/>
        <v>5943804.6400000006</v>
      </c>
      <c r="DQ59" s="14">
        <f t="shared" si="70"/>
        <v>5943804.6400000006</v>
      </c>
      <c r="DR59" s="93">
        <f t="shared" si="70"/>
        <v>5943804.6400000006</v>
      </c>
      <c r="DS59" s="14">
        <f t="shared" si="70"/>
        <v>5943804.6400000006</v>
      </c>
      <c r="DT59" s="14">
        <f t="shared" si="70"/>
        <v>5943804.6400000006</v>
      </c>
      <c r="DU59" s="14">
        <f t="shared" si="70"/>
        <v>5943804.6400000006</v>
      </c>
      <c r="DV59" s="14">
        <f t="shared" si="70"/>
        <v>5943804.6400000006</v>
      </c>
      <c r="DW59" s="14">
        <f t="shared" si="70"/>
        <v>5943804.6400000006</v>
      </c>
      <c r="DX59" s="14">
        <f t="shared" si="70"/>
        <v>5943804.6400000006</v>
      </c>
      <c r="DY59" s="14">
        <f t="shared" si="70"/>
        <v>5943804.6400000006</v>
      </c>
      <c r="DZ59" s="39">
        <f>DY59-DZ24+32620.5</f>
        <v>5976425.1400000006</v>
      </c>
      <c r="EA59" s="14">
        <f t="shared" ref="EA59:ET59" si="71">DZ59-EA24</f>
        <v>5976425.1400000006</v>
      </c>
      <c r="EB59" s="14">
        <f t="shared" si="71"/>
        <v>5976425.1400000006</v>
      </c>
      <c r="EC59" s="14">
        <f t="shared" si="71"/>
        <v>5976425.1400000006</v>
      </c>
      <c r="ED59" s="14">
        <f t="shared" si="71"/>
        <v>5976425.1400000006</v>
      </c>
      <c r="EE59" s="14">
        <f t="shared" si="71"/>
        <v>5976425.1400000006</v>
      </c>
      <c r="EF59" s="14">
        <f t="shared" si="71"/>
        <v>5976425.1400000006</v>
      </c>
      <c r="EG59" s="27">
        <f t="shared" si="71"/>
        <v>5976425.1400000006</v>
      </c>
      <c r="EH59" s="14">
        <f t="shared" si="71"/>
        <v>5976425.1400000006</v>
      </c>
      <c r="EI59" s="14">
        <f t="shared" si="71"/>
        <v>5976425.1400000006</v>
      </c>
      <c r="EJ59" s="14">
        <f t="shared" si="71"/>
        <v>5976425.1400000006</v>
      </c>
      <c r="EK59" s="80">
        <f t="shared" si="71"/>
        <v>5976425.1400000006</v>
      </c>
      <c r="EL59" s="14">
        <f t="shared" si="71"/>
        <v>5976425.1400000006</v>
      </c>
      <c r="EM59" s="14">
        <f t="shared" si="71"/>
        <v>5976425.1400000006</v>
      </c>
      <c r="EN59" s="14">
        <f t="shared" si="71"/>
        <v>5976425.1400000006</v>
      </c>
      <c r="EO59" s="14">
        <f t="shared" si="71"/>
        <v>5976425.1400000006</v>
      </c>
      <c r="EP59" s="14">
        <f t="shared" si="71"/>
        <v>5976425.1400000006</v>
      </c>
      <c r="EQ59" s="14">
        <f t="shared" si="71"/>
        <v>5976425.1400000006</v>
      </c>
      <c r="ER59" s="14">
        <f t="shared" si="71"/>
        <v>5976425.1400000006</v>
      </c>
      <c r="ES59" s="14">
        <f t="shared" si="71"/>
        <v>5976425.1400000006</v>
      </c>
      <c r="ET59" s="14">
        <f t="shared" si="71"/>
        <v>5976425.1400000006</v>
      </c>
      <c r="EU59" s="39">
        <f>ET59-EU24+13092.98</f>
        <v>5989518.120000001</v>
      </c>
      <c r="EV59" s="14">
        <f t="shared" ref="EV59:FO59" si="72">EU59-EV24</f>
        <v>5989518.120000001</v>
      </c>
      <c r="EW59" s="14">
        <f t="shared" si="72"/>
        <v>5989518.120000001</v>
      </c>
      <c r="EX59" s="14">
        <f t="shared" si="72"/>
        <v>5989518.120000001</v>
      </c>
      <c r="EY59" s="14">
        <f t="shared" si="72"/>
        <v>5989518.120000001</v>
      </c>
      <c r="EZ59" s="14">
        <f t="shared" si="72"/>
        <v>5989518.120000001</v>
      </c>
      <c r="FA59" s="14">
        <f t="shared" si="72"/>
        <v>5989518.120000001</v>
      </c>
      <c r="FB59" s="14">
        <f t="shared" si="72"/>
        <v>5989518.120000001</v>
      </c>
      <c r="FC59" s="14">
        <f t="shared" si="72"/>
        <v>5989518.120000001</v>
      </c>
      <c r="FD59" s="14">
        <f t="shared" si="72"/>
        <v>5989518.120000001</v>
      </c>
      <c r="FE59" s="14">
        <f t="shared" si="72"/>
        <v>5989518.120000001</v>
      </c>
      <c r="FF59" s="14">
        <f t="shared" si="72"/>
        <v>5989518.120000001</v>
      </c>
      <c r="FG59" s="14">
        <f t="shared" si="72"/>
        <v>5989518.120000001</v>
      </c>
      <c r="FH59" s="14">
        <f t="shared" si="72"/>
        <v>5989518.120000001</v>
      </c>
      <c r="FI59" s="14">
        <f t="shared" si="72"/>
        <v>5989518.120000001</v>
      </c>
      <c r="FJ59" s="14">
        <f t="shared" si="72"/>
        <v>5989518.120000001</v>
      </c>
      <c r="FK59" s="14">
        <f t="shared" si="72"/>
        <v>5989518.120000001</v>
      </c>
      <c r="FL59" s="80">
        <f t="shared" si="72"/>
        <v>5989518.120000001</v>
      </c>
      <c r="FM59" s="14">
        <f t="shared" si="72"/>
        <v>5989518.120000001</v>
      </c>
      <c r="FN59" s="14">
        <f t="shared" si="72"/>
        <v>5989518.120000001</v>
      </c>
      <c r="FO59" s="14">
        <f t="shared" si="72"/>
        <v>5989518.120000001</v>
      </c>
      <c r="FP59" s="39">
        <f>FO59-FP24+13257.77</f>
        <v>6002775.8900000006</v>
      </c>
      <c r="FQ59" s="14">
        <f t="shared" ref="FQ59:GK59" si="73">FP59-FQ24</f>
        <v>6002775.8900000006</v>
      </c>
      <c r="FR59" s="14">
        <f t="shared" si="73"/>
        <v>6002775.8900000006</v>
      </c>
      <c r="FS59" s="14">
        <f t="shared" si="73"/>
        <v>6002775.8900000006</v>
      </c>
      <c r="FT59" s="14">
        <f t="shared" si="73"/>
        <v>6002775.8900000006</v>
      </c>
      <c r="FU59" s="14">
        <f t="shared" si="73"/>
        <v>6002775.8900000006</v>
      </c>
      <c r="FV59" s="14">
        <f t="shared" si="73"/>
        <v>6002775.8900000006</v>
      </c>
      <c r="FW59" s="14">
        <f t="shared" si="73"/>
        <v>6002775.8900000006</v>
      </c>
      <c r="FX59" s="14">
        <f t="shared" si="73"/>
        <v>6002775.8900000006</v>
      </c>
      <c r="FY59" s="14">
        <f t="shared" si="73"/>
        <v>6002775.8900000006</v>
      </c>
      <c r="FZ59" s="112">
        <f t="shared" si="73"/>
        <v>6002775.8900000006</v>
      </c>
      <c r="GA59" s="14">
        <f t="shared" si="73"/>
        <v>6002775.8900000006</v>
      </c>
      <c r="GB59" s="14">
        <f t="shared" si="73"/>
        <v>6002775.8900000006</v>
      </c>
      <c r="GC59" s="14">
        <f t="shared" si="73"/>
        <v>6002775.8900000006</v>
      </c>
      <c r="GD59" s="14">
        <f t="shared" si="73"/>
        <v>6002775.8900000006</v>
      </c>
      <c r="GE59" s="14">
        <f t="shared" si="73"/>
        <v>6002775.8900000006</v>
      </c>
      <c r="GF59" s="14">
        <f t="shared" si="73"/>
        <v>6002775.8900000006</v>
      </c>
      <c r="GG59" s="14">
        <f t="shared" si="73"/>
        <v>6002775.8900000006</v>
      </c>
      <c r="GH59" s="14">
        <f t="shared" si="73"/>
        <v>6002775.8900000006</v>
      </c>
      <c r="GI59" s="14">
        <f t="shared" si="73"/>
        <v>6002775.8900000006</v>
      </c>
      <c r="GJ59" s="14">
        <f t="shared" si="73"/>
        <v>6002775.8900000006</v>
      </c>
      <c r="GK59" s="14">
        <f t="shared" si="73"/>
        <v>6002775.8900000006</v>
      </c>
      <c r="GL59" s="39">
        <f>GK59-GL24+13211.95</f>
        <v>6015987.8400000008</v>
      </c>
      <c r="GM59" s="14">
        <f t="shared" ref="GM59:HC59" si="74">GL59-GM24</f>
        <v>6015987.8400000008</v>
      </c>
      <c r="GN59" s="14">
        <f t="shared" si="74"/>
        <v>6015987.8400000008</v>
      </c>
      <c r="GO59" s="14">
        <f t="shared" si="74"/>
        <v>6015987.8400000008</v>
      </c>
      <c r="GP59" s="14">
        <f t="shared" si="74"/>
        <v>6015987.8400000008</v>
      </c>
      <c r="GQ59" s="14">
        <f t="shared" si="74"/>
        <v>6015987.8400000008</v>
      </c>
      <c r="GR59" s="14">
        <f t="shared" si="74"/>
        <v>6015987.8400000008</v>
      </c>
      <c r="GS59" s="14">
        <f t="shared" si="74"/>
        <v>6015987.8400000008</v>
      </c>
      <c r="GT59" s="14">
        <f t="shared" si="74"/>
        <v>6015987.8400000008</v>
      </c>
      <c r="GU59" s="112">
        <f t="shared" si="74"/>
        <v>6015987.8400000008</v>
      </c>
      <c r="GV59" s="14">
        <f t="shared" si="74"/>
        <v>6015987.8400000008</v>
      </c>
      <c r="GW59" s="14">
        <f t="shared" si="74"/>
        <v>6015987.8400000008</v>
      </c>
      <c r="GX59" s="14">
        <f t="shared" si="74"/>
        <v>6015987.8400000008</v>
      </c>
      <c r="GY59" s="14">
        <f t="shared" si="74"/>
        <v>6015987.8400000008</v>
      </c>
      <c r="GZ59" s="14">
        <f t="shared" si="74"/>
        <v>6015987.8400000008</v>
      </c>
      <c r="HA59" s="14">
        <f t="shared" si="74"/>
        <v>6015987.8400000008</v>
      </c>
      <c r="HB59" s="14">
        <f t="shared" si="74"/>
        <v>6015987.8400000008</v>
      </c>
      <c r="HC59" s="14">
        <f t="shared" si="74"/>
        <v>6015987.8400000008</v>
      </c>
      <c r="HD59" s="39">
        <f>HC59-HD24+10877</f>
        <v>6026864.8400000008</v>
      </c>
      <c r="HE59" s="14">
        <f t="shared" ref="HE59:HY59" si="75">HD59-HE24</f>
        <v>6026864.8400000008</v>
      </c>
      <c r="HF59" s="14">
        <f t="shared" si="75"/>
        <v>6026864.8400000008</v>
      </c>
      <c r="HG59" s="14">
        <f t="shared" si="75"/>
        <v>6026864.8400000008</v>
      </c>
      <c r="HH59" s="14">
        <f t="shared" si="75"/>
        <v>6026864.8400000008</v>
      </c>
      <c r="HI59" s="14">
        <f t="shared" si="75"/>
        <v>6026864.8400000008</v>
      </c>
      <c r="HJ59" s="14">
        <f t="shared" si="75"/>
        <v>6026864.8400000008</v>
      </c>
      <c r="HK59" s="14">
        <f t="shared" si="75"/>
        <v>6026864.8400000008</v>
      </c>
      <c r="HL59" s="14">
        <f t="shared" si="75"/>
        <v>6026864.8400000008</v>
      </c>
      <c r="HM59" s="14">
        <f t="shared" si="75"/>
        <v>6026864.8400000008</v>
      </c>
      <c r="HN59" s="136">
        <f t="shared" si="75"/>
        <v>6026864.8400000008</v>
      </c>
      <c r="HO59" s="80">
        <f t="shared" si="75"/>
        <v>6026864.8400000008</v>
      </c>
      <c r="HP59" s="14">
        <f t="shared" si="75"/>
        <v>6026864.8400000008</v>
      </c>
      <c r="HQ59" s="14">
        <f t="shared" si="75"/>
        <v>6026864.8400000008</v>
      </c>
      <c r="HR59" s="14">
        <f t="shared" si="75"/>
        <v>6026864.8400000008</v>
      </c>
      <c r="HS59" s="14">
        <f t="shared" si="75"/>
        <v>6026864.8400000008</v>
      </c>
      <c r="HT59" s="14">
        <f t="shared" si="75"/>
        <v>6026864.8400000008</v>
      </c>
      <c r="HU59" s="14">
        <f t="shared" si="75"/>
        <v>6026864.8400000008</v>
      </c>
      <c r="HV59" s="14">
        <f t="shared" si="75"/>
        <v>6026864.8400000008</v>
      </c>
      <c r="HW59" s="14">
        <f t="shared" si="75"/>
        <v>6026864.8400000008</v>
      </c>
      <c r="HX59" s="14">
        <f t="shared" si="75"/>
        <v>6026864.8400000008</v>
      </c>
      <c r="HY59" s="14">
        <f t="shared" si="75"/>
        <v>6026864.8400000008</v>
      </c>
      <c r="HZ59" s="39">
        <f>HY59-HZ24+9972.26</f>
        <v>6036837.1000000006</v>
      </c>
      <c r="IA59" s="14">
        <f t="shared" si="51"/>
        <v>6036837.1000000006</v>
      </c>
      <c r="IB59" s="14">
        <f t="shared" si="51"/>
        <v>6036837.1000000006</v>
      </c>
      <c r="IC59" s="14">
        <f t="shared" si="51"/>
        <v>6036837.1000000006</v>
      </c>
      <c r="ID59" s="14">
        <f t="shared" si="51"/>
        <v>6036837.1000000006</v>
      </c>
      <c r="IE59" s="14">
        <f t="shared" si="51"/>
        <v>6036837.1000000006</v>
      </c>
      <c r="IF59" s="14">
        <f t="shared" si="51"/>
        <v>6036837.1000000006</v>
      </c>
      <c r="IG59" s="14">
        <f>IF59-IG24+10000000</f>
        <v>16036837.100000001</v>
      </c>
      <c r="IH59" s="112">
        <f t="shared" si="52"/>
        <v>16036837.100000001</v>
      </c>
      <c r="II59" s="14">
        <f t="shared" si="52"/>
        <v>16036837.100000001</v>
      </c>
      <c r="IJ59" s="14">
        <f t="shared" si="52"/>
        <v>16036837.100000001</v>
      </c>
      <c r="IK59" s="14">
        <f t="shared" si="52"/>
        <v>16036837.100000001</v>
      </c>
      <c r="IL59" s="14">
        <f>IK59-IL24+10000000</f>
        <v>26036837.100000001</v>
      </c>
      <c r="IM59" s="14">
        <f t="shared" si="53"/>
        <v>26036837.100000001</v>
      </c>
      <c r="IN59" s="14">
        <f t="shared" si="53"/>
        <v>26036837.100000001</v>
      </c>
      <c r="IO59" s="14">
        <f t="shared" si="53"/>
        <v>26036837.100000001</v>
      </c>
      <c r="IP59" s="14">
        <f t="shared" si="53"/>
        <v>26036837.100000001</v>
      </c>
      <c r="IQ59" s="14">
        <f t="shared" si="53"/>
        <v>26036837.100000001</v>
      </c>
      <c r="IR59" s="14">
        <f t="shared" si="53"/>
        <v>26036837.100000001</v>
      </c>
      <c r="IS59" s="14">
        <f t="shared" si="53"/>
        <v>26036837.100000001</v>
      </c>
      <c r="IT59" s="39">
        <f t="shared" si="53"/>
        <v>26036837.100000001</v>
      </c>
      <c r="IU59" s="14"/>
    </row>
    <row r="60" spans="1:256" s="8" customFormat="1" ht="14.1" customHeight="1">
      <c r="A60" s="14" t="s">
        <v>56</v>
      </c>
      <c r="B60" s="14"/>
      <c r="C60" s="39">
        <v>57542.9</v>
      </c>
      <c r="D60" s="14">
        <f>+C60</f>
        <v>57542.9</v>
      </c>
      <c r="E60" s="14">
        <f>+D60</f>
        <v>57542.9</v>
      </c>
      <c r="F60" s="14">
        <f t="shared" ref="F60:BQ60" si="76">+E60</f>
        <v>57542.9</v>
      </c>
      <c r="G60" s="14">
        <f t="shared" si="76"/>
        <v>57542.9</v>
      </c>
      <c r="H60" s="14">
        <f>+G60+100000000</f>
        <v>100057542.90000001</v>
      </c>
      <c r="I60" s="14">
        <f t="shared" si="76"/>
        <v>100057542.90000001</v>
      </c>
      <c r="J60" s="14">
        <f t="shared" si="76"/>
        <v>100057542.90000001</v>
      </c>
      <c r="K60" s="14">
        <f t="shared" si="76"/>
        <v>100057542.90000001</v>
      </c>
      <c r="L60" s="14">
        <f t="shared" si="76"/>
        <v>100057542.90000001</v>
      </c>
      <c r="M60" s="14">
        <f t="shared" si="76"/>
        <v>100057542.90000001</v>
      </c>
      <c r="N60" s="14">
        <f t="shared" si="76"/>
        <v>100057542.90000001</v>
      </c>
      <c r="O60" s="14">
        <f t="shared" si="76"/>
        <v>100057542.90000001</v>
      </c>
      <c r="P60" s="14">
        <f t="shared" si="76"/>
        <v>100057542.90000001</v>
      </c>
      <c r="Q60" s="14">
        <f t="shared" si="76"/>
        <v>100057542.90000001</v>
      </c>
      <c r="R60" s="14">
        <f t="shared" si="76"/>
        <v>100057542.90000001</v>
      </c>
      <c r="S60" s="14">
        <f t="shared" si="76"/>
        <v>100057542.90000001</v>
      </c>
      <c r="T60" s="14">
        <f t="shared" si="76"/>
        <v>100057542.90000001</v>
      </c>
      <c r="U60" s="14">
        <f t="shared" si="76"/>
        <v>100057542.90000001</v>
      </c>
      <c r="V60" s="14">
        <f t="shared" si="76"/>
        <v>100057542.90000001</v>
      </c>
      <c r="W60" s="39">
        <f>+V60+220040.6</f>
        <v>100277583.5</v>
      </c>
      <c r="X60" s="14">
        <f t="shared" si="76"/>
        <v>100277583.5</v>
      </c>
      <c r="Y60" s="14">
        <f t="shared" si="76"/>
        <v>100277583.5</v>
      </c>
      <c r="Z60" s="14">
        <f t="shared" si="76"/>
        <v>100277583.5</v>
      </c>
      <c r="AA60" s="14">
        <f t="shared" si="76"/>
        <v>100277583.5</v>
      </c>
      <c r="AB60" s="14">
        <f t="shared" si="76"/>
        <v>100277583.5</v>
      </c>
      <c r="AC60" s="14">
        <f t="shared" si="76"/>
        <v>100277583.5</v>
      </c>
      <c r="AD60" s="14">
        <f t="shared" si="76"/>
        <v>100277583.5</v>
      </c>
      <c r="AE60" s="14">
        <f t="shared" si="76"/>
        <v>100277583.5</v>
      </c>
      <c r="AF60" s="14">
        <f t="shared" si="76"/>
        <v>100277583.5</v>
      </c>
      <c r="AG60" s="14">
        <f t="shared" si="76"/>
        <v>100277583.5</v>
      </c>
      <c r="AH60" s="14">
        <f t="shared" si="76"/>
        <v>100277583.5</v>
      </c>
      <c r="AI60" s="14">
        <f t="shared" si="76"/>
        <v>100277583.5</v>
      </c>
      <c r="AJ60" s="14">
        <f t="shared" si="76"/>
        <v>100277583.5</v>
      </c>
      <c r="AK60" s="14">
        <f t="shared" si="76"/>
        <v>100277583.5</v>
      </c>
      <c r="AL60" s="14">
        <f t="shared" si="76"/>
        <v>100277583.5</v>
      </c>
      <c r="AM60" s="14">
        <f t="shared" si="76"/>
        <v>100277583.5</v>
      </c>
      <c r="AN60" s="14">
        <f t="shared" si="76"/>
        <v>100277583.5</v>
      </c>
      <c r="AO60" s="14">
        <f t="shared" si="76"/>
        <v>100277583.5</v>
      </c>
      <c r="AP60" s="14">
        <f t="shared" si="76"/>
        <v>100277583.5</v>
      </c>
      <c r="AQ60" s="14">
        <f>+AP60</f>
        <v>100277583.5</v>
      </c>
      <c r="AR60" s="39">
        <f>+AQ60+252832.32</f>
        <v>100530415.81999999</v>
      </c>
      <c r="AS60" s="14">
        <f t="shared" si="76"/>
        <v>100530415.81999999</v>
      </c>
      <c r="AT60" s="14">
        <f t="shared" si="76"/>
        <v>100530415.81999999</v>
      </c>
      <c r="AU60" s="14">
        <f t="shared" si="76"/>
        <v>100530415.81999999</v>
      </c>
      <c r="AV60" s="14">
        <f t="shared" si="76"/>
        <v>100530415.81999999</v>
      </c>
      <c r="AW60" s="14">
        <f t="shared" si="76"/>
        <v>100530415.81999999</v>
      </c>
      <c r="AX60" s="14">
        <f t="shared" si="76"/>
        <v>100530415.81999999</v>
      </c>
      <c r="AY60" s="14">
        <f t="shared" si="76"/>
        <v>100530415.81999999</v>
      </c>
      <c r="AZ60" s="14">
        <f t="shared" si="76"/>
        <v>100530415.81999999</v>
      </c>
      <c r="BA60" s="14">
        <f t="shared" si="76"/>
        <v>100530415.81999999</v>
      </c>
      <c r="BB60" s="14">
        <f t="shared" si="76"/>
        <v>100530415.81999999</v>
      </c>
      <c r="BC60" s="14">
        <f>+BB60-BC21</f>
        <v>50530415.819999993</v>
      </c>
      <c r="BD60" s="14">
        <f t="shared" si="76"/>
        <v>50530415.819999993</v>
      </c>
      <c r="BE60" s="14">
        <f t="shared" si="76"/>
        <v>50530415.819999993</v>
      </c>
      <c r="BF60" s="14">
        <f t="shared" si="76"/>
        <v>50530415.819999993</v>
      </c>
      <c r="BG60" s="14">
        <f t="shared" si="76"/>
        <v>50530415.819999993</v>
      </c>
      <c r="BH60" s="14">
        <f t="shared" si="76"/>
        <v>50530415.819999993</v>
      </c>
      <c r="BI60" s="14">
        <f t="shared" si="76"/>
        <v>50530415.819999993</v>
      </c>
      <c r="BJ60" s="14">
        <f t="shared" si="76"/>
        <v>50530415.819999993</v>
      </c>
      <c r="BK60" s="14">
        <f t="shared" si="76"/>
        <v>50530415.819999993</v>
      </c>
      <c r="BL60" s="14">
        <f>+BK60</f>
        <v>50530415.819999993</v>
      </c>
      <c r="BM60" s="14">
        <f t="shared" si="76"/>
        <v>50530415.819999993</v>
      </c>
      <c r="BN60" s="39">
        <f>+BM60+152036.84</f>
        <v>50682452.659999996</v>
      </c>
      <c r="BO60" s="14">
        <f t="shared" si="76"/>
        <v>50682452.659999996</v>
      </c>
      <c r="BP60" s="14">
        <f t="shared" si="76"/>
        <v>50682452.659999996</v>
      </c>
      <c r="BQ60" s="14">
        <f t="shared" si="76"/>
        <v>50682452.659999996</v>
      </c>
      <c r="BR60" s="14">
        <f t="shared" ref="BR60:DQ60" si="77">+BQ60</f>
        <v>50682452.659999996</v>
      </c>
      <c r="BS60" s="14">
        <f t="shared" si="77"/>
        <v>50682452.659999996</v>
      </c>
      <c r="BT60" s="14">
        <f t="shared" si="77"/>
        <v>50682452.659999996</v>
      </c>
      <c r="BU60" s="14">
        <f t="shared" si="77"/>
        <v>50682452.659999996</v>
      </c>
      <c r="BV60" s="14">
        <f>+BU60-BV21</f>
        <v>25682452.659999996</v>
      </c>
      <c r="BW60" s="14">
        <f t="shared" si="77"/>
        <v>25682452.659999996</v>
      </c>
      <c r="BX60" s="14">
        <f t="shared" si="77"/>
        <v>25682452.659999996</v>
      </c>
      <c r="BY60" s="14">
        <f t="shared" si="77"/>
        <v>25682452.659999996</v>
      </c>
      <c r="BZ60" s="14">
        <f t="shared" si="77"/>
        <v>25682452.659999996</v>
      </c>
      <c r="CA60" s="14">
        <f t="shared" si="77"/>
        <v>25682452.659999996</v>
      </c>
      <c r="CB60" s="14">
        <f t="shared" si="77"/>
        <v>25682452.659999996</v>
      </c>
      <c r="CC60" s="14">
        <f t="shared" si="77"/>
        <v>25682452.659999996</v>
      </c>
      <c r="CD60" s="14">
        <f t="shared" si="77"/>
        <v>25682452.659999996</v>
      </c>
      <c r="CE60" s="14">
        <f t="shared" si="77"/>
        <v>25682452.659999996</v>
      </c>
      <c r="CF60" s="14">
        <f t="shared" si="77"/>
        <v>25682452.659999996</v>
      </c>
      <c r="CG60" s="14">
        <f t="shared" si="77"/>
        <v>25682452.659999996</v>
      </c>
      <c r="CH60" s="14">
        <f t="shared" si="77"/>
        <v>25682452.659999996</v>
      </c>
      <c r="CI60" s="39">
        <f>+CH60+68962.72</f>
        <v>25751415.379999995</v>
      </c>
      <c r="CJ60" s="14">
        <f t="shared" si="77"/>
        <v>25751415.379999995</v>
      </c>
      <c r="CK60" s="14">
        <f t="shared" si="77"/>
        <v>25751415.379999995</v>
      </c>
      <c r="CL60" s="14">
        <f t="shared" si="77"/>
        <v>25751415.379999995</v>
      </c>
      <c r="CM60" s="14">
        <f t="shared" si="77"/>
        <v>25751415.379999995</v>
      </c>
      <c r="CN60" s="14">
        <f t="shared" si="77"/>
        <v>25751415.379999995</v>
      </c>
      <c r="CO60" s="14">
        <f>+CN60-CO21</f>
        <v>15751415.379999995</v>
      </c>
      <c r="CP60" s="14">
        <f t="shared" si="77"/>
        <v>15751415.379999995</v>
      </c>
      <c r="CQ60" s="14">
        <f t="shared" si="77"/>
        <v>15751415.379999995</v>
      </c>
      <c r="CR60" s="14">
        <f t="shared" si="77"/>
        <v>15751415.379999995</v>
      </c>
      <c r="CS60" s="14">
        <f>+CR60-CS21</f>
        <v>10751415.379999995</v>
      </c>
      <c r="CT60" s="14">
        <f t="shared" si="77"/>
        <v>10751415.379999995</v>
      </c>
      <c r="CU60" s="14">
        <f t="shared" si="77"/>
        <v>10751415.379999995</v>
      </c>
      <c r="CV60" s="14">
        <f t="shared" si="77"/>
        <v>10751415.379999995</v>
      </c>
      <c r="CW60" s="14">
        <f t="shared" si="77"/>
        <v>10751415.379999995</v>
      </c>
      <c r="CX60" s="14">
        <f t="shared" si="77"/>
        <v>10751415.379999995</v>
      </c>
      <c r="CY60" s="14">
        <f t="shared" si="77"/>
        <v>10751415.379999995</v>
      </c>
      <c r="CZ60" s="14">
        <f t="shared" si="77"/>
        <v>10751415.379999995</v>
      </c>
      <c r="DA60" s="14">
        <f t="shared" si="77"/>
        <v>10751415.379999995</v>
      </c>
      <c r="DB60" s="14">
        <f t="shared" si="77"/>
        <v>10751415.379999995</v>
      </c>
      <c r="DC60" s="14">
        <f t="shared" si="77"/>
        <v>10751415.379999995</v>
      </c>
      <c r="DD60" s="39">
        <f>+DC60+28565.51</f>
        <v>10779980.889999995</v>
      </c>
      <c r="DE60" s="93">
        <f t="shared" si="77"/>
        <v>10779980.889999995</v>
      </c>
      <c r="DF60" s="14">
        <f t="shared" si="77"/>
        <v>10779980.889999995</v>
      </c>
      <c r="DG60" s="14">
        <f t="shared" si="77"/>
        <v>10779980.889999995</v>
      </c>
      <c r="DH60" s="14">
        <f t="shared" si="77"/>
        <v>10779980.889999995</v>
      </c>
      <c r="DI60" s="14">
        <f t="shared" si="77"/>
        <v>10779980.889999995</v>
      </c>
      <c r="DJ60" s="14">
        <f t="shared" si="77"/>
        <v>10779980.889999995</v>
      </c>
      <c r="DK60" s="14">
        <f t="shared" si="77"/>
        <v>10779980.889999995</v>
      </c>
      <c r="DL60" s="14">
        <f t="shared" si="77"/>
        <v>10779980.889999995</v>
      </c>
      <c r="DM60" s="14">
        <f>+DL60-DM21</f>
        <v>779980.88999999501</v>
      </c>
      <c r="DN60" s="14">
        <f t="shared" si="77"/>
        <v>779980.88999999501</v>
      </c>
      <c r="DO60" s="14">
        <f t="shared" si="77"/>
        <v>779980.88999999501</v>
      </c>
      <c r="DP60" s="14">
        <f t="shared" si="77"/>
        <v>779980.88999999501</v>
      </c>
      <c r="DQ60" s="14">
        <f t="shared" si="77"/>
        <v>779980.88999999501</v>
      </c>
      <c r="DR60" s="93">
        <f>+DQ60</f>
        <v>779980.88999999501</v>
      </c>
      <c r="DS60" s="14">
        <f>+DR60</f>
        <v>779980.88999999501</v>
      </c>
      <c r="DT60" s="14">
        <f>+DS60</f>
        <v>779980.88999999501</v>
      </c>
      <c r="DU60" s="14">
        <f>+DT60</f>
        <v>779980.88999999501</v>
      </c>
      <c r="DV60" s="14">
        <f>+DU60</f>
        <v>779980.88999999501</v>
      </c>
      <c r="DW60" s="14">
        <f t="shared" ref="DW60:GH60" si="78">+DV60</f>
        <v>779980.88999999501</v>
      </c>
      <c r="DX60" s="14">
        <f t="shared" si="78"/>
        <v>779980.88999999501</v>
      </c>
      <c r="DY60" s="14">
        <f t="shared" si="78"/>
        <v>779980.88999999501</v>
      </c>
      <c r="DZ60" s="39">
        <f>+DY60+9628.85</f>
        <v>789609.73999999498</v>
      </c>
      <c r="EA60" s="14">
        <f t="shared" si="78"/>
        <v>789609.73999999498</v>
      </c>
      <c r="EB60" s="14">
        <f t="shared" si="78"/>
        <v>789609.73999999498</v>
      </c>
      <c r="EC60" s="14">
        <f t="shared" si="78"/>
        <v>789609.73999999498</v>
      </c>
      <c r="ED60" s="14">
        <f t="shared" si="78"/>
        <v>789609.73999999498</v>
      </c>
      <c r="EE60" s="14">
        <f t="shared" si="78"/>
        <v>789609.73999999498</v>
      </c>
      <c r="EF60" s="14">
        <f t="shared" si="78"/>
        <v>789609.73999999498</v>
      </c>
      <c r="EG60" s="27">
        <f t="shared" si="78"/>
        <v>789609.73999999498</v>
      </c>
      <c r="EH60" s="14">
        <f t="shared" si="78"/>
        <v>789609.73999999498</v>
      </c>
      <c r="EI60" s="14">
        <f t="shared" si="78"/>
        <v>789609.73999999498</v>
      </c>
      <c r="EJ60" s="14">
        <f t="shared" si="78"/>
        <v>789609.73999999498</v>
      </c>
      <c r="EK60" s="80">
        <f t="shared" si="78"/>
        <v>789609.73999999498</v>
      </c>
      <c r="EL60" s="14">
        <f t="shared" si="78"/>
        <v>789609.73999999498</v>
      </c>
      <c r="EM60" s="14">
        <f t="shared" si="78"/>
        <v>789609.73999999498</v>
      </c>
      <c r="EN60" s="14">
        <f t="shared" si="78"/>
        <v>789609.73999999498</v>
      </c>
      <c r="EO60" s="14">
        <f t="shared" si="78"/>
        <v>789609.73999999498</v>
      </c>
      <c r="EP60" s="14">
        <f t="shared" si="78"/>
        <v>789609.73999999498</v>
      </c>
      <c r="EQ60" s="14">
        <f t="shared" si="78"/>
        <v>789609.73999999498</v>
      </c>
      <c r="ER60" s="14">
        <f t="shared" si="78"/>
        <v>789609.73999999498</v>
      </c>
      <c r="ES60" s="14">
        <f t="shared" si="78"/>
        <v>789609.73999999498</v>
      </c>
      <c r="ET60" s="14">
        <f t="shared" si="78"/>
        <v>789609.73999999498</v>
      </c>
      <c r="EU60" s="39">
        <f>+ET60+1597.73</f>
        <v>791207.46999999497</v>
      </c>
      <c r="EV60" s="14">
        <f t="shared" si="78"/>
        <v>791207.46999999497</v>
      </c>
      <c r="EW60" s="14">
        <f t="shared" si="78"/>
        <v>791207.46999999497</v>
      </c>
      <c r="EX60" s="14">
        <f t="shared" si="78"/>
        <v>791207.46999999497</v>
      </c>
      <c r="EY60" s="14">
        <f t="shared" si="78"/>
        <v>791207.46999999497</v>
      </c>
      <c r="EZ60" s="14">
        <f t="shared" si="78"/>
        <v>791207.46999999497</v>
      </c>
      <c r="FA60" s="14">
        <f t="shared" si="78"/>
        <v>791207.46999999497</v>
      </c>
      <c r="FB60" s="14">
        <f t="shared" si="78"/>
        <v>791207.46999999497</v>
      </c>
      <c r="FC60" s="14">
        <f t="shared" si="78"/>
        <v>791207.46999999497</v>
      </c>
      <c r="FD60" s="14">
        <f t="shared" si="78"/>
        <v>791207.46999999497</v>
      </c>
      <c r="FE60" s="14">
        <f t="shared" si="78"/>
        <v>791207.46999999497</v>
      </c>
      <c r="FF60" s="14">
        <f t="shared" si="78"/>
        <v>791207.46999999497</v>
      </c>
      <c r="FG60" s="14">
        <f t="shared" si="78"/>
        <v>791207.46999999497</v>
      </c>
      <c r="FH60" s="14">
        <f t="shared" si="78"/>
        <v>791207.46999999497</v>
      </c>
      <c r="FI60" s="14">
        <f t="shared" si="78"/>
        <v>791207.46999999497</v>
      </c>
      <c r="FJ60" s="14">
        <f t="shared" si="78"/>
        <v>791207.46999999497</v>
      </c>
      <c r="FK60" s="14">
        <f t="shared" si="78"/>
        <v>791207.46999999497</v>
      </c>
      <c r="FL60" s="80">
        <f t="shared" si="78"/>
        <v>791207.46999999497</v>
      </c>
      <c r="FM60" s="14">
        <f t="shared" si="78"/>
        <v>791207.46999999497</v>
      </c>
      <c r="FN60" s="14">
        <f t="shared" si="78"/>
        <v>791207.46999999497</v>
      </c>
      <c r="FO60" s="14">
        <f t="shared" si="78"/>
        <v>791207.46999999497</v>
      </c>
      <c r="FP60" s="39">
        <f>+FO60+1540.88</f>
        <v>792748.34999999497</v>
      </c>
      <c r="FQ60" s="14">
        <f t="shared" si="78"/>
        <v>792748.34999999497</v>
      </c>
      <c r="FR60" s="14">
        <f t="shared" si="78"/>
        <v>792748.34999999497</v>
      </c>
      <c r="FS60" s="14">
        <f t="shared" si="78"/>
        <v>792748.34999999497</v>
      </c>
      <c r="FT60" s="14">
        <f t="shared" si="78"/>
        <v>792748.34999999497</v>
      </c>
      <c r="FU60" s="14">
        <f t="shared" si="78"/>
        <v>792748.34999999497</v>
      </c>
      <c r="FV60" s="14">
        <f t="shared" si="78"/>
        <v>792748.34999999497</v>
      </c>
      <c r="FW60" s="14">
        <f t="shared" si="78"/>
        <v>792748.34999999497</v>
      </c>
      <c r="FX60" s="14">
        <f t="shared" si="78"/>
        <v>792748.34999999497</v>
      </c>
      <c r="FY60" s="14">
        <f t="shared" si="78"/>
        <v>792748.34999999497</v>
      </c>
      <c r="FZ60" s="112">
        <f t="shared" si="78"/>
        <v>792748.34999999497</v>
      </c>
      <c r="GA60" s="14">
        <f t="shared" si="78"/>
        <v>792748.34999999497</v>
      </c>
      <c r="GB60" s="14">
        <f t="shared" si="78"/>
        <v>792748.34999999497</v>
      </c>
      <c r="GC60" s="14">
        <f t="shared" si="78"/>
        <v>792748.34999999497</v>
      </c>
      <c r="GD60" s="14">
        <f t="shared" si="78"/>
        <v>792748.34999999497</v>
      </c>
      <c r="GE60" s="14">
        <f t="shared" si="78"/>
        <v>792748.34999999497</v>
      </c>
      <c r="GF60" s="14">
        <f t="shared" si="78"/>
        <v>792748.34999999497</v>
      </c>
      <c r="GG60" s="14">
        <f t="shared" si="78"/>
        <v>792748.34999999497</v>
      </c>
      <c r="GH60" s="14">
        <f t="shared" si="78"/>
        <v>792748.34999999497</v>
      </c>
      <c r="GI60" s="14">
        <f t="shared" ref="GI60:HC60" si="79">+GH60</f>
        <v>792748.34999999497</v>
      </c>
      <c r="GJ60" s="14">
        <f t="shared" si="79"/>
        <v>792748.34999999497</v>
      </c>
      <c r="GK60" s="14">
        <f t="shared" si="79"/>
        <v>792748.34999999497</v>
      </c>
      <c r="GL60" s="39">
        <f>+GK60+1780.5</f>
        <v>794528.84999999497</v>
      </c>
      <c r="GM60" s="14">
        <f t="shared" si="79"/>
        <v>794528.84999999497</v>
      </c>
      <c r="GN60" s="14">
        <f t="shared" si="79"/>
        <v>794528.84999999497</v>
      </c>
      <c r="GO60" s="14">
        <f t="shared" si="79"/>
        <v>794528.84999999497</v>
      </c>
      <c r="GP60" s="14">
        <f t="shared" si="79"/>
        <v>794528.84999999497</v>
      </c>
      <c r="GQ60" s="14">
        <f t="shared" si="79"/>
        <v>794528.84999999497</v>
      </c>
      <c r="GR60" s="14">
        <f t="shared" si="79"/>
        <v>794528.84999999497</v>
      </c>
      <c r="GS60" s="14">
        <f t="shared" si="79"/>
        <v>794528.84999999497</v>
      </c>
      <c r="GT60" s="14">
        <f t="shared" si="79"/>
        <v>794528.84999999497</v>
      </c>
      <c r="GU60" s="112">
        <f t="shared" si="79"/>
        <v>794528.84999999497</v>
      </c>
      <c r="GV60" s="14">
        <f t="shared" si="79"/>
        <v>794528.84999999497</v>
      </c>
      <c r="GW60" s="14">
        <f t="shared" si="79"/>
        <v>794528.84999999497</v>
      </c>
      <c r="GX60" s="14">
        <f t="shared" si="79"/>
        <v>794528.84999999497</v>
      </c>
      <c r="GY60" s="14">
        <f t="shared" si="79"/>
        <v>794528.84999999497</v>
      </c>
      <c r="GZ60" s="14">
        <f t="shared" si="79"/>
        <v>794528.84999999497</v>
      </c>
      <c r="HA60" s="14">
        <f t="shared" si="79"/>
        <v>794528.84999999497</v>
      </c>
      <c r="HB60" s="14">
        <f t="shared" si="79"/>
        <v>794528.84999999497</v>
      </c>
      <c r="HC60" s="14">
        <f t="shared" si="79"/>
        <v>794528.84999999497</v>
      </c>
      <c r="HD60" s="39">
        <f>+HC60+1386.8</f>
        <v>795915.64999999502</v>
      </c>
      <c r="HE60" s="14">
        <f>+HD60</f>
        <v>795915.64999999502</v>
      </c>
      <c r="HF60" s="14">
        <f>+HE60</f>
        <v>795915.64999999502</v>
      </c>
      <c r="HG60" s="14">
        <f t="shared" ref="HG60:IT60" si="80">+HF60</f>
        <v>795915.64999999502</v>
      </c>
      <c r="HH60" s="14">
        <f t="shared" si="80"/>
        <v>795915.64999999502</v>
      </c>
      <c r="HI60" s="14">
        <f t="shared" si="80"/>
        <v>795915.64999999502</v>
      </c>
      <c r="HJ60" s="14">
        <f t="shared" si="80"/>
        <v>795915.64999999502</v>
      </c>
      <c r="HK60" s="14">
        <f t="shared" si="80"/>
        <v>795915.64999999502</v>
      </c>
      <c r="HL60" s="14">
        <f t="shared" si="80"/>
        <v>795915.64999999502</v>
      </c>
      <c r="HM60" s="14">
        <f t="shared" si="80"/>
        <v>795915.64999999502</v>
      </c>
      <c r="HN60" s="136">
        <f t="shared" si="80"/>
        <v>795915.64999999502</v>
      </c>
      <c r="HO60" s="80">
        <f t="shared" si="80"/>
        <v>795915.64999999502</v>
      </c>
      <c r="HP60" s="14">
        <f t="shared" si="80"/>
        <v>795915.64999999502</v>
      </c>
      <c r="HQ60" s="14">
        <f t="shared" si="80"/>
        <v>795915.64999999502</v>
      </c>
      <c r="HR60" s="14">
        <f t="shared" si="80"/>
        <v>795915.64999999502</v>
      </c>
      <c r="HS60" s="14">
        <f t="shared" si="80"/>
        <v>795915.64999999502</v>
      </c>
      <c r="HT60" s="14">
        <f t="shared" si="80"/>
        <v>795915.64999999502</v>
      </c>
      <c r="HU60" s="14">
        <f t="shared" si="80"/>
        <v>795915.64999999502</v>
      </c>
      <c r="HV60" s="14">
        <f t="shared" si="80"/>
        <v>795915.64999999502</v>
      </c>
      <c r="HW60" s="14">
        <f t="shared" si="80"/>
        <v>795915.64999999502</v>
      </c>
      <c r="HX60" s="14">
        <f t="shared" si="80"/>
        <v>795915.64999999502</v>
      </c>
      <c r="HY60" s="14">
        <f t="shared" si="80"/>
        <v>795915.64999999502</v>
      </c>
      <c r="HZ60" s="39">
        <f>+HY60+1208.05</f>
        <v>797123.69999999506</v>
      </c>
      <c r="IA60" s="14">
        <f t="shared" si="80"/>
        <v>797123.69999999506</v>
      </c>
      <c r="IB60" s="14">
        <f t="shared" si="80"/>
        <v>797123.69999999506</v>
      </c>
      <c r="IC60" s="14">
        <f t="shared" si="80"/>
        <v>797123.69999999506</v>
      </c>
      <c r="ID60" s="14">
        <f t="shared" si="80"/>
        <v>797123.69999999506</v>
      </c>
      <c r="IE60" s="14">
        <f t="shared" si="80"/>
        <v>797123.69999999506</v>
      </c>
      <c r="IF60" s="14">
        <f t="shared" si="80"/>
        <v>797123.69999999506</v>
      </c>
      <c r="IG60" s="14">
        <f>+IF60+25000000</f>
        <v>25797123.699999996</v>
      </c>
      <c r="IH60" s="112">
        <f t="shared" si="80"/>
        <v>25797123.699999996</v>
      </c>
      <c r="II60" s="14">
        <f t="shared" si="80"/>
        <v>25797123.699999996</v>
      </c>
      <c r="IJ60" s="14">
        <f t="shared" si="80"/>
        <v>25797123.699999996</v>
      </c>
      <c r="IK60" s="14">
        <f t="shared" si="80"/>
        <v>25797123.699999996</v>
      </c>
      <c r="IL60" s="14">
        <f>+IK60+15000000</f>
        <v>40797123.699999996</v>
      </c>
      <c r="IM60" s="14">
        <f t="shared" si="80"/>
        <v>40797123.699999996</v>
      </c>
      <c r="IN60" s="14">
        <f t="shared" si="80"/>
        <v>40797123.699999996</v>
      </c>
      <c r="IO60" s="14">
        <f t="shared" si="80"/>
        <v>40797123.699999996</v>
      </c>
      <c r="IP60" s="14">
        <f t="shared" si="80"/>
        <v>40797123.699999996</v>
      </c>
      <c r="IQ60" s="14">
        <f t="shared" si="80"/>
        <v>40797123.699999996</v>
      </c>
      <c r="IR60" s="14">
        <f t="shared" si="80"/>
        <v>40797123.699999996</v>
      </c>
      <c r="IS60" s="14">
        <f t="shared" si="80"/>
        <v>40797123.699999996</v>
      </c>
      <c r="IT60" s="39">
        <f t="shared" si="80"/>
        <v>40797123.699999996</v>
      </c>
      <c r="IU60" s="14"/>
    </row>
    <row r="61" spans="1:256" s="8" customFormat="1" ht="14.1" customHeight="1">
      <c r="A61" s="14" t="s">
        <v>20</v>
      </c>
      <c r="B61" s="22"/>
      <c r="C61" s="41">
        <v>30380.63</v>
      </c>
      <c r="D61" s="23">
        <f>C61-D25</f>
        <v>30380.63</v>
      </c>
      <c r="E61" s="23">
        <f>D61-E25</f>
        <v>30380.63</v>
      </c>
      <c r="F61" s="23">
        <f>E61-F25</f>
        <v>30380.63</v>
      </c>
      <c r="G61" s="23">
        <f>F61-G25</f>
        <v>30380.63</v>
      </c>
      <c r="H61" s="23">
        <f>G61-H25+50000000+50000000</f>
        <v>50030380.630000003</v>
      </c>
      <c r="I61" s="23">
        <f t="shared" ref="I61:V61" si="81">H61-I25</f>
        <v>50030380.630000003</v>
      </c>
      <c r="J61" s="23">
        <f t="shared" si="81"/>
        <v>50030380.630000003</v>
      </c>
      <c r="K61" s="23">
        <f t="shared" si="81"/>
        <v>50030380.630000003</v>
      </c>
      <c r="L61" s="23">
        <f t="shared" si="81"/>
        <v>50030380.630000003</v>
      </c>
      <c r="M61" s="23">
        <f t="shared" si="81"/>
        <v>50030380.630000003</v>
      </c>
      <c r="N61" s="23">
        <f t="shared" si="81"/>
        <v>50030380.630000003</v>
      </c>
      <c r="O61" s="23">
        <f t="shared" si="81"/>
        <v>50030380.630000003</v>
      </c>
      <c r="P61" s="23">
        <f t="shared" si="81"/>
        <v>50030380.630000003</v>
      </c>
      <c r="Q61" s="23">
        <f t="shared" si="81"/>
        <v>50030380.630000003</v>
      </c>
      <c r="R61" s="23">
        <f t="shared" si="81"/>
        <v>50030380.630000003</v>
      </c>
      <c r="S61" s="23">
        <f t="shared" si="81"/>
        <v>50030380.630000003</v>
      </c>
      <c r="T61" s="23">
        <f t="shared" si="81"/>
        <v>50030380.630000003</v>
      </c>
      <c r="U61" s="23">
        <f t="shared" si="81"/>
        <v>50030380.630000003</v>
      </c>
      <c r="V61" s="23">
        <f t="shared" si="81"/>
        <v>50030380.630000003</v>
      </c>
      <c r="W61" s="41">
        <f>V61-W25+109339.13</f>
        <v>50139719.760000005</v>
      </c>
      <c r="X61" s="23">
        <f t="shared" ref="X61:AQ61" si="82">W61-X25</f>
        <v>50139719.760000005</v>
      </c>
      <c r="Y61" s="23">
        <f t="shared" si="82"/>
        <v>50139719.760000005</v>
      </c>
      <c r="Z61" s="23">
        <f t="shared" si="82"/>
        <v>50139719.760000005</v>
      </c>
      <c r="AA61" s="23">
        <f t="shared" si="82"/>
        <v>50139719.760000005</v>
      </c>
      <c r="AB61" s="23">
        <f t="shared" si="82"/>
        <v>50139719.760000005</v>
      </c>
      <c r="AC61" s="23">
        <f t="shared" si="82"/>
        <v>50139719.760000005</v>
      </c>
      <c r="AD61" s="23">
        <f t="shared" si="82"/>
        <v>50139719.760000005</v>
      </c>
      <c r="AE61" s="23">
        <f t="shared" si="82"/>
        <v>50139719.760000005</v>
      </c>
      <c r="AF61" s="23">
        <f t="shared" si="82"/>
        <v>50139719.760000005</v>
      </c>
      <c r="AG61" s="23">
        <f t="shared" si="82"/>
        <v>50139719.760000005</v>
      </c>
      <c r="AH61" s="23">
        <f t="shared" si="82"/>
        <v>50139719.760000005</v>
      </c>
      <c r="AI61" s="23">
        <f t="shared" si="82"/>
        <v>50139719.760000005</v>
      </c>
      <c r="AJ61" s="23">
        <f t="shared" si="82"/>
        <v>50139719.760000005</v>
      </c>
      <c r="AK61" s="23">
        <f t="shared" si="82"/>
        <v>50139719.760000005</v>
      </c>
      <c r="AL61" s="23">
        <f t="shared" si="82"/>
        <v>50139719.760000005</v>
      </c>
      <c r="AM61" s="23">
        <f t="shared" si="82"/>
        <v>50139719.760000005</v>
      </c>
      <c r="AN61" s="23">
        <f t="shared" si="82"/>
        <v>50139719.760000005</v>
      </c>
      <c r="AO61" s="23">
        <f t="shared" si="82"/>
        <v>50139719.760000005</v>
      </c>
      <c r="AP61" s="23">
        <f t="shared" si="82"/>
        <v>50139719.760000005</v>
      </c>
      <c r="AQ61" s="23">
        <f t="shared" si="82"/>
        <v>50139719.760000005</v>
      </c>
      <c r="AR61" s="41">
        <f>AQ61-AR25+132757.7</f>
        <v>50272477.460000008</v>
      </c>
      <c r="AS61" s="23">
        <f t="shared" ref="AS61:BM61" si="83">AR61-AS25</f>
        <v>50272477.460000008</v>
      </c>
      <c r="AT61" s="23">
        <f t="shared" si="83"/>
        <v>50272477.460000008</v>
      </c>
      <c r="AU61" s="23">
        <f t="shared" si="83"/>
        <v>50272477.460000008</v>
      </c>
      <c r="AV61" s="23">
        <f t="shared" si="83"/>
        <v>50272477.460000008</v>
      </c>
      <c r="AW61" s="23">
        <f t="shared" si="83"/>
        <v>50272477.460000008</v>
      </c>
      <c r="AX61" s="23">
        <f t="shared" si="83"/>
        <v>50272477.460000008</v>
      </c>
      <c r="AY61" s="23">
        <f t="shared" si="83"/>
        <v>50272477.460000008</v>
      </c>
      <c r="AZ61" s="23">
        <f t="shared" si="83"/>
        <v>50272477.460000008</v>
      </c>
      <c r="BA61" s="23">
        <f t="shared" si="83"/>
        <v>50272477.460000008</v>
      </c>
      <c r="BB61" s="23">
        <f t="shared" si="83"/>
        <v>50272477.460000008</v>
      </c>
      <c r="BC61" s="23">
        <f t="shared" si="83"/>
        <v>50272477.460000008</v>
      </c>
      <c r="BD61" s="23">
        <f t="shared" si="83"/>
        <v>50272477.460000008</v>
      </c>
      <c r="BE61" s="23">
        <f t="shared" si="83"/>
        <v>50272477.460000008</v>
      </c>
      <c r="BF61" s="23">
        <f t="shared" si="83"/>
        <v>50272477.460000008</v>
      </c>
      <c r="BG61" s="23">
        <f t="shared" si="83"/>
        <v>50272477.460000008</v>
      </c>
      <c r="BH61" s="23">
        <f t="shared" si="83"/>
        <v>50272477.460000008</v>
      </c>
      <c r="BI61" s="23">
        <f t="shared" si="83"/>
        <v>50272477.460000008</v>
      </c>
      <c r="BJ61" s="23">
        <f t="shared" si="83"/>
        <v>50272477.460000008</v>
      </c>
      <c r="BK61" s="23">
        <f t="shared" si="83"/>
        <v>50272477.460000008</v>
      </c>
      <c r="BL61" s="23">
        <f t="shared" si="83"/>
        <v>50272477.460000008</v>
      </c>
      <c r="BM61" s="23">
        <f t="shared" si="83"/>
        <v>50272477.460000008</v>
      </c>
      <c r="BN61" s="41">
        <f>BM61-BN25+106957.05</f>
        <v>50379434.510000005</v>
      </c>
      <c r="BO61" s="23">
        <f t="shared" ref="BO61:CH61" si="84">BN61-BO25</f>
        <v>50379434.510000005</v>
      </c>
      <c r="BP61" s="23">
        <f t="shared" si="84"/>
        <v>50379434.510000005</v>
      </c>
      <c r="BQ61" s="23">
        <f t="shared" si="84"/>
        <v>50379434.510000005</v>
      </c>
      <c r="BR61" s="23">
        <f t="shared" si="84"/>
        <v>50379434.510000005</v>
      </c>
      <c r="BS61" s="23">
        <f t="shared" si="84"/>
        <v>50379434.510000005</v>
      </c>
      <c r="BT61" s="23">
        <f t="shared" si="84"/>
        <v>50379434.510000005</v>
      </c>
      <c r="BU61" s="23">
        <f t="shared" si="84"/>
        <v>50379434.510000005</v>
      </c>
      <c r="BV61" s="23">
        <f t="shared" si="84"/>
        <v>35379434.510000005</v>
      </c>
      <c r="BW61" s="23">
        <f t="shared" si="84"/>
        <v>35379434.510000005</v>
      </c>
      <c r="BX61" s="23">
        <f t="shared" si="84"/>
        <v>35379434.510000005</v>
      </c>
      <c r="BY61" s="23">
        <f t="shared" si="84"/>
        <v>35379434.510000005</v>
      </c>
      <c r="BZ61" s="23">
        <f t="shared" si="84"/>
        <v>35379434.510000005</v>
      </c>
      <c r="CA61" s="23">
        <f t="shared" si="84"/>
        <v>35379434.510000005</v>
      </c>
      <c r="CB61" s="23">
        <f t="shared" si="84"/>
        <v>35379434.510000005</v>
      </c>
      <c r="CC61" s="23">
        <f t="shared" si="84"/>
        <v>35379434.510000005</v>
      </c>
      <c r="CD61" s="23">
        <f t="shared" si="84"/>
        <v>35379434.510000005</v>
      </c>
      <c r="CE61" s="23">
        <f t="shared" si="84"/>
        <v>35379434.510000005</v>
      </c>
      <c r="CF61" s="23">
        <f t="shared" si="84"/>
        <v>35379434.510000005</v>
      </c>
      <c r="CG61" s="23">
        <f t="shared" si="84"/>
        <v>35379434.510000005</v>
      </c>
      <c r="CH61" s="23">
        <f t="shared" si="84"/>
        <v>35379434.510000005</v>
      </c>
      <c r="CI61" s="41">
        <f>CH61-CI25+82838.42</f>
        <v>35462272.930000007</v>
      </c>
      <c r="CJ61" s="23">
        <f t="shared" ref="CJ61:DC61" si="85">CI61-CJ25</f>
        <v>35462272.930000007</v>
      </c>
      <c r="CK61" s="23">
        <f t="shared" si="85"/>
        <v>35462272.930000007</v>
      </c>
      <c r="CL61" s="23">
        <f t="shared" si="85"/>
        <v>35462272.930000007</v>
      </c>
      <c r="CM61" s="23">
        <f t="shared" si="85"/>
        <v>35462272.930000007</v>
      </c>
      <c r="CN61" s="23">
        <f t="shared" si="85"/>
        <v>25462272.930000007</v>
      </c>
      <c r="CO61" s="23">
        <f t="shared" si="85"/>
        <v>25462272.930000007</v>
      </c>
      <c r="CP61" s="23">
        <f t="shared" si="85"/>
        <v>25462272.930000007</v>
      </c>
      <c r="CQ61" s="23">
        <f t="shared" si="85"/>
        <v>25462272.930000007</v>
      </c>
      <c r="CR61" s="23">
        <f t="shared" si="85"/>
        <v>25462272.930000007</v>
      </c>
      <c r="CS61" s="23">
        <f t="shared" si="85"/>
        <v>20462272.930000007</v>
      </c>
      <c r="CT61" s="23">
        <f t="shared" si="85"/>
        <v>20462272.930000007</v>
      </c>
      <c r="CU61" s="23">
        <f t="shared" si="85"/>
        <v>20462272.930000007</v>
      </c>
      <c r="CV61" s="23">
        <f t="shared" si="85"/>
        <v>20462272.930000007</v>
      </c>
      <c r="CW61" s="23">
        <f t="shared" si="85"/>
        <v>20462272.930000007</v>
      </c>
      <c r="CX61" s="23">
        <f t="shared" si="85"/>
        <v>20462272.930000007</v>
      </c>
      <c r="CY61" s="23">
        <f t="shared" si="85"/>
        <v>20462272.930000007</v>
      </c>
      <c r="CZ61" s="23">
        <f t="shared" si="85"/>
        <v>20462272.930000007</v>
      </c>
      <c r="DA61" s="23">
        <f t="shared" si="85"/>
        <v>20462272.930000007</v>
      </c>
      <c r="DB61" s="23">
        <f t="shared" si="85"/>
        <v>20462272.930000007</v>
      </c>
      <c r="DC61" s="23">
        <f t="shared" si="85"/>
        <v>20462272.930000007</v>
      </c>
      <c r="DD61" s="41">
        <f>DC61-DD25+46861.45</f>
        <v>20509134.380000006</v>
      </c>
      <c r="DE61" s="94">
        <f t="shared" ref="DE61:DY61" si="86">DD61-DE25</f>
        <v>20509134.380000006</v>
      </c>
      <c r="DF61" s="23">
        <f t="shared" si="86"/>
        <v>20509134.380000006</v>
      </c>
      <c r="DG61" s="23">
        <f t="shared" si="86"/>
        <v>20509134.380000006</v>
      </c>
      <c r="DH61" s="23">
        <f t="shared" si="86"/>
        <v>20509134.380000006</v>
      </c>
      <c r="DI61" s="23">
        <f t="shared" si="86"/>
        <v>20509134.380000006</v>
      </c>
      <c r="DJ61" s="23">
        <f t="shared" si="86"/>
        <v>20509134.380000006</v>
      </c>
      <c r="DK61" s="23">
        <f t="shared" si="86"/>
        <v>20509134.380000006</v>
      </c>
      <c r="DL61" s="23">
        <f t="shared" si="86"/>
        <v>20509134.380000006</v>
      </c>
      <c r="DM61" s="23">
        <f t="shared" si="86"/>
        <v>10509134.380000006</v>
      </c>
      <c r="DN61" s="23">
        <f t="shared" si="86"/>
        <v>10509134.380000006</v>
      </c>
      <c r="DO61" s="23">
        <f t="shared" si="86"/>
        <v>509134.38000000641</v>
      </c>
      <c r="DP61" s="23">
        <f t="shared" si="86"/>
        <v>509134.38000000641</v>
      </c>
      <c r="DQ61" s="23">
        <f t="shared" si="86"/>
        <v>509134.38000000641</v>
      </c>
      <c r="DR61" s="94">
        <f t="shared" si="86"/>
        <v>509134.38000000641</v>
      </c>
      <c r="DS61" s="23">
        <f t="shared" si="86"/>
        <v>509134.38000000641</v>
      </c>
      <c r="DT61" s="23">
        <f t="shared" si="86"/>
        <v>509134.38000000641</v>
      </c>
      <c r="DU61" s="23">
        <f t="shared" si="86"/>
        <v>509134.38000000641</v>
      </c>
      <c r="DV61" s="23">
        <f t="shared" si="86"/>
        <v>509134.38000000641</v>
      </c>
      <c r="DW61" s="23">
        <f t="shared" si="86"/>
        <v>509134.38000000641</v>
      </c>
      <c r="DX61" s="23">
        <f t="shared" si="86"/>
        <v>509134.38000000641</v>
      </c>
      <c r="DY61" s="23">
        <f t="shared" si="86"/>
        <v>509134.38000000641</v>
      </c>
      <c r="DZ61" s="41">
        <f>DY61-DZ25+19445.57</f>
        <v>528579.95000000636</v>
      </c>
      <c r="EA61" s="23">
        <f t="shared" ref="EA61:ET61" si="87">DZ61-EA25</f>
        <v>528579.95000000636</v>
      </c>
      <c r="EB61" s="23">
        <f t="shared" si="87"/>
        <v>528579.95000000636</v>
      </c>
      <c r="EC61" s="23">
        <f t="shared" si="87"/>
        <v>528579.95000000636</v>
      </c>
      <c r="ED61" s="23">
        <f t="shared" si="87"/>
        <v>528579.95000000636</v>
      </c>
      <c r="EE61" s="23">
        <f t="shared" si="87"/>
        <v>528579.95000000636</v>
      </c>
      <c r="EF61" s="23">
        <f t="shared" si="87"/>
        <v>528579.95000000636</v>
      </c>
      <c r="EG61" s="28">
        <f t="shared" si="87"/>
        <v>528579.95000000636</v>
      </c>
      <c r="EH61" s="23">
        <f t="shared" si="87"/>
        <v>528579.95000000636</v>
      </c>
      <c r="EI61" s="23">
        <f t="shared" si="87"/>
        <v>528579.95000000636</v>
      </c>
      <c r="EJ61" s="23">
        <f t="shared" si="87"/>
        <v>528579.95000000636</v>
      </c>
      <c r="EK61" s="81">
        <f t="shared" si="87"/>
        <v>528579.95000000636</v>
      </c>
      <c r="EL61" s="23">
        <f t="shared" si="87"/>
        <v>528579.95000000636</v>
      </c>
      <c r="EM61" s="23">
        <f t="shared" si="87"/>
        <v>528579.95000000636</v>
      </c>
      <c r="EN61" s="23">
        <f t="shared" si="87"/>
        <v>528579.95000000636</v>
      </c>
      <c r="EO61" s="23">
        <f t="shared" si="87"/>
        <v>528579.95000000636</v>
      </c>
      <c r="EP61" s="23">
        <f t="shared" si="87"/>
        <v>528579.95000000636</v>
      </c>
      <c r="EQ61" s="23">
        <f t="shared" si="87"/>
        <v>528579.95000000636</v>
      </c>
      <c r="ER61" s="23">
        <f t="shared" si="87"/>
        <v>528579.95000000636</v>
      </c>
      <c r="ES61" s="23">
        <f t="shared" si="87"/>
        <v>528579.95000000636</v>
      </c>
      <c r="ET61" s="23">
        <f t="shared" si="87"/>
        <v>528579.95000000636</v>
      </c>
      <c r="EU61" s="41">
        <f>ET61-EU25+1077.97</f>
        <v>529657.92000000633</v>
      </c>
      <c r="EV61" s="23">
        <f t="shared" ref="EV61:FE61" si="88">EU61-EV25</f>
        <v>529657.92000000633</v>
      </c>
      <c r="EW61" s="23">
        <f t="shared" si="88"/>
        <v>529657.92000000633</v>
      </c>
      <c r="EX61" s="23">
        <f t="shared" si="88"/>
        <v>529657.92000000633</v>
      </c>
      <c r="EY61" s="23">
        <f t="shared" si="88"/>
        <v>529657.92000000633</v>
      </c>
      <c r="EZ61" s="23">
        <f t="shared" si="88"/>
        <v>529657.92000000633</v>
      </c>
      <c r="FA61" s="23">
        <f t="shared" si="88"/>
        <v>529657.92000000633</v>
      </c>
      <c r="FB61" s="23">
        <f t="shared" si="88"/>
        <v>529657.92000000633</v>
      </c>
      <c r="FC61" s="23">
        <f t="shared" si="88"/>
        <v>529657.92000000633</v>
      </c>
      <c r="FD61" s="23">
        <f t="shared" si="88"/>
        <v>529657.92000000633</v>
      </c>
      <c r="FE61" s="23">
        <f t="shared" si="88"/>
        <v>529657.92000000633</v>
      </c>
      <c r="FF61" s="23">
        <f>FE61-FF25+686.05-3983.51</f>
        <v>526360.46000000637</v>
      </c>
      <c r="FG61" s="23">
        <f t="shared" ref="FG61:FO61" si="89">FF61-FG25</f>
        <v>526360.46000000637</v>
      </c>
      <c r="FH61" s="23">
        <f t="shared" si="89"/>
        <v>526360.46000000637</v>
      </c>
      <c r="FI61" s="23">
        <f t="shared" si="89"/>
        <v>526360.46000000637</v>
      </c>
      <c r="FJ61" s="23">
        <f t="shared" si="89"/>
        <v>526360.46000000637</v>
      </c>
      <c r="FK61" s="23">
        <f t="shared" si="89"/>
        <v>526360.46000000637</v>
      </c>
      <c r="FL61" s="81">
        <f t="shared" si="89"/>
        <v>526360.46000000637</v>
      </c>
      <c r="FM61" s="23">
        <f t="shared" si="89"/>
        <v>526360.46000000637</v>
      </c>
      <c r="FN61" s="23">
        <f t="shared" si="89"/>
        <v>526360.46000000637</v>
      </c>
      <c r="FO61" s="23">
        <f t="shared" si="89"/>
        <v>526360.46000000637</v>
      </c>
      <c r="FP61" s="41">
        <f>FO61-FP25+1036</f>
        <v>527396.46000000637</v>
      </c>
      <c r="FQ61" s="23">
        <f>FP61-FQ25</f>
        <v>527396.46000000637</v>
      </c>
      <c r="FR61" s="23">
        <f>FQ61-FR25</f>
        <v>527396.46000000637</v>
      </c>
      <c r="FS61" s="23">
        <f>FR61-FS25</f>
        <v>527396.46000000637</v>
      </c>
      <c r="FT61" s="23">
        <f>FS61-FT25</f>
        <v>527396.46000000637</v>
      </c>
      <c r="FU61" s="23">
        <f>FT61-FU25-686.05+3983.51</f>
        <v>530693.92000000633</v>
      </c>
      <c r="FV61" s="23">
        <f t="shared" ref="FV61:GK61" si="90">FU61-FV25</f>
        <v>530693.92000000633</v>
      </c>
      <c r="FW61" s="23">
        <f t="shared" si="90"/>
        <v>530693.92000000633</v>
      </c>
      <c r="FX61" s="23">
        <f t="shared" si="90"/>
        <v>530693.92000000633</v>
      </c>
      <c r="FY61" s="23">
        <f t="shared" si="90"/>
        <v>530693.92000000633</v>
      </c>
      <c r="FZ61" s="113">
        <f t="shared" si="90"/>
        <v>530693.92000000633</v>
      </c>
      <c r="GA61" s="23">
        <f t="shared" si="90"/>
        <v>530693.92000000633</v>
      </c>
      <c r="GB61" s="23">
        <f t="shared" si="90"/>
        <v>530693.92000000633</v>
      </c>
      <c r="GC61" s="23">
        <f t="shared" si="90"/>
        <v>530693.92000000633</v>
      </c>
      <c r="GD61" s="23">
        <f t="shared" si="90"/>
        <v>530693.92000000633</v>
      </c>
      <c r="GE61" s="23">
        <f t="shared" si="90"/>
        <v>530693.92000000633</v>
      </c>
      <c r="GF61" s="23">
        <f t="shared" si="90"/>
        <v>530693.92000000633</v>
      </c>
      <c r="GG61" s="23">
        <f t="shared" si="90"/>
        <v>530693.92000000633</v>
      </c>
      <c r="GH61" s="23">
        <f t="shared" si="90"/>
        <v>530693.92000000633</v>
      </c>
      <c r="GI61" s="23">
        <f t="shared" si="90"/>
        <v>530693.92000000633</v>
      </c>
      <c r="GJ61" s="23">
        <f t="shared" si="90"/>
        <v>530693.92000000633</v>
      </c>
      <c r="GK61" s="23">
        <f t="shared" si="90"/>
        <v>530693.92000000633</v>
      </c>
      <c r="GL61" s="41">
        <f>GK61-GL25+918.65</f>
        <v>531612.57000000635</v>
      </c>
      <c r="GM61" s="23">
        <f t="shared" ref="GM61:HC61" si="91">GL61-GM25</f>
        <v>531612.57000000635</v>
      </c>
      <c r="GN61" s="23">
        <f t="shared" si="91"/>
        <v>531612.57000000635</v>
      </c>
      <c r="GO61" s="23">
        <f t="shared" si="91"/>
        <v>531612.57000000635</v>
      </c>
      <c r="GP61" s="23">
        <f t="shared" si="91"/>
        <v>531612.57000000635</v>
      </c>
      <c r="GQ61" s="23">
        <f t="shared" si="91"/>
        <v>531612.57000000635</v>
      </c>
      <c r="GR61" s="23">
        <f t="shared" si="91"/>
        <v>531612.57000000635</v>
      </c>
      <c r="GS61" s="23">
        <f t="shared" si="91"/>
        <v>531612.57000000635</v>
      </c>
      <c r="GT61" s="23">
        <f t="shared" si="91"/>
        <v>531612.57000000635</v>
      </c>
      <c r="GU61" s="113">
        <f t="shared" si="91"/>
        <v>531612.57000000635</v>
      </c>
      <c r="GV61" s="23">
        <f t="shared" si="91"/>
        <v>531612.57000000635</v>
      </c>
      <c r="GW61" s="23">
        <f t="shared" si="91"/>
        <v>531612.57000000635</v>
      </c>
      <c r="GX61" s="23">
        <f t="shared" si="91"/>
        <v>531612.57000000635</v>
      </c>
      <c r="GY61" s="23">
        <f t="shared" si="91"/>
        <v>531612.57000000635</v>
      </c>
      <c r="GZ61" s="23">
        <f t="shared" si="91"/>
        <v>531612.57000000635</v>
      </c>
      <c r="HA61" s="23">
        <f t="shared" si="91"/>
        <v>531612.57000000635</v>
      </c>
      <c r="HB61" s="23">
        <f t="shared" si="91"/>
        <v>531612.57000000635</v>
      </c>
      <c r="HC61" s="23">
        <f t="shared" si="91"/>
        <v>531612.57000000635</v>
      </c>
      <c r="HD61" s="41">
        <f>HC61-HD25+739.44</f>
        <v>532352.0100000063</v>
      </c>
      <c r="HE61" s="23">
        <f t="shared" ref="HE61:HY61" si="92">HD61-HE25</f>
        <v>532352.0100000063</v>
      </c>
      <c r="HF61" s="23">
        <f t="shared" si="92"/>
        <v>532352.0100000063</v>
      </c>
      <c r="HG61" s="23">
        <f t="shared" si="92"/>
        <v>532352.0100000063</v>
      </c>
      <c r="HH61" s="23">
        <f t="shared" si="92"/>
        <v>532352.0100000063</v>
      </c>
      <c r="HI61" s="23">
        <f t="shared" si="92"/>
        <v>532352.0100000063</v>
      </c>
      <c r="HJ61" s="23">
        <f t="shared" si="92"/>
        <v>532352.0100000063</v>
      </c>
      <c r="HK61" s="23">
        <f t="shared" si="92"/>
        <v>532352.0100000063</v>
      </c>
      <c r="HL61" s="23">
        <f t="shared" si="92"/>
        <v>532352.0100000063</v>
      </c>
      <c r="HM61" s="23">
        <f t="shared" si="92"/>
        <v>532352.0100000063</v>
      </c>
      <c r="HN61" s="137">
        <f t="shared" si="92"/>
        <v>532352.0100000063</v>
      </c>
      <c r="HO61" s="81">
        <f t="shared" si="92"/>
        <v>532352.0100000063</v>
      </c>
      <c r="HP61" s="23">
        <f t="shared" si="92"/>
        <v>532352.0100000063</v>
      </c>
      <c r="HQ61" s="23">
        <f t="shared" si="92"/>
        <v>532352.0100000063</v>
      </c>
      <c r="HR61" s="23">
        <f t="shared" si="92"/>
        <v>532352.0100000063</v>
      </c>
      <c r="HS61" s="23">
        <f t="shared" si="92"/>
        <v>532352.0100000063</v>
      </c>
      <c r="HT61" s="23">
        <f t="shared" si="92"/>
        <v>532352.0100000063</v>
      </c>
      <c r="HU61" s="23">
        <f t="shared" si="92"/>
        <v>532352.0100000063</v>
      </c>
      <c r="HV61" s="23">
        <f t="shared" si="92"/>
        <v>532352.0100000063</v>
      </c>
      <c r="HW61" s="23">
        <f t="shared" si="92"/>
        <v>532352.0100000063</v>
      </c>
      <c r="HX61" s="23">
        <f t="shared" si="92"/>
        <v>532352.0100000063</v>
      </c>
      <c r="HY61" s="23">
        <f t="shared" si="92"/>
        <v>532352.0100000063</v>
      </c>
      <c r="HZ61" s="41">
        <f>HY61-HZ25+619.63</f>
        <v>532971.6400000063</v>
      </c>
      <c r="IA61" s="23">
        <f t="shared" ref="IA61:IF61" si="93">HZ61-IA25</f>
        <v>532971.6400000063</v>
      </c>
      <c r="IB61" s="23">
        <f t="shared" si="93"/>
        <v>532971.6400000063</v>
      </c>
      <c r="IC61" s="23">
        <f t="shared" si="93"/>
        <v>532971.6400000063</v>
      </c>
      <c r="ID61" s="23">
        <f t="shared" si="93"/>
        <v>532971.6400000063</v>
      </c>
      <c r="IE61" s="23">
        <f t="shared" si="93"/>
        <v>532971.6400000063</v>
      </c>
      <c r="IF61" s="23">
        <f t="shared" si="93"/>
        <v>532971.6400000063</v>
      </c>
      <c r="IG61" s="23">
        <f>IF61-IG25+25000000</f>
        <v>25532971.640000008</v>
      </c>
      <c r="IH61" s="113">
        <f>IG61-IH25</f>
        <v>25532971.640000008</v>
      </c>
      <c r="II61" s="23">
        <f>IH61-II25</f>
        <v>25532971.640000008</v>
      </c>
      <c r="IJ61" s="23">
        <f>II61-IJ25</f>
        <v>25532971.640000008</v>
      </c>
      <c r="IK61" s="23">
        <f>IJ61-IK25</f>
        <v>25532971.640000008</v>
      </c>
      <c r="IL61" s="23">
        <f>IK61-IL25+10000000</f>
        <v>35532971.640000008</v>
      </c>
      <c r="IM61" s="23">
        <f t="shared" ref="IM61:IT61" si="94">IL61-IM25</f>
        <v>35532971.640000008</v>
      </c>
      <c r="IN61" s="23">
        <f t="shared" si="94"/>
        <v>35532971.640000008</v>
      </c>
      <c r="IO61" s="23">
        <f t="shared" si="94"/>
        <v>35532971.640000008</v>
      </c>
      <c r="IP61" s="23">
        <f t="shared" si="94"/>
        <v>35532971.640000008</v>
      </c>
      <c r="IQ61" s="23">
        <f t="shared" si="94"/>
        <v>35532971.640000008</v>
      </c>
      <c r="IR61" s="23">
        <f t="shared" si="94"/>
        <v>35532971.640000008</v>
      </c>
      <c r="IS61" s="23">
        <f t="shared" si="94"/>
        <v>35532971.640000008</v>
      </c>
      <c r="IT61" s="41">
        <f t="shared" si="94"/>
        <v>35532971.640000008</v>
      </c>
      <c r="IU61" s="23"/>
    </row>
    <row r="62" spans="1:256" s="8" customFormat="1" ht="14.1" customHeight="1">
      <c r="A62" s="9" t="s">
        <v>21</v>
      </c>
      <c r="B62" s="15"/>
      <c r="C62" s="40">
        <f t="shared" ref="C62:BN62" si="95">SUM(C55:C61)</f>
        <v>330479660.28999996</v>
      </c>
      <c r="D62" s="9">
        <f t="shared" si="95"/>
        <v>385479660.28999996</v>
      </c>
      <c r="E62" s="9">
        <f t="shared" si="95"/>
        <v>389279660.28999996</v>
      </c>
      <c r="F62" s="9">
        <f t="shared" si="95"/>
        <v>426279660.28999996</v>
      </c>
      <c r="G62" s="9">
        <f t="shared" si="95"/>
        <v>467479660.28999996</v>
      </c>
      <c r="H62" s="9">
        <f t="shared" si="95"/>
        <v>493279660.28999996</v>
      </c>
      <c r="I62" s="9">
        <f t="shared" si="95"/>
        <v>510579660.28999996</v>
      </c>
      <c r="J62" s="9">
        <f t="shared" si="95"/>
        <v>509779660.28999996</v>
      </c>
      <c r="K62" s="9">
        <f t="shared" si="95"/>
        <v>508779660.28999996</v>
      </c>
      <c r="L62" s="9">
        <f t="shared" si="95"/>
        <v>560479660.28999996</v>
      </c>
      <c r="M62" s="9">
        <f t="shared" si="95"/>
        <v>560079660.28999996</v>
      </c>
      <c r="N62" s="9">
        <f t="shared" si="95"/>
        <v>501179660.28999996</v>
      </c>
      <c r="O62" s="9">
        <f t="shared" si="95"/>
        <v>503479660.28999996</v>
      </c>
      <c r="P62" s="9">
        <f t="shared" si="95"/>
        <v>507879660.28999996</v>
      </c>
      <c r="Q62" s="9">
        <f t="shared" si="95"/>
        <v>501179660.28999996</v>
      </c>
      <c r="R62" s="9">
        <f t="shared" si="95"/>
        <v>506279660.28999996</v>
      </c>
      <c r="S62" s="9">
        <f t="shared" si="95"/>
        <v>500679660.28999996</v>
      </c>
      <c r="T62" s="9">
        <f t="shared" si="95"/>
        <v>500879660.28999996</v>
      </c>
      <c r="U62" s="9">
        <f t="shared" si="95"/>
        <v>504179660.28999996</v>
      </c>
      <c r="V62" s="9">
        <f t="shared" si="95"/>
        <v>507179660.28999996</v>
      </c>
      <c r="W62" s="40">
        <f t="shared" si="95"/>
        <v>509472124.22999996</v>
      </c>
      <c r="X62" s="9">
        <f t="shared" si="95"/>
        <v>511372124.22999996</v>
      </c>
      <c r="Y62" s="9">
        <f t="shared" si="95"/>
        <v>519772124.22999996</v>
      </c>
      <c r="Z62" s="9">
        <f t="shared" si="95"/>
        <v>516572124.22999996</v>
      </c>
      <c r="AA62" s="9">
        <f t="shared" si="95"/>
        <v>502572124.22999996</v>
      </c>
      <c r="AB62" s="9">
        <f t="shared" si="95"/>
        <v>499572124.22999996</v>
      </c>
      <c r="AC62" s="9">
        <f t="shared" si="95"/>
        <v>496972124.22999996</v>
      </c>
      <c r="AD62" s="9">
        <f t="shared" si="95"/>
        <v>495272124.22999996</v>
      </c>
      <c r="AE62" s="9">
        <f t="shared" si="95"/>
        <v>494572124.22999996</v>
      </c>
      <c r="AF62" s="9">
        <f t="shared" si="95"/>
        <v>435672124.22999996</v>
      </c>
      <c r="AG62" s="9">
        <f t="shared" si="95"/>
        <v>426172124.22999996</v>
      </c>
      <c r="AH62" s="9">
        <f t="shared" si="95"/>
        <v>425872124.22999996</v>
      </c>
      <c r="AI62" s="9">
        <f t="shared" si="95"/>
        <v>425372124.22999996</v>
      </c>
      <c r="AJ62" s="9">
        <f t="shared" si="95"/>
        <v>423472124.22999996</v>
      </c>
      <c r="AK62" s="9">
        <f t="shared" si="95"/>
        <v>415472124.22999996</v>
      </c>
      <c r="AL62" s="9">
        <f t="shared" si="95"/>
        <v>415472124.22999996</v>
      </c>
      <c r="AM62" s="9">
        <f t="shared" si="95"/>
        <v>421172124.22999996</v>
      </c>
      <c r="AN62" s="9">
        <f t="shared" si="95"/>
        <v>427472124.22999996</v>
      </c>
      <c r="AO62" s="9">
        <f t="shared" si="95"/>
        <v>424772124.22999996</v>
      </c>
      <c r="AP62" s="9">
        <f t="shared" si="95"/>
        <v>427072124.22999996</v>
      </c>
      <c r="AQ62" s="9">
        <f t="shared" si="95"/>
        <v>425172124.22999996</v>
      </c>
      <c r="AR62" s="40">
        <f t="shared" si="95"/>
        <v>424579334.38999999</v>
      </c>
      <c r="AS62" s="9">
        <f t="shared" si="95"/>
        <v>423829334.38999999</v>
      </c>
      <c r="AT62" s="9">
        <f t="shared" si="95"/>
        <v>434329334.38999999</v>
      </c>
      <c r="AU62" s="9">
        <f t="shared" si="95"/>
        <v>436329334.38999999</v>
      </c>
      <c r="AV62" s="9">
        <f t="shared" si="95"/>
        <v>415629334.38999999</v>
      </c>
      <c r="AW62" s="9">
        <f t="shared" si="95"/>
        <v>415629334.38999999</v>
      </c>
      <c r="AX62" s="9">
        <f t="shared" si="95"/>
        <v>415629334.38999999</v>
      </c>
      <c r="AY62" s="9">
        <f t="shared" si="95"/>
        <v>414029334.38999999</v>
      </c>
      <c r="AZ62" s="9">
        <f t="shared" si="95"/>
        <v>414429334.38999999</v>
      </c>
      <c r="BA62" s="9">
        <f t="shared" si="95"/>
        <v>410329334.38999999</v>
      </c>
      <c r="BB62" s="9">
        <f t="shared" si="95"/>
        <v>412329334.38999999</v>
      </c>
      <c r="BC62" s="9">
        <f t="shared" si="95"/>
        <v>353529334.38999999</v>
      </c>
      <c r="BD62" s="9">
        <f t="shared" si="95"/>
        <v>337529334.38999999</v>
      </c>
      <c r="BE62" s="9">
        <f t="shared" si="95"/>
        <v>335329334.38999999</v>
      </c>
      <c r="BF62" s="9">
        <f t="shared" si="95"/>
        <v>331129334.38999999</v>
      </c>
      <c r="BG62" s="9">
        <f t="shared" si="95"/>
        <v>332429334.38999999</v>
      </c>
      <c r="BH62" s="9">
        <f t="shared" si="95"/>
        <v>331229334.38999999</v>
      </c>
      <c r="BI62" s="9">
        <f t="shared" si="95"/>
        <v>335629334.38999999</v>
      </c>
      <c r="BJ62" s="9">
        <f t="shared" si="95"/>
        <v>333829334.38999999</v>
      </c>
      <c r="BK62" s="9">
        <f t="shared" si="95"/>
        <v>338029334.38999999</v>
      </c>
      <c r="BL62" s="9">
        <f t="shared" si="95"/>
        <v>333529334.38999999</v>
      </c>
      <c r="BM62" s="9">
        <f t="shared" si="95"/>
        <v>334329334.38999999</v>
      </c>
      <c r="BN62" s="40">
        <f t="shared" si="95"/>
        <v>334242873.41999996</v>
      </c>
      <c r="BO62" s="9">
        <f t="shared" ref="BO62:DV62" si="96">SUM(BO55:BO61)</f>
        <v>333992873.41999996</v>
      </c>
      <c r="BP62" s="9">
        <f t="shared" si="96"/>
        <v>332592873.41999996</v>
      </c>
      <c r="BQ62" s="9">
        <f t="shared" si="96"/>
        <v>330692873.41999996</v>
      </c>
      <c r="BR62" s="9">
        <f t="shared" si="96"/>
        <v>316192873.41999996</v>
      </c>
      <c r="BS62" s="9">
        <f t="shared" si="96"/>
        <v>315692873.41999996</v>
      </c>
      <c r="BT62" s="9">
        <f t="shared" si="96"/>
        <v>315992873.41999996</v>
      </c>
      <c r="BU62" s="9">
        <f t="shared" si="96"/>
        <v>315992873.41999996</v>
      </c>
      <c r="BV62" s="9">
        <f t="shared" si="96"/>
        <v>310892873.41999996</v>
      </c>
      <c r="BW62" s="9">
        <f t="shared" si="96"/>
        <v>310492873.41999996</v>
      </c>
      <c r="BX62" s="9">
        <f t="shared" si="96"/>
        <v>310092873.41999996</v>
      </c>
      <c r="BY62" s="9">
        <f t="shared" si="96"/>
        <v>249192873.41999996</v>
      </c>
      <c r="BZ62" s="9">
        <f t="shared" si="96"/>
        <v>232692873.41999996</v>
      </c>
      <c r="CA62" s="9">
        <f t="shared" si="96"/>
        <v>226192873.41999996</v>
      </c>
      <c r="CB62" s="9">
        <f t="shared" si="96"/>
        <v>224992873.41999996</v>
      </c>
      <c r="CC62" s="9">
        <f t="shared" si="96"/>
        <v>222692873.41999996</v>
      </c>
      <c r="CD62" s="9">
        <f t="shared" si="96"/>
        <v>222192873.41999996</v>
      </c>
      <c r="CE62" s="9">
        <f t="shared" si="96"/>
        <v>221592873.41999996</v>
      </c>
      <c r="CF62" s="9">
        <f t="shared" si="96"/>
        <v>231192873.41999996</v>
      </c>
      <c r="CG62" s="9">
        <f t="shared" si="96"/>
        <v>229792873.41999996</v>
      </c>
      <c r="CH62" s="9">
        <f t="shared" si="96"/>
        <v>228642873.41999996</v>
      </c>
      <c r="CI62" s="40">
        <f t="shared" si="96"/>
        <v>225205949.82999995</v>
      </c>
      <c r="CJ62" s="9">
        <f t="shared" si="96"/>
        <v>224005949.82999995</v>
      </c>
      <c r="CK62" s="9">
        <f t="shared" si="96"/>
        <v>221005949.82999995</v>
      </c>
      <c r="CL62" s="9">
        <f t="shared" si="96"/>
        <v>227005949.82999995</v>
      </c>
      <c r="CM62" s="9">
        <f t="shared" si="96"/>
        <v>225005949.82999995</v>
      </c>
      <c r="CN62" s="9">
        <f t="shared" si="96"/>
        <v>210005949.82999995</v>
      </c>
      <c r="CO62" s="9">
        <f t="shared" si="96"/>
        <v>208605949.82999995</v>
      </c>
      <c r="CP62" s="9">
        <f t="shared" si="96"/>
        <v>206855949.82999995</v>
      </c>
      <c r="CQ62" s="9">
        <f t="shared" si="96"/>
        <v>206155949.82999995</v>
      </c>
      <c r="CR62" s="9">
        <f t="shared" si="96"/>
        <v>206655949.82999995</v>
      </c>
      <c r="CS62" s="9">
        <f t="shared" si="96"/>
        <v>144855949.82999995</v>
      </c>
      <c r="CT62" s="9">
        <f t="shared" si="96"/>
        <v>134255949.82999995</v>
      </c>
      <c r="CU62" s="9">
        <f t="shared" si="96"/>
        <v>132655949.82999995</v>
      </c>
      <c r="CV62" s="9">
        <f t="shared" si="96"/>
        <v>130055949.82999995</v>
      </c>
      <c r="CW62" s="9">
        <f t="shared" si="96"/>
        <v>128355949.82999995</v>
      </c>
      <c r="CX62" s="9">
        <f t="shared" si="96"/>
        <v>126055949.82999995</v>
      </c>
      <c r="CY62" s="9">
        <f t="shared" si="96"/>
        <v>123755949.82999995</v>
      </c>
      <c r="CZ62" s="9">
        <f t="shared" si="96"/>
        <v>124505949.82999995</v>
      </c>
      <c r="DA62" s="9">
        <f t="shared" si="96"/>
        <v>127505949.82999995</v>
      </c>
      <c r="DB62" s="9">
        <f t="shared" si="96"/>
        <v>128805949.82999995</v>
      </c>
      <c r="DC62" s="9">
        <f t="shared" si="96"/>
        <v>131405949.82999995</v>
      </c>
      <c r="DD62" s="40">
        <f t="shared" si="96"/>
        <v>130936460.41999997</v>
      </c>
      <c r="DE62" s="95">
        <f t="shared" si="96"/>
        <v>122736460.41999997</v>
      </c>
      <c r="DF62" s="9">
        <f t="shared" si="96"/>
        <v>121636460.41999997</v>
      </c>
      <c r="DG62" s="9">
        <f t="shared" si="96"/>
        <v>114836460.41999997</v>
      </c>
      <c r="DH62" s="9">
        <f t="shared" si="96"/>
        <v>113336460.41999997</v>
      </c>
      <c r="DI62" s="9">
        <f t="shared" si="96"/>
        <v>113836460.41999997</v>
      </c>
      <c r="DJ62" s="9">
        <f t="shared" si="96"/>
        <v>113636460.41999997</v>
      </c>
      <c r="DK62" s="9">
        <f t="shared" si="96"/>
        <v>114036460.41999997</v>
      </c>
      <c r="DL62" s="9">
        <f t="shared" si="96"/>
        <v>112036460.41999997</v>
      </c>
      <c r="DM62" s="9">
        <f t="shared" si="96"/>
        <v>111236460.41999997</v>
      </c>
      <c r="DN62" s="9">
        <f t="shared" si="96"/>
        <v>49236460.419999972</v>
      </c>
      <c r="DO62" s="9">
        <f t="shared" si="96"/>
        <v>37236460.419999972</v>
      </c>
      <c r="DP62" s="9">
        <f t="shared" si="96"/>
        <v>38636460.419999972</v>
      </c>
      <c r="DQ62" s="9">
        <f t="shared" si="96"/>
        <v>36736460.419999972</v>
      </c>
      <c r="DR62" s="95">
        <f t="shared" si="96"/>
        <v>37536460.419999972</v>
      </c>
      <c r="DS62" s="9">
        <f t="shared" si="96"/>
        <v>37536460.419999972</v>
      </c>
      <c r="DT62" s="9">
        <f t="shared" si="96"/>
        <v>36936460.419999972</v>
      </c>
      <c r="DU62" s="9">
        <f t="shared" si="96"/>
        <v>38136460.419999972</v>
      </c>
      <c r="DV62" s="9">
        <f t="shared" si="96"/>
        <v>40336460.419999972</v>
      </c>
      <c r="DW62" s="9">
        <f t="shared" ref="DW62:FB62" si="97">SUM(DW55:DW61)</f>
        <v>43336460.419999972</v>
      </c>
      <c r="DX62" s="9">
        <f t="shared" si="97"/>
        <v>50136460.419999972</v>
      </c>
      <c r="DY62" s="9">
        <f t="shared" si="97"/>
        <v>49536460.419999972</v>
      </c>
      <c r="DZ62" s="40">
        <f t="shared" si="97"/>
        <v>48292423.489999972</v>
      </c>
      <c r="EA62" s="9">
        <f t="shared" si="97"/>
        <v>46892423.489999972</v>
      </c>
      <c r="EB62" s="9">
        <f t="shared" si="97"/>
        <v>46592423.489999972</v>
      </c>
      <c r="EC62" s="9">
        <f t="shared" si="97"/>
        <v>41342423.489999972</v>
      </c>
      <c r="ED62" s="9">
        <f t="shared" si="97"/>
        <v>25942423.489999972</v>
      </c>
      <c r="EE62" s="9">
        <f t="shared" si="97"/>
        <v>25142423.489999972</v>
      </c>
      <c r="EF62" s="9">
        <f t="shared" si="97"/>
        <v>24042423.489999976</v>
      </c>
      <c r="EG62" s="29">
        <f t="shared" si="97"/>
        <v>150442423.49000004</v>
      </c>
      <c r="EH62" s="9">
        <f t="shared" si="97"/>
        <v>160442423.49000004</v>
      </c>
      <c r="EI62" s="9">
        <f t="shared" si="97"/>
        <v>159942423.49000004</v>
      </c>
      <c r="EJ62" s="9">
        <f t="shared" si="97"/>
        <v>158442423.49000004</v>
      </c>
      <c r="EK62" s="82">
        <f t="shared" si="97"/>
        <v>97942423.489999995</v>
      </c>
      <c r="EL62" s="9">
        <f t="shared" si="97"/>
        <v>86342423.489999995</v>
      </c>
      <c r="EM62" s="9">
        <f t="shared" si="97"/>
        <v>89742423.489999995</v>
      </c>
      <c r="EN62" s="9">
        <f t="shared" si="97"/>
        <v>92942423.489999995</v>
      </c>
      <c r="EO62" s="9">
        <f t="shared" si="97"/>
        <v>91942423.489999995</v>
      </c>
      <c r="EP62" s="9">
        <f t="shared" si="97"/>
        <v>88942423.489999995</v>
      </c>
      <c r="EQ62" s="9">
        <f t="shared" si="97"/>
        <v>90842423.489999995</v>
      </c>
      <c r="ER62" s="9">
        <f t="shared" si="97"/>
        <v>90742423.489999995</v>
      </c>
      <c r="ES62" s="9">
        <f t="shared" si="97"/>
        <v>88342423.489999995</v>
      </c>
      <c r="ET62" s="9">
        <f t="shared" si="97"/>
        <v>88092423.489999995</v>
      </c>
      <c r="EU62" s="40">
        <f t="shared" si="97"/>
        <v>86967809.429999992</v>
      </c>
      <c r="EV62" s="9">
        <f t="shared" si="97"/>
        <v>84867809.429999992</v>
      </c>
      <c r="EW62" s="9">
        <f t="shared" si="97"/>
        <v>83267809.429999992</v>
      </c>
      <c r="EX62" s="9">
        <f t="shared" si="97"/>
        <v>84167809.429999992</v>
      </c>
      <c r="EY62" s="9">
        <f t="shared" si="97"/>
        <v>67867809.429999992</v>
      </c>
      <c r="EZ62" s="9">
        <f t="shared" si="97"/>
        <v>67417809.429999992</v>
      </c>
      <c r="FA62" s="9">
        <f t="shared" si="97"/>
        <v>136117809.43000001</v>
      </c>
      <c r="FB62" s="9">
        <f t="shared" si="97"/>
        <v>137017809.43000001</v>
      </c>
      <c r="FC62" s="9">
        <f t="shared" ref="FC62:GH62" si="98">SUM(FC55:FC61)</f>
        <v>136267809.43000001</v>
      </c>
      <c r="FD62" s="9">
        <f t="shared" si="98"/>
        <v>136267809.43000001</v>
      </c>
      <c r="FE62" s="9">
        <f t="shared" si="98"/>
        <v>76067809.429999992</v>
      </c>
      <c r="FF62" s="9">
        <f t="shared" si="98"/>
        <v>66442071.969999991</v>
      </c>
      <c r="FG62" s="9">
        <f t="shared" si="98"/>
        <v>70142071.969999999</v>
      </c>
      <c r="FH62" s="9">
        <f t="shared" si="98"/>
        <v>68342071.969999999</v>
      </c>
      <c r="FI62" s="9">
        <f t="shared" si="98"/>
        <v>63842071.969999991</v>
      </c>
      <c r="FJ62" s="9">
        <f t="shared" si="98"/>
        <v>69642071.969999999</v>
      </c>
      <c r="FK62" s="9">
        <f t="shared" si="98"/>
        <v>77242071.969999999</v>
      </c>
      <c r="FL62" s="82">
        <f t="shared" si="98"/>
        <v>92592071.969999999</v>
      </c>
      <c r="FM62" s="9">
        <f t="shared" si="98"/>
        <v>212342071.96999997</v>
      </c>
      <c r="FN62" s="9">
        <f t="shared" si="98"/>
        <v>211642071.96999997</v>
      </c>
      <c r="FO62" s="9">
        <f t="shared" si="98"/>
        <v>208842071.96999997</v>
      </c>
      <c r="FP62" s="40">
        <f t="shared" si="98"/>
        <v>206874229.38</v>
      </c>
      <c r="FQ62" s="9">
        <f t="shared" si="98"/>
        <v>206174229.38</v>
      </c>
      <c r="FR62" s="9">
        <f t="shared" si="98"/>
        <v>204324229.38</v>
      </c>
      <c r="FS62" s="9">
        <f t="shared" si="98"/>
        <v>200024229.38</v>
      </c>
      <c r="FT62" s="9">
        <f t="shared" si="98"/>
        <v>195224229.38</v>
      </c>
      <c r="FU62" s="9">
        <f t="shared" si="98"/>
        <v>192527526.84</v>
      </c>
      <c r="FV62" s="9">
        <f t="shared" si="98"/>
        <v>191827526.84</v>
      </c>
      <c r="FW62" s="9">
        <f t="shared" si="98"/>
        <v>192227526.84</v>
      </c>
      <c r="FX62" s="9">
        <f t="shared" si="98"/>
        <v>190927526.84</v>
      </c>
      <c r="FY62" s="9">
        <f t="shared" si="98"/>
        <v>188427526.84</v>
      </c>
      <c r="FZ62" s="114">
        <f t="shared" si="98"/>
        <v>118027526.83999996</v>
      </c>
      <c r="GA62" s="9">
        <f t="shared" si="98"/>
        <v>117027526.83999996</v>
      </c>
      <c r="GB62" s="9">
        <f t="shared" si="98"/>
        <v>112027526.83999996</v>
      </c>
      <c r="GC62" s="9">
        <f t="shared" si="98"/>
        <v>108277526.83999996</v>
      </c>
      <c r="GD62" s="9">
        <f t="shared" si="98"/>
        <v>107077526.83999996</v>
      </c>
      <c r="GE62" s="9">
        <f t="shared" si="98"/>
        <v>106077526.83999996</v>
      </c>
      <c r="GF62" s="9">
        <f t="shared" si="98"/>
        <v>105327526.83999996</v>
      </c>
      <c r="GG62" s="9">
        <f t="shared" si="98"/>
        <v>104527526.83999996</v>
      </c>
      <c r="GH62" s="9">
        <f t="shared" si="98"/>
        <v>191027526.84</v>
      </c>
      <c r="GI62" s="9">
        <f t="shared" ref="GI62:HN62" si="99">SUM(GI55:GI61)</f>
        <v>199827526.84</v>
      </c>
      <c r="GJ62" s="9">
        <f t="shared" si="99"/>
        <v>198127526.84</v>
      </c>
      <c r="GK62" s="9">
        <f t="shared" si="99"/>
        <v>197977526.84</v>
      </c>
      <c r="GL62" s="40">
        <f t="shared" si="99"/>
        <v>194717890.67999998</v>
      </c>
      <c r="GM62" s="9">
        <f t="shared" si="99"/>
        <v>192417890.67999998</v>
      </c>
      <c r="GN62" s="9">
        <f t="shared" si="99"/>
        <v>192217890.67999998</v>
      </c>
      <c r="GO62" s="9">
        <f t="shared" si="99"/>
        <v>192817890.67999998</v>
      </c>
      <c r="GP62" s="9">
        <f t="shared" si="99"/>
        <v>192817890.67999998</v>
      </c>
      <c r="GQ62" s="9">
        <f t="shared" si="99"/>
        <v>185617890.67999998</v>
      </c>
      <c r="GR62" s="9">
        <f t="shared" si="99"/>
        <v>187617890.67999998</v>
      </c>
      <c r="GS62" s="9">
        <f t="shared" si="99"/>
        <v>187117890.67999998</v>
      </c>
      <c r="GT62" s="9">
        <f t="shared" si="99"/>
        <v>188617890.67999998</v>
      </c>
      <c r="GU62" s="114">
        <f t="shared" si="99"/>
        <v>116217890.67999998</v>
      </c>
      <c r="GV62" s="9">
        <f t="shared" si="99"/>
        <v>114917890.67999998</v>
      </c>
      <c r="GW62" s="9">
        <f t="shared" si="99"/>
        <v>116117890.67999998</v>
      </c>
      <c r="GX62" s="9">
        <f t="shared" si="99"/>
        <v>120717890.67999998</v>
      </c>
      <c r="GY62" s="9">
        <f t="shared" si="99"/>
        <v>122217890.67999998</v>
      </c>
      <c r="GZ62" s="9">
        <f t="shared" si="99"/>
        <v>122117890.67999998</v>
      </c>
      <c r="HA62" s="9">
        <f t="shared" si="99"/>
        <v>114417890.67999998</v>
      </c>
      <c r="HB62" s="9">
        <f t="shared" si="99"/>
        <v>116017890.67999998</v>
      </c>
      <c r="HC62" s="9">
        <f t="shared" si="99"/>
        <v>113217890.67999998</v>
      </c>
      <c r="HD62" s="40">
        <f t="shared" si="99"/>
        <v>112681788.60999997</v>
      </c>
      <c r="HE62" s="9">
        <f t="shared" si="99"/>
        <v>119881788.60999997</v>
      </c>
      <c r="HF62" s="9">
        <f t="shared" si="99"/>
        <v>123381788.60999997</v>
      </c>
      <c r="HG62" s="9">
        <f t="shared" si="99"/>
        <v>128681788.60999997</v>
      </c>
      <c r="HH62" s="9">
        <f t="shared" si="99"/>
        <v>131281788.60999997</v>
      </c>
      <c r="HI62" s="9">
        <f t="shared" si="99"/>
        <v>118081788.60999997</v>
      </c>
      <c r="HJ62" s="9">
        <f t="shared" si="99"/>
        <v>114581788.60999997</v>
      </c>
      <c r="HK62" s="9">
        <f t="shared" si="99"/>
        <v>117181788.60999997</v>
      </c>
      <c r="HL62" s="9">
        <f t="shared" si="99"/>
        <v>118781788.60999997</v>
      </c>
      <c r="HM62" s="9">
        <f t="shared" si="99"/>
        <v>126181788.60999997</v>
      </c>
      <c r="HN62" s="138">
        <f t="shared" si="99"/>
        <v>127081788.60999997</v>
      </c>
      <c r="HO62" s="82">
        <f t="shared" ref="HO62:IT62" si="100">SUM(HO55:HO61)</f>
        <v>53781788.609999985</v>
      </c>
      <c r="HP62" s="9">
        <f t="shared" si="100"/>
        <v>57681788.609999985</v>
      </c>
      <c r="HQ62" s="9">
        <f t="shared" si="100"/>
        <v>58081788.609999985</v>
      </c>
      <c r="HR62" s="9">
        <f t="shared" si="100"/>
        <v>58981788.609999985</v>
      </c>
      <c r="HS62" s="9">
        <f t="shared" si="100"/>
        <v>60581788.609999985</v>
      </c>
      <c r="HT62" s="9">
        <f t="shared" si="100"/>
        <v>67181788.609999985</v>
      </c>
      <c r="HU62" s="9">
        <f t="shared" si="100"/>
        <v>73781788.60999997</v>
      </c>
      <c r="HV62" s="9">
        <f t="shared" si="100"/>
        <v>90281788.60999997</v>
      </c>
      <c r="HW62" s="9">
        <f t="shared" si="100"/>
        <v>92281788.60999997</v>
      </c>
      <c r="HX62" s="9">
        <f t="shared" si="100"/>
        <v>90581788.60999997</v>
      </c>
      <c r="HY62" s="9">
        <f t="shared" si="100"/>
        <v>105881788.60999997</v>
      </c>
      <c r="HZ62" s="40">
        <f t="shared" si="100"/>
        <v>112227115.04999997</v>
      </c>
      <c r="IA62" s="9">
        <f t="shared" si="100"/>
        <v>129727115.04999997</v>
      </c>
      <c r="IB62" s="9">
        <f t="shared" si="100"/>
        <v>128927115.04999997</v>
      </c>
      <c r="IC62" s="9">
        <f t="shared" si="100"/>
        <v>146227115.04999998</v>
      </c>
      <c r="ID62" s="9">
        <f t="shared" si="100"/>
        <v>146227115.04999998</v>
      </c>
      <c r="IE62" s="9">
        <f t="shared" si="100"/>
        <v>158427115.04999998</v>
      </c>
      <c r="IF62" s="9">
        <f t="shared" si="100"/>
        <v>173427115.04999998</v>
      </c>
      <c r="IG62" s="9">
        <f t="shared" si="100"/>
        <v>184627115.04999998</v>
      </c>
      <c r="IH62" s="114">
        <f t="shared" si="100"/>
        <v>237627115.04999998</v>
      </c>
      <c r="II62" s="9">
        <f t="shared" si="100"/>
        <v>258827115.04999998</v>
      </c>
      <c r="IJ62" s="9">
        <f t="shared" si="100"/>
        <v>209027115.04999998</v>
      </c>
      <c r="IK62" s="9">
        <f t="shared" si="100"/>
        <v>217627115.04999998</v>
      </c>
      <c r="IL62" s="9">
        <f t="shared" si="100"/>
        <v>221627115.04999998</v>
      </c>
      <c r="IM62" s="9">
        <f t="shared" si="100"/>
        <v>226377115.04999998</v>
      </c>
      <c r="IN62" s="9">
        <f t="shared" si="100"/>
        <v>231277115.04999998</v>
      </c>
      <c r="IO62" s="9">
        <f t="shared" si="100"/>
        <v>232477115.04999998</v>
      </c>
      <c r="IP62" s="9">
        <f t="shared" si="100"/>
        <v>241677115.04999998</v>
      </c>
      <c r="IQ62" s="9">
        <f t="shared" si="100"/>
        <v>246277115.04999998</v>
      </c>
      <c r="IR62" s="9">
        <f t="shared" si="100"/>
        <v>273877115.04999995</v>
      </c>
      <c r="IS62" s="9">
        <f t="shared" si="100"/>
        <v>272877115.04999995</v>
      </c>
      <c r="IT62" s="40">
        <f t="shared" si="100"/>
        <v>289677115.04999995</v>
      </c>
      <c r="IU62" s="9"/>
    </row>
    <row r="63" spans="1:256">
      <c r="EK63" s="71"/>
      <c r="FL63" s="71"/>
      <c r="FZ63" s="98"/>
      <c r="GU63" s="98"/>
      <c r="HM63" s="140"/>
      <c r="HN63" s="127"/>
      <c r="HO63" s="71"/>
      <c r="IH63" s="98"/>
    </row>
    <row r="64" spans="1:256" s="63" customFormat="1" ht="16.5">
      <c r="A64" s="62" t="s">
        <v>60</v>
      </c>
      <c r="C64" s="61">
        <f>+C51+C62</f>
        <v>330600100.28999996</v>
      </c>
      <c r="D64" s="61">
        <f t="shared" ref="D64:BO64" si="101">+D51+D62</f>
        <v>385698744.28999996</v>
      </c>
      <c r="E64" s="61">
        <f t="shared" si="101"/>
        <v>389569003.71999997</v>
      </c>
      <c r="F64" s="61">
        <f t="shared" si="101"/>
        <v>426609565.23999995</v>
      </c>
      <c r="G64" s="61">
        <f t="shared" si="101"/>
        <v>467456107.81999993</v>
      </c>
      <c r="H64" s="61">
        <f t="shared" si="101"/>
        <v>493394481.22999996</v>
      </c>
      <c r="I64" s="61">
        <f t="shared" si="101"/>
        <v>510690315.28999996</v>
      </c>
      <c r="J64" s="61">
        <f t="shared" si="101"/>
        <v>509882671.17999995</v>
      </c>
      <c r="K64" s="61">
        <f t="shared" si="101"/>
        <v>508887411.28999996</v>
      </c>
      <c r="L64" s="61">
        <f t="shared" si="101"/>
        <v>560651202.28999996</v>
      </c>
      <c r="M64" s="61">
        <f t="shared" si="101"/>
        <v>560226057.28999996</v>
      </c>
      <c r="N64" s="61">
        <f t="shared" si="101"/>
        <v>501297477.28999996</v>
      </c>
      <c r="O64" s="61">
        <f t="shared" si="101"/>
        <v>503605571.26999998</v>
      </c>
      <c r="P64" s="61">
        <f t="shared" si="101"/>
        <v>508055202.69999999</v>
      </c>
      <c r="Q64" s="61">
        <f t="shared" si="101"/>
        <v>501386171.28999996</v>
      </c>
      <c r="R64" s="61">
        <f t="shared" si="101"/>
        <v>506480574.28999996</v>
      </c>
      <c r="S64" s="61">
        <f t="shared" si="101"/>
        <v>500799224.28999996</v>
      </c>
      <c r="T64" s="61">
        <f t="shared" si="101"/>
        <v>501018087.28999996</v>
      </c>
      <c r="U64" s="61">
        <f t="shared" si="101"/>
        <v>504290299.69999999</v>
      </c>
      <c r="V64" s="61">
        <f t="shared" si="101"/>
        <v>507287144.28999996</v>
      </c>
      <c r="W64" s="61">
        <f t="shared" si="101"/>
        <v>509577783.22999996</v>
      </c>
      <c r="X64" s="61">
        <f t="shared" si="101"/>
        <v>511506729.22999996</v>
      </c>
      <c r="Y64" s="61">
        <f t="shared" si="101"/>
        <v>519956827.22999996</v>
      </c>
      <c r="Z64" s="61">
        <f t="shared" si="101"/>
        <v>516729182.22999996</v>
      </c>
      <c r="AA64" s="61">
        <f t="shared" si="101"/>
        <v>502882287.22999996</v>
      </c>
      <c r="AB64" s="61">
        <f t="shared" si="101"/>
        <v>499853253.22999996</v>
      </c>
      <c r="AC64" s="61">
        <f t="shared" si="101"/>
        <v>497109814.32999998</v>
      </c>
      <c r="AD64" s="61">
        <f t="shared" si="101"/>
        <v>495404308.22999996</v>
      </c>
      <c r="AE64" s="61">
        <f t="shared" si="101"/>
        <v>494676717.22999996</v>
      </c>
      <c r="AF64" s="61">
        <f t="shared" si="101"/>
        <v>435772301.22999996</v>
      </c>
      <c r="AG64" s="61">
        <f t="shared" si="101"/>
        <v>426272124.22999996</v>
      </c>
      <c r="AH64" s="61">
        <f t="shared" si="101"/>
        <v>425972124.22999996</v>
      </c>
      <c r="AI64" s="61">
        <f t="shared" si="101"/>
        <v>425478601.22999996</v>
      </c>
      <c r="AJ64" s="61">
        <f t="shared" si="101"/>
        <v>423645368.22999996</v>
      </c>
      <c r="AK64" s="61">
        <f t="shared" si="101"/>
        <v>415608485.22999996</v>
      </c>
      <c r="AL64" s="61">
        <f t="shared" si="101"/>
        <v>415594740.22999996</v>
      </c>
      <c r="AM64" s="61">
        <f t="shared" si="101"/>
        <v>421292820.22999996</v>
      </c>
      <c r="AN64" s="61">
        <f t="shared" si="101"/>
        <v>427586931.22999996</v>
      </c>
      <c r="AO64" s="61">
        <f t="shared" si="101"/>
        <v>424989895.22999996</v>
      </c>
      <c r="AP64" s="61">
        <f t="shared" si="101"/>
        <v>427321903.22999996</v>
      </c>
      <c r="AQ64" s="61">
        <f t="shared" si="101"/>
        <v>425301351.22999996</v>
      </c>
      <c r="AR64" s="61">
        <f t="shared" si="101"/>
        <v>424706219.38999999</v>
      </c>
      <c r="AS64" s="61">
        <f t="shared" si="101"/>
        <v>423957924.39999998</v>
      </c>
      <c r="AT64" s="61">
        <f t="shared" si="101"/>
        <v>434443176.38999999</v>
      </c>
      <c r="AU64" s="61">
        <f t="shared" si="101"/>
        <v>436459066.38999999</v>
      </c>
      <c r="AV64" s="61">
        <f t="shared" si="101"/>
        <v>415773849.38999999</v>
      </c>
      <c r="AW64" s="61">
        <f t="shared" si="101"/>
        <v>415765242.38999999</v>
      </c>
      <c r="AX64" s="61">
        <f t="shared" si="101"/>
        <v>415756821.38999999</v>
      </c>
      <c r="AY64" s="61">
        <f t="shared" si="101"/>
        <v>414181099.38999999</v>
      </c>
      <c r="AZ64" s="61">
        <f t="shared" si="101"/>
        <v>414605757.38999999</v>
      </c>
      <c r="BA64" s="61">
        <f t="shared" si="101"/>
        <v>410530726.38999999</v>
      </c>
      <c r="BB64" s="61">
        <f t="shared" si="101"/>
        <v>412472419.38999999</v>
      </c>
      <c r="BC64" s="61">
        <f t="shared" si="101"/>
        <v>353655281.38999999</v>
      </c>
      <c r="BD64" s="61">
        <f t="shared" si="101"/>
        <v>337646469.38999999</v>
      </c>
      <c r="BE64" s="61">
        <f t="shared" si="101"/>
        <v>335522694.38999999</v>
      </c>
      <c r="BF64" s="61">
        <f t="shared" si="101"/>
        <v>331278782.38999999</v>
      </c>
      <c r="BG64" s="61">
        <f t="shared" si="101"/>
        <v>332538888.38999999</v>
      </c>
      <c r="BH64" s="61">
        <f t="shared" si="101"/>
        <v>331363457.38999999</v>
      </c>
      <c r="BI64" s="61">
        <f t="shared" si="101"/>
        <v>335763889.38999999</v>
      </c>
      <c r="BJ64" s="61">
        <f t="shared" si="101"/>
        <v>333999238.38999999</v>
      </c>
      <c r="BK64" s="61">
        <f t="shared" si="101"/>
        <v>338176544.38999999</v>
      </c>
      <c r="BL64" s="61">
        <f t="shared" si="101"/>
        <v>333673486.38999999</v>
      </c>
      <c r="BM64" s="61">
        <f t="shared" si="101"/>
        <v>334468028.38999999</v>
      </c>
      <c r="BN64" s="61">
        <f t="shared" si="101"/>
        <v>334354783.41999996</v>
      </c>
      <c r="BO64" s="61">
        <f t="shared" si="101"/>
        <v>334120606.41999996</v>
      </c>
      <c r="BP64" s="61">
        <f t="shared" ref="BP64:EA64" si="102">+BP51+BP62</f>
        <v>332746212.41999996</v>
      </c>
      <c r="BQ64" s="61">
        <f t="shared" si="102"/>
        <v>330826900.41999996</v>
      </c>
      <c r="BR64" s="61">
        <f t="shared" si="102"/>
        <v>316333075.41999996</v>
      </c>
      <c r="BS64" s="61">
        <f t="shared" si="102"/>
        <v>315826567.41999996</v>
      </c>
      <c r="BT64" s="61">
        <f t="shared" si="102"/>
        <v>316101923.41999996</v>
      </c>
      <c r="BU64" s="61">
        <f t="shared" si="102"/>
        <v>316105027.41999996</v>
      </c>
      <c r="BV64" s="61">
        <f t="shared" si="102"/>
        <v>311001973.41999996</v>
      </c>
      <c r="BW64" s="61">
        <f t="shared" si="102"/>
        <v>310601205.41999996</v>
      </c>
      <c r="BX64" s="61">
        <f t="shared" si="102"/>
        <v>310197714.41999996</v>
      </c>
      <c r="BY64" s="61">
        <f t="shared" si="102"/>
        <v>249317094.41999996</v>
      </c>
      <c r="BZ64" s="61">
        <f t="shared" si="102"/>
        <v>232812409.41999996</v>
      </c>
      <c r="CA64" s="61">
        <f t="shared" si="102"/>
        <v>226317153.41999996</v>
      </c>
      <c r="CB64" s="61">
        <f t="shared" si="102"/>
        <v>225302741.19999996</v>
      </c>
      <c r="CC64" s="61">
        <f t="shared" si="102"/>
        <v>223117907.24999997</v>
      </c>
      <c r="CD64" s="61">
        <f t="shared" si="102"/>
        <v>222333894.80999994</v>
      </c>
      <c r="CE64" s="61">
        <f t="shared" si="102"/>
        <v>221745574.41999996</v>
      </c>
      <c r="CF64" s="61">
        <f t="shared" si="102"/>
        <v>231323782.41999996</v>
      </c>
      <c r="CG64" s="61">
        <f t="shared" si="102"/>
        <v>229942838.41999996</v>
      </c>
      <c r="CH64" s="61">
        <f t="shared" si="102"/>
        <v>228811486.41999996</v>
      </c>
      <c r="CI64" s="61">
        <f t="shared" si="102"/>
        <v>225381810.82999995</v>
      </c>
      <c r="CJ64" s="61">
        <f t="shared" si="102"/>
        <v>224115911.82999995</v>
      </c>
      <c r="CK64" s="61">
        <f t="shared" si="102"/>
        <v>221107647.82999995</v>
      </c>
      <c r="CL64" s="61">
        <f t="shared" si="102"/>
        <v>227106092.82999995</v>
      </c>
      <c r="CM64" s="61">
        <f t="shared" si="102"/>
        <v>225175145.82999995</v>
      </c>
      <c r="CN64" s="61">
        <f t="shared" si="102"/>
        <v>210135246.82999995</v>
      </c>
      <c r="CO64" s="61">
        <f t="shared" si="102"/>
        <v>208713405.82999995</v>
      </c>
      <c r="CP64" s="61">
        <f t="shared" si="102"/>
        <v>206970682.82999995</v>
      </c>
      <c r="CQ64" s="61">
        <f t="shared" si="102"/>
        <v>206260020.82999995</v>
      </c>
      <c r="CR64" s="61">
        <f t="shared" si="102"/>
        <v>206818284.82999995</v>
      </c>
      <c r="CS64" s="61">
        <f t="shared" si="102"/>
        <v>145109049.82999995</v>
      </c>
      <c r="CT64" s="61">
        <f t="shared" si="102"/>
        <v>134369848.82999995</v>
      </c>
      <c r="CU64" s="61">
        <f t="shared" si="102"/>
        <v>132814693.82999995</v>
      </c>
      <c r="CV64" s="61">
        <f t="shared" si="102"/>
        <v>130169752.82999995</v>
      </c>
      <c r="CW64" s="61">
        <f t="shared" si="102"/>
        <v>128495841.82999995</v>
      </c>
      <c r="CX64" s="61">
        <f t="shared" si="102"/>
        <v>126198821.92999995</v>
      </c>
      <c r="CY64" s="61">
        <f t="shared" si="102"/>
        <v>123866423.82999995</v>
      </c>
      <c r="CZ64" s="61">
        <f t="shared" si="102"/>
        <v>124627636.82999995</v>
      </c>
      <c r="DA64" s="61">
        <f t="shared" si="102"/>
        <v>127635041.82999995</v>
      </c>
      <c r="DB64" s="61">
        <f t="shared" si="102"/>
        <v>128939238.82999995</v>
      </c>
      <c r="DC64" s="61">
        <f t="shared" si="102"/>
        <v>131511396.82999995</v>
      </c>
      <c r="DD64" s="61">
        <f t="shared" si="102"/>
        <v>131040658.41999997</v>
      </c>
      <c r="DE64" s="61">
        <f t="shared" si="102"/>
        <v>122946991.41999997</v>
      </c>
      <c r="DF64" s="61">
        <f t="shared" si="102"/>
        <v>121837480.41999997</v>
      </c>
      <c r="DG64" s="61">
        <f t="shared" si="102"/>
        <v>115524944.41999997</v>
      </c>
      <c r="DH64" s="61">
        <f t="shared" si="102"/>
        <v>113867860.58999997</v>
      </c>
      <c r="DI64" s="61">
        <f t="shared" si="102"/>
        <v>113970549.41999997</v>
      </c>
      <c r="DJ64" s="61">
        <f t="shared" si="102"/>
        <v>113736460.41999997</v>
      </c>
      <c r="DK64" s="61">
        <f t="shared" si="102"/>
        <v>114136460.41999997</v>
      </c>
      <c r="DL64" s="61">
        <f t="shared" si="102"/>
        <v>112136460.41999997</v>
      </c>
      <c r="DM64" s="61">
        <f t="shared" si="102"/>
        <v>111336460.41999997</v>
      </c>
      <c r="DN64" s="61">
        <f t="shared" si="102"/>
        <v>49336460.419999972</v>
      </c>
      <c r="DO64" s="61">
        <f t="shared" si="102"/>
        <v>38790709.419999972</v>
      </c>
      <c r="DP64" s="61">
        <f t="shared" si="102"/>
        <v>38995197.939999975</v>
      </c>
      <c r="DQ64" s="61">
        <f t="shared" si="102"/>
        <v>37064001.899999969</v>
      </c>
      <c r="DR64" s="61">
        <f t="shared" si="102"/>
        <v>37671584.899999969</v>
      </c>
      <c r="DS64" s="61">
        <f t="shared" si="102"/>
        <v>37881830.899999969</v>
      </c>
      <c r="DT64" s="61">
        <f t="shared" si="102"/>
        <v>37118481.899999969</v>
      </c>
      <c r="DU64" s="61">
        <f t="shared" si="102"/>
        <v>38258233.899999969</v>
      </c>
      <c r="DV64" s="61">
        <f t="shared" si="102"/>
        <v>40447795.899999969</v>
      </c>
      <c r="DW64" s="61">
        <f t="shared" si="102"/>
        <v>43438925.899999969</v>
      </c>
      <c r="DX64" s="61">
        <f t="shared" si="102"/>
        <v>50338962.899999969</v>
      </c>
      <c r="DY64" s="61">
        <f t="shared" si="102"/>
        <v>49737282.899999969</v>
      </c>
      <c r="DZ64" s="61">
        <f t="shared" si="102"/>
        <v>48415055.969999969</v>
      </c>
      <c r="EA64" s="61">
        <f t="shared" si="102"/>
        <v>47347184.969999969</v>
      </c>
      <c r="EB64" s="61">
        <f t="shared" ref="EB64:GM64" si="103">+EB51+EB62</f>
        <v>46724662.969999969</v>
      </c>
      <c r="EC64" s="61">
        <f t="shared" si="103"/>
        <v>41468045.969999969</v>
      </c>
      <c r="ED64" s="61">
        <f t="shared" si="103"/>
        <v>26105441.969999969</v>
      </c>
      <c r="EE64" s="61">
        <f t="shared" si="103"/>
        <v>25318640.969999969</v>
      </c>
      <c r="EF64" s="61">
        <f t="shared" si="103"/>
        <v>24157311.969999976</v>
      </c>
      <c r="EG64" s="61">
        <f t="shared" si="103"/>
        <v>150550599.97000003</v>
      </c>
      <c r="EH64" s="61">
        <f t="shared" si="103"/>
        <v>160549771.97000003</v>
      </c>
      <c r="EI64" s="61">
        <f t="shared" si="103"/>
        <v>160058406.97000003</v>
      </c>
      <c r="EJ64" s="61">
        <f t="shared" si="103"/>
        <v>158720867.97000003</v>
      </c>
      <c r="EK64" s="61">
        <f t="shared" si="103"/>
        <v>98216922.969999999</v>
      </c>
      <c r="EL64" s="61">
        <f t="shared" si="103"/>
        <v>86478573.969999999</v>
      </c>
      <c r="EM64" s="61">
        <f t="shared" si="103"/>
        <v>88911941.329999998</v>
      </c>
      <c r="EN64" s="61">
        <f t="shared" si="103"/>
        <v>93044762.969999999</v>
      </c>
      <c r="EO64" s="61">
        <f t="shared" si="103"/>
        <v>92258064.969999984</v>
      </c>
      <c r="EP64" s="61">
        <f t="shared" si="103"/>
        <v>89261887.969999999</v>
      </c>
      <c r="EQ64" s="61">
        <f t="shared" si="103"/>
        <v>91149938.939999998</v>
      </c>
      <c r="ER64" s="61">
        <f t="shared" si="103"/>
        <v>90911356.939999998</v>
      </c>
      <c r="ES64" s="61">
        <f t="shared" si="103"/>
        <v>88458073.939999998</v>
      </c>
      <c r="ET64" s="61">
        <f t="shared" si="103"/>
        <v>88199634.942999989</v>
      </c>
      <c r="EU64" s="61">
        <f t="shared" si="103"/>
        <v>87073002.882999986</v>
      </c>
      <c r="EV64" s="61">
        <f t="shared" si="103"/>
        <v>84979519.882999986</v>
      </c>
      <c r="EW64" s="61">
        <f t="shared" si="103"/>
        <v>83389637.962999985</v>
      </c>
      <c r="EX64" s="61">
        <f t="shared" si="103"/>
        <v>84280585.562999994</v>
      </c>
      <c r="EY64" s="61">
        <f t="shared" si="103"/>
        <v>68028745.562999994</v>
      </c>
      <c r="EZ64" s="61">
        <f t="shared" si="103"/>
        <v>67618237.562999994</v>
      </c>
      <c r="FA64" s="61">
        <f t="shared" si="103"/>
        <v>136286237.56300002</v>
      </c>
      <c r="FB64" s="61">
        <f t="shared" si="103"/>
        <v>137124759.56300002</v>
      </c>
      <c r="FC64" s="61">
        <f t="shared" si="103"/>
        <v>136383964.56300002</v>
      </c>
      <c r="FD64" s="61">
        <f t="shared" si="103"/>
        <v>136387480.56300002</v>
      </c>
      <c r="FE64" s="61">
        <f t="shared" si="103"/>
        <v>76187877.562999994</v>
      </c>
      <c r="FF64" s="61">
        <f t="shared" si="103"/>
        <v>66555478.102999993</v>
      </c>
      <c r="FG64" s="61">
        <f t="shared" si="103"/>
        <v>70244960.103</v>
      </c>
      <c r="FH64" s="61">
        <f t="shared" si="103"/>
        <v>68458514.103</v>
      </c>
      <c r="FI64" s="61">
        <f t="shared" si="103"/>
        <v>63974824.092999995</v>
      </c>
      <c r="FJ64" s="61">
        <f t="shared" si="103"/>
        <v>69753347.09300001</v>
      </c>
      <c r="FK64" s="61">
        <f t="shared" si="103"/>
        <v>77344327.09300001</v>
      </c>
      <c r="FL64" s="61">
        <f t="shared" si="103"/>
        <v>92695268.09300001</v>
      </c>
      <c r="FM64" s="61">
        <f t="shared" si="103"/>
        <v>212443856.51299995</v>
      </c>
      <c r="FN64" s="61">
        <f t="shared" si="103"/>
        <v>211769515.51299998</v>
      </c>
      <c r="FO64" s="61">
        <f t="shared" si="103"/>
        <v>208988864.35299996</v>
      </c>
      <c r="FP64" s="61">
        <f t="shared" si="103"/>
        <v>206984143.76299998</v>
      </c>
      <c r="FQ64" s="61">
        <f t="shared" si="103"/>
        <v>206493821.25299999</v>
      </c>
      <c r="FR64" s="61">
        <f t="shared" si="103"/>
        <v>204491614.56299999</v>
      </c>
      <c r="FS64" s="61">
        <f t="shared" si="103"/>
        <v>200148429.56299999</v>
      </c>
      <c r="FT64" s="61">
        <f t="shared" si="103"/>
        <v>195348972.66299999</v>
      </c>
      <c r="FU64" s="61">
        <f t="shared" si="103"/>
        <v>192687536.123</v>
      </c>
      <c r="FV64" s="61">
        <f t="shared" si="103"/>
        <v>191967050.11300001</v>
      </c>
      <c r="FW64" s="61">
        <f t="shared" si="103"/>
        <v>192107100.14300001</v>
      </c>
      <c r="FX64" s="61">
        <f t="shared" si="103"/>
        <v>191225841.11300001</v>
      </c>
      <c r="FY64" s="61">
        <f t="shared" si="103"/>
        <v>188551453.11300001</v>
      </c>
      <c r="FZ64" s="61">
        <f t="shared" si="103"/>
        <v>118166509.11299996</v>
      </c>
      <c r="GA64" s="61">
        <f t="shared" si="103"/>
        <v>117159199.11299996</v>
      </c>
      <c r="GB64" s="61">
        <f t="shared" si="103"/>
        <v>112155710.11299996</v>
      </c>
      <c r="GC64" s="61">
        <f t="shared" si="103"/>
        <v>108415782.11299996</v>
      </c>
      <c r="GD64" s="61">
        <f t="shared" si="103"/>
        <v>107214055.11299996</v>
      </c>
      <c r="GE64" s="61">
        <f t="shared" si="103"/>
        <v>106208381.11299996</v>
      </c>
      <c r="GF64" s="61">
        <f t="shared" si="103"/>
        <v>105463934.11299996</v>
      </c>
      <c r="GG64" s="61">
        <f t="shared" si="103"/>
        <v>104896022.75299996</v>
      </c>
      <c r="GH64" s="61">
        <f t="shared" si="103"/>
        <v>191202127.66299999</v>
      </c>
      <c r="GI64" s="61">
        <f t="shared" si="103"/>
        <v>200019662.66299999</v>
      </c>
      <c r="GJ64" s="61">
        <f t="shared" si="103"/>
        <v>198242880.66299999</v>
      </c>
      <c r="GK64" s="61">
        <f t="shared" si="103"/>
        <v>198091919.66299999</v>
      </c>
      <c r="GL64" s="61">
        <f t="shared" si="103"/>
        <v>194827548.50299996</v>
      </c>
      <c r="GM64" s="61">
        <f t="shared" si="103"/>
        <v>192528394.50299996</v>
      </c>
      <c r="GN64" s="61">
        <f t="shared" ref="GN64:IT64" si="104">+GN51+GN62</f>
        <v>192325610.50299996</v>
      </c>
      <c r="GO64" s="61">
        <f t="shared" si="104"/>
        <v>192927499.50299996</v>
      </c>
      <c r="GP64" s="61">
        <f t="shared" si="104"/>
        <v>178975958.69299996</v>
      </c>
      <c r="GQ64" s="61">
        <f t="shared" si="104"/>
        <v>185750494.50299996</v>
      </c>
      <c r="GR64" s="61">
        <f t="shared" si="104"/>
        <v>187748666.50299996</v>
      </c>
      <c r="GS64" s="61">
        <f t="shared" si="104"/>
        <v>187261376.50299996</v>
      </c>
      <c r="GT64" s="61">
        <f t="shared" si="104"/>
        <v>188801876.50299996</v>
      </c>
      <c r="GU64" s="61">
        <f t="shared" si="104"/>
        <v>116337551.50299996</v>
      </c>
      <c r="GV64" s="61">
        <f t="shared" si="104"/>
        <v>115032021.50299996</v>
      </c>
      <c r="GW64" s="61">
        <f t="shared" si="104"/>
        <v>116269078.50299996</v>
      </c>
      <c r="GX64" s="61">
        <f t="shared" si="104"/>
        <v>120851676.50299996</v>
      </c>
      <c r="GY64" s="61">
        <f t="shared" si="104"/>
        <v>122494142.50299996</v>
      </c>
      <c r="GZ64" s="61">
        <f t="shared" si="104"/>
        <v>122252593.50299996</v>
      </c>
      <c r="HA64" s="61">
        <f t="shared" si="104"/>
        <v>114538036.50299996</v>
      </c>
      <c r="HB64" s="61">
        <f t="shared" si="104"/>
        <v>116133090.50299996</v>
      </c>
      <c r="HC64" s="61">
        <f t="shared" si="104"/>
        <v>113322940.50299996</v>
      </c>
      <c r="HD64" s="61">
        <f t="shared" si="104"/>
        <v>112782212.43299995</v>
      </c>
      <c r="HE64" s="61">
        <f t="shared" si="104"/>
        <v>119981788.33299996</v>
      </c>
      <c r="HF64" s="61">
        <f t="shared" si="104"/>
        <v>123524709.33299996</v>
      </c>
      <c r="HG64" s="61">
        <f t="shared" si="104"/>
        <v>129009423.49299996</v>
      </c>
      <c r="HH64" s="61">
        <f t="shared" si="104"/>
        <v>131725607.16299996</v>
      </c>
      <c r="HI64" s="61">
        <f t="shared" si="104"/>
        <v>118239375.63299996</v>
      </c>
      <c r="HJ64" s="61">
        <f t="shared" si="104"/>
        <v>114789503.63299996</v>
      </c>
      <c r="HK64" s="61">
        <f t="shared" si="104"/>
        <v>117445100.63299996</v>
      </c>
      <c r="HL64" s="61">
        <f t="shared" si="104"/>
        <v>118944674.63299996</v>
      </c>
      <c r="HM64" s="61">
        <f t="shared" si="104"/>
        <v>126304192.63299996</v>
      </c>
      <c r="HN64" s="61">
        <f t="shared" si="104"/>
        <v>127194083.63299996</v>
      </c>
      <c r="HO64" s="61">
        <f t="shared" si="104"/>
        <v>53889451.632999972</v>
      </c>
      <c r="HP64" s="61">
        <f t="shared" si="104"/>
        <v>57802213.632999972</v>
      </c>
      <c r="HQ64" s="61">
        <f t="shared" si="104"/>
        <v>58201482.632999972</v>
      </c>
      <c r="HR64" s="61">
        <f t="shared" si="104"/>
        <v>59115984.632999972</v>
      </c>
      <c r="HS64" s="61">
        <f t="shared" si="104"/>
        <v>60899603.632999972</v>
      </c>
      <c r="HT64" s="61">
        <f t="shared" si="104"/>
        <v>67305820.632999972</v>
      </c>
      <c r="HU64" s="61">
        <f t="shared" si="104"/>
        <v>73885651.632999957</v>
      </c>
      <c r="HV64" s="61">
        <f t="shared" si="104"/>
        <v>90381924.632999957</v>
      </c>
      <c r="HW64" s="61">
        <f t="shared" si="104"/>
        <v>92381790.632999957</v>
      </c>
      <c r="HX64" s="61">
        <f t="shared" si="104"/>
        <v>90681788.632999957</v>
      </c>
      <c r="HY64" s="61">
        <f t="shared" si="104"/>
        <v>105981788.63299996</v>
      </c>
      <c r="HZ64" s="61">
        <f t="shared" si="104"/>
        <v>112327115.07299995</v>
      </c>
      <c r="IA64" s="61">
        <f t="shared" si="104"/>
        <v>129827115.07299995</v>
      </c>
      <c r="IB64" s="61">
        <f t="shared" si="104"/>
        <v>129027115.07299995</v>
      </c>
      <c r="IC64" s="61">
        <f t="shared" si="104"/>
        <v>146327115.07299995</v>
      </c>
      <c r="ID64" s="61">
        <f t="shared" si="104"/>
        <v>146354207.07299998</v>
      </c>
      <c r="IE64" s="61">
        <f t="shared" si="104"/>
        <v>158547728.07299995</v>
      </c>
      <c r="IF64" s="61">
        <f t="shared" si="104"/>
        <v>173676986.07299995</v>
      </c>
      <c r="IG64" s="61">
        <f t="shared" si="104"/>
        <v>185593232.07299995</v>
      </c>
      <c r="IH64" s="61">
        <f t="shared" si="104"/>
        <v>238063910.36299998</v>
      </c>
      <c r="II64" s="61">
        <f t="shared" si="104"/>
        <v>259020047.07299995</v>
      </c>
      <c r="IJ64" s="61">
        <f t="shared" si="104"/>
        <v>209145159.07299995</v>
      </c>
      <c r="IK64" s="61">
        <f t="shared" si="104"/>
        <v>217746993.07299995</v>
      </c>
      <c r="IL64" s="61">
        <f t="shared" si="104"/>
        <v>221872923.07299995</v>
      </c>
      <c r="IM64" s="61">
        <f t="shared" si="104"/>
        <v>226678139.07299995</v>
      </c>
      <c r="IN64" s="61">
        <f t="shared" si="104"/>
        <v>231559874.07299995</v>
      </c>
      <c r="IO64" s="61">
        <f t="shared" si="104"/>
        <v>232613184.07299995</v>
      </c>
      <c r="IP64" s="61">
        <f t="shared" si="104"/>
        <v>241865567.07299995</v>
      </c>
      <c r="IQ64" s="61">
        <f t="shared" si="104"/>
        <v>246382751.07299995</v>
      </c>
      <c r="IR64" s="61">
        <f t="shared" si="104"/>
        <v>274025835.07299995</v>
      </c>
      <c r="IS64" s="61">
        <f t="shared" si="104"/>
        <v>272987561.07299995</v>
      </c>
      <c r="IT64" s="61">
        <f t="shared" si="104"/>
        <v>289790213.07299995</v>
      </c>
      <c r="IU64" s="61"/>
      <c r="IV64" s="149"/>
    </row>
    <row r="65" spans="122:222" ht="15" thickBot="1">
      <c r="EG65" s="119" t="s">
        <v>67</v>
      </c>
    </row>
    <row r="66" spans="122:222" ht="15" thickBot="1">
      <c r="DR66" s="182">
        <v>1.05</v>
      </c>
      <c r="EG66" s="119" t="s">
        <v>68</v>
      </c>
      <c r="HN66" s="124" t="s">
        <v>49</v>
      </c>
    </row>
    <row r="68" spans="122:222">
      <c r="EG68" s="361">
        <f>+EG19</f>
        <v>125341750</v>
      </c>
    </row>
  </sheetData>
  <sheetProtection password="C93B" sheet="1" objects="1" scenarios="1"/>
  <phoneticPr fontId="0" type="noConversion"/>
  <pageMargins left="0.25" right="0.25" top="0.5" bottom="0.5" header="0.5" footer="0.25"/>
  <pageSetup scale="57" orientation="landscape" useFirstPageNumber="1" r:id="rId1"/>
  <headerFooter alignWithMargins="0">
    <oddFooter>&amp;LRevised: &amp;D &amp;T&amp;CPage &amp;P</oddFooter>
  </headerFooter>
  <colBreaks count="1" manualBreakCount="1">
    <brk id="135" min="5" max="66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indexed="43"/>
  </sheetPr>
  <dimension ref="A1:IV67"/>
  <sheetViews>
    <sheetView showGridLines="0" showOutlineSymbols="0" defaultGridColor="0" colorId="8" zoomScale="115" zoomScaleNormal="120" zoomScaleSheetLayoutView="100" workbookViewId="0">
      <pane xSplit="2" ySplit="6" topLeftCell="IR52" activePane="bottomRight" state="frozen"/>
      <selection pane="topRight" activeCell="C1" sqref="C1"/>
      <selection pane="bottomLeft" activeCell="A7" sqref="A7"/>
      <selection pane="bottomRight" activeCell="EG66" sqref="EG66"/>
    </sheetView>
  </sheetViews>
  <sheetFormatPr defaultColWidth="10.625" defaultRowHeight="14.25"/>
  <cols>
    <col min="1" max="1" width="17.375" customWidth="1"/>
    <col min="2" max="2" width="10.375" customWidth="1"/>
    <col min="3" max="3" width="10" style="152" customWidth="1"/>
    <col min="4" max="4" width="10" style="8" bestFit="1" customWidth="1"/>
    <col min="5" max="17" width="10" bestFit="1" customWidth="1"/>
    <col min="18" max="22" width="10.625" customWidth="1"/>
    <col min="23" max="23" width="10.625" style="152" customWidth="1"/>
    <col min="24" max="43" width="10.625" customWidth="1"/>
    <col min="44" max="44" width="10.625" style="152" customWidth="1"/>
    <col min="45" max="65" width="10.625" customWidth="1"/>
    <col min="66" max="66" width="10.625" style="152" customWidth="1"/>
    <col min="67" max="86" width="10.625" customWidth="1"/>
    <col min="87" max="87" width="10.625" style="152" customWidth="1"/>
    <col min="88" max="107" width="10.625" customWidth="1"/>
    <col min="108" max="108" width="10.625" style="152" customWidth="1"/>
    <col min="109" max="109" width="11.625" style="83" bestFit="1" customWidth="1"/>
    <col min="110" max="117" width="10.625" customWidth="1"/>
    <col min="118" max="118" width="10.625" style="8" customWidth="1"/>
    <col min="119" max="121" width="10.625" customWidth="1"/>
    <col min="122" max="122" width="10.625" style="83" customWidth="1"/>
    <col min="123" max="129" width="10.625" customWidth="1"/>
    <col min="130" max="130" width="10.625" style="152" customWidth="1"/>
    <col min="131" max="136" width="10.625" customWidth="1"/>
    <col min="137" max="137" width="11.875" style="38" bestFit="1" customWidth="1"/>
    <col min="138" max="138" width="10.625" style="8" customWidth="1"/>
    <col min="139" max="140" width="10.625" customWidth="1"/>
    <col min="141" max="141" width="10.625" style="56" customWidth="1"/>
    <col min="142" max="150" width="10.625" customWidth="1"/>
    <col min="151" max="151" width="10.625" style="152" customWidth="1"/>
    <col min="152" max="160" width="10.625" customWidth="1"/>
    <col min="161" max="161" width="11.375" style="8" bestFit="1" customWidth="1"/>
    <col min="162" max="162" width="10.625" style="8" customWidth="1"/>
    <col min="163" max="167" width="10.625" customWidth="1"/>
    <col min="168" max="168" width="10.625" style="56" customWidth="1"/>
    <col min="169" max="171" width="10.625" customWidth="1"/>
    <col min="172" max="172" width="10.625" style="152" customWidth="1"/>
    <col min="173" max="181" width="10.625" customWidth="1"/>
    <col min="182" max="182" width="11" style="8" bestFit="1" customWidth="1"/>
    <col min="183" max="193" width="10.625" customWidth="1"/>
    <col min="194" max="194" width="10.625" style="152" customWidth="1"/>
    <col min="195" max="202" width="10.625" customWidth="1"/>
    <col min="203" max="203" width="10.625" style="38" customWidth="1"/>
    <col min="204" max="211" width="10.625" customWidth="1"/>
    <col min="212" max="212" width="10.625" style="152" customWidth="1"/>
    <col min="213" max="220" width="10.625" customWidth="1"/>
    <col min="221" max="223" width="10.625" style="8" customWidth="1"/>
    <col min="224" max="233" width="10.625" customWidth="1"/>
    <col min="234" max="234" width="10.625" style="152" customWidth="1"/>
    <col min="235" max="241" width="10.625" customWidth="1"/>
    <col min="242" max="242" width="10.625" style="38" customWidth="1"/>
    <col min="243" max="253" width="10.625" customWidth="1"/>
    <col min="254" max="254" width="10.625" style="152" customWidth="1"/>
    <col min="255" max="255" width="10.625" style="8" customWidth="1"/>
  </cols>
  <sheetData>
    <row r="1" spans="1:256" ht="27">
      <c r="A1" s="17" t="s">
        <v>36</v>
      </c>
      <c r="B1" s="1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3"/>
      <c r="DE1" s="166" t="s">
        <v>65</v>
      </c>
      <c r="DQ1" s="8"/>
      <c r="DR1" s="164" t="s">
        <v>70</v>
      </c>
      <c r="EG1" s="119" t="s">
        <v>67</v>
      </c>
      <c r="EK1" s="117" t="s">
        <v>61</v>
      </c>
      <c r="FI1" s="68" t="s">
        <v>115</v>
      </c>
      <c r="FL1" s="68" t="s">
        <v>113</v>
      </c>
      <c r="FZ1" s="247"/>
      <c r="HM1" s="139"/>
      <c r="HN1" s="125" t="s">
        <v>49</v>
      </c>
      <c r="HO1" s="68" t="s">
        <v>58</v>
      </c>
      <c r="IH1" s="97"/>
    </row>
    <row r="2" spans="1:256" ht="19.5">
      <c r="A2" s="19" t="s">
        <v>0</v>
      </c>
      <c r="B2" s="19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3"/>
      <c r="DE2" s="166" t="s">
        <v>72</v>
      </c>
      <c r="DR2" s="164" t="s">
        <v>66</v>
      </c>
      <c r="EG2" s="119" t="s">
        <v>68</v>
      </c>
      <c r="EK2" s="118" t="s">
        <v>59</v>
      </c>
      <c r="FI2" s="69" t="s">
        <v>58</v>
      </c>
      <c r="FL2" s="69" t="s">
        <v>58</v>
      </c>
      <c r="FZ2" s="186"/>
      <c r="HM2" s="140"/>
      <c r="HN2" s="126" t="s">
        <v>49</v>
      </c>
      <c r="HO2" s="69" t="s">
        <v>59</v>
      </c>
      <c r="IH2" s="98"/>
    </row>
    <row r="3" spans="1:256" ht="15.75" thickBot="1">
      <c r="B3" s="16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3"/>
      <c r="EK3" s="121" t="s">
        <v>71</v>
      </c>
      <c r="FI3" s="69" t="s">
        <v>114</v>
      </c>
      <c r="FL3" s="69" t="s">
        <v>114</v>
      </c>
      <c r="FZ3" s="186"/>
      <c r="HM3" s="140"/>
      <c r="HN3" s="126" t="s">
        <v>49</v>
      </c>
      <c r="HO3" s="69" t="s">
        <v>63</v>
      </c>
      <c r="IH3" s="98"/>
    </row>
    <row r="4" spans="1:256" s="50" customFormat="1" ht="14.1" customHeight="1">
      <c r="A4" s="51" t="s">
        <v>1</v>
      </c>
      <c r="B4" s="47" t="s">
        <v>46</v>
      </c>
      <c r="C4" s="55">
        <v>39478</v>
      </c>
      <c r="D4" s="48">
        <v>39479</v>
      </c>
      <c r="E4" s="48">
        <v>39482</v>
      </c>
      <c r="F4" s="48">
        <v>39483</v>
      </c>
      <c r="G4" s="48">
        <v>39484</v>
      </c>
      <c r="H4" s="48">
        <v>39485</v>
      </c>
      <c r="I4" s="54">
        <v>39486</v>
      </c>
      <c r="J4" s="48">
        <v>39489</v>
      </c>
      <c r="K4" s="48">
        <v>39490</v>
      </c>
      <c r="L4" s="48">
        <v>39491</v>
      </c>
      <c r="M4" s="48">
        <v>39492</v>
      </c>
      <c r="N4" s="220">
        <v>39493</v>
      </c>
      <c r="O4" s="48">
        <v>39497</v>
      </c>
      <c r="P4" s="48">
        <v>39498</v>
      </c>
      <c r="Q4" s="48">
        <v>39499</v>
      </c>
      <c r="R4" s="54">
        <v>39500</v>
      </c>
      <c r="S4" s="48">
        <v>39503</v>
      </c>
      <c r="T4" s="84">
        <v>39504</v>
      </c>
      <c r="U4" s="48">
        <v>39505</v>
      </c>
      <c r="V4" s="48">
        <v>39506</v>
      </c>
      <c r="W4" s="55">
        <v>39507</v>
      </c>
      <c r="X4" s="48">
        <v>39510</v>
      </c>
      <c r="Y4" s="48">
        <v>39511</v>
      </c>
      <c r="Z4" s="48">
        <v>39512</v>
      </c>
      <c r="AA4" s="48">
        <v>39513</v>
      </c>
      <c r="AB4" s="54">
        <v>39514</v>
      </c>
      <c r="AC4" s="48">
        <v>39517</v>
      </c>
      <c r="AD4" s="48">
        <v>39518</v>
      </c>
      <c r="AE4" s="48">
        <v>39519</v>
      </c>
      <c r="AF4" s="220">
        <v>39520</v>
      </c>
      <c r="AG4" s="48">
        <v>39521</v>
      </c>
      <c r="AH4" s="48">
        <v>39524</v>
      </c>
      <c r="AI4" s="48">
        <v>39525</v>
      </c>
      <c r="AJ4" s="48">
        <v>39526</v>
      </c>
      <c r="AK4" s="48">
        <v>39527</v>
      </c>
      <c r="AL4" s="54">
        <v>39528</v>
      </c>
      <c r="AM4" s="48">
        <v>39531</v>
      </c>
      <c r="AN4" s="48">
        <v>39532</v>
      </c>
      <c r="AO4" s="48">
        <v>39533</v>
      </c>
      <c r="AP4" s="48">
        <v>39534</v>
      </c>
      <c r="AQ4" s="48">
        <v>39535</v>
      </c>
      <c r="AR4" s="55">
        <v>39538</v>
      </c>
      <c r="AS4" s="48">
        <v>39539</v>
      </c>
      <c r="AT4" s="48">
        <v>39540</v>
      </c>
      <c r="AU4" s="48">
        <v>39541</v>
      </c>
      <c r="AV4" s="220">
        <v>39542</v>
      </c>
      <c r="AW4" s="48">
        <v>39545</v>
      </c>
      <c r="AX4" s="48">
        <v>39546</v>
      </c>
      <c r="AY4" s="48">
        <v>39547</v>
      </c>
      <c r="AZ4" s="48">
        <v>39548</v>
      </c>
      <c r="BA4" s="48">
        <v>39549</v>
      </c>
      <c r="BB4" s="48">
        <v>39552</v>
      </c>
      <c r="BC4" s="54">
        <v>39553</v>
      </c>
      <c r="BD4" s="48">
        <v>39554</v>
      </c>
      <c r="BE4" s="48">
        <v>39555</v>
      </c>
      <c r="BF4" s="54">
        <v>39556</v>
      </c>
      <c r="BG4" s="48">
        <v>39559</v>
      </c>
      <c r="BH4" s="48">
        <v>39560</v>
      </c>
      <c r="BI4" s="48">
        <v>39561</v>
      </c>
      <c r="BJ4" s="48">
        <v>39562</v>
      </c>
      <c r="BK4" s="48">
        <v>39563</v>
      </c>
      <c r="BL4" s="48">
        <v>39566</v>
      </c>
      <c r="BM4" s="48">
        <v>39567</v>
      </c>
      <c r="BN4" s="55">
        <v>39568</v>
      </c>
      <c r="BO4" s="48">
        <v>39569</v>
      </c>
      <c r="BP4" s="54">
        <v>39570</v>
      </c>
      <c r="BQ4" s="48">
        <v>39573</v>
      </c>
      <c r="BR4" s="48">
        <v>39574</v>
      </c>
      <c r="BS4" s="48">
        <v>39575</v>
      </c>
      <c r="BT4" s="48">
        <v>39576</v>
      </c>
      <c r="BU4" s="48">
        <v>39577</v>
      </c>
      <c r="BV4" s="48">
        <v>39580</v>
      </c>
      <c r="BW4" s="48">
        <v>39581</v>
      </c>
      <c r="BX4" s="48">
        <v>39582</v>
      </c>
      <c r="BY4" s="54">
        <v>39583</v>
      </c>
      <c r="BZ4" s="54">
        <v>39584</v>
      </c>
      <c r="CA4" s="48">
        <v>39587</v>
      </c>
      <c r="CB4" s="48">
        <v>39588</v>
      </c>
      <c r="CC4" s="48">
        <v>39589</v>
      </c>
      <c r="CD4" s="48">
        <v>39590</v>
      </c>
      <c r="CE4" s="48">
        <v>39591</v>
      </c>
      <c r="CF4" s="48">
        <v>39595</v>
      </c>
      <c r="CG4" s="48">
        <v>39596</v>
      </c>
      <c r="CH4" s="48">
        <v>39597</v>
      </c>
      <c r="CI4" s="54">
        <v>39598</v>
      </c>
      <c r="CJ4" s="48">
        <v>39601</v>
      </c>
      <c r="CK4" s="48">
        <v>39602</v>
      </c>
      <c r="CL4" s="48">
        <v>39603</v>
      </c>
      <c r="CM4" s="48">
        <v>39604</v>
      </c>
      <c r="CN4" s="48">
        <v>39605</v>
      </c>
      <c r="CO4" s="48">
        <v>39608</v>
      </c>
      <c r="CP4" s="48">
        <v>39609</v>
      </c>
      <c r="CQ4" s="48">
        <v>39610</v>
      </c>
      <c r="CR4" s="48">
        <v>39611</v>
      </c>
      <c r="CS4" s="54">
        <v>39612</v>
      </c>
      <c r="CT4" s="48">
        <v>39615</v>
      </c>
      <c r="CU4" s="48">
        <v>39616</v>
      </c>
      <c r="CV4" s="48">
        <v>39617</v>
      </c>
      <c r="CW4" s="48">
        <v>39618</v>
      </c>
      <c r="CX4" s="48">
        <v>39619</v>
      </c>
      <c r="CY4" s="48">
        <v>39622</v>
      </c>
      <c r="CZ4" s="48">
        <v>39623</v>
      </c>
      <c r="DA4" s="48">
        <v>39624</v>
      </c>
      <c r="DB4" s="48">
        <v>39625</v>
      </c>
      <c r="DC4" s="54">
        <v>39626</v>
      </c>
      <c r="DD4" s="55">
        <v>39629</v>
      </c>
      <c r="DE4" s="84">
        <v>39630</v>
      </c>
      <c r="DF4" s="48">
        <v>39631</v>
      </c>
      <c r="DG4" s="48">
        <v>39632</v>
      </c>
      <c r="DH4" s="48">
        <v>39636</v>
      </c>
      <c r="DI4" s="48">
        <v>39637</v>
      </c>
      <c r="DJ4" s="48">
        <v>39638</v>
      </c>
      <c r="DK4" s="48">
        <v>39639</v>
      </c>
      <c r="DL4" s="54">
        <v>39640</v>
      </c>
      <c r="DM4" s="48">
        <v>39643</v>
      </c>
      <c r="DN4" s="54">
        <v>39644</v>
      </c>
      <c r="DO4" s="48">
        <v>39645</v>
      </c>
      <c r="DP4" s="48">
        <v>39646</v>
      </c>
      <c r="DQ4" s="48">
        <v>39281</v>
      </c>
      <c r="DR4" s="84">
        <v>39650</v>
      </c>
      <c r="DS4" s="48">
        <v>39651</v>
      </c>
      <c r="DT4" s="48">
        <v>39652</v>
      </c>
      <c r="DU4" s="48">
        <v>39653</v>
      </c>
      <c r="DV4" s="54">
        <v>39654</v>
      </c>
      <c r="DW4" s="48">
        <v>39657</v>
      </c>
      <c r="DX4" s="48">
        <v>39658</v>
      </c>
      <c r="DY4" s="48">
        <v>39659</v>
      </c>
      <c r="DZ4" s="55">
        <v>39660</v>
      </c>
      <c r="EA4" s="48">
        <v>39661</v>
      </c>
      <c r="EB4" s="48">
        <v>39664</v>
      </c>
      <c r="EC4" s="48">
        <v>39665</v>
      </c>
      <c r="ED4" s="48">
        <v>39666</v>
      </c>
      <c r="EE4" s="48">
        <v>39667</v>
      </c>
      <c r="EF4" s="54">
        <v>39668</v>
      </c>
      <c r="EG4" s="52">
        <v>39671</v>
      </c>
      <c r="EH4" s="48">
        <v>39672</v>
      </c>
      <c r="EI4" s="48">
        <v>39673</v>
      </c>
      <c r="EJ4" s="48">
        <v>39674</v>
      </c>
      <c r="EK4" s="180">
        <v>39675</v>
      </c>
      <c r="EL4" s="48">
        <v>39678</v>
      </c>
      <c r="EM4" s="48">
        <v>39679</v>
      </c>
      <c r="EN4" s="48">
        <v>39680</v>
      </c>
      <c r="EO4" s="48">
        <v>39681</v>
      </c>
      <c r="EP4" s="54">
        <v>39682</v>
      </c>
      <c r="EQ4" s="48">
        <v>39685</v>
      </c>
      <c r="ER4" s="48">
        <v>39686</v>
      </c>
      <c r="ES4" s="48">
        <v>39687</v>
      </c>
      <c r="ET4" s="48">
        <v>39688</v>
      </c>
      <c r="EU4" s="55">
        <v>39689</v>
      </c>
      <c r="EV4" s="48">
        <v>39693</v>
      </c>
      <c r="EW4" s="48">
        <v>39694</v>
      </c>
      <c r="EX4" s="48">
        <v>39695</v>
      </c>
      <c r="EY4" s="54">
        <v>39696</v>
      </c>
      <c r="EZ4" s="48">
        <v>39699</v>
      </c>
      <c r="FA4" s="162">
        <v>39700</v>
      </c>
      <c r="FB4" s="48">
        <v>39701</v>
      </c>
      <c r="FC4" s="48">
        <v>39702</v>
      </c>
      <c r="FD4" s="48">
        <v>39703</v>
      </c>
      <c r="FE4" s="220">
        <v>39706</v>
      </c>
      <c r="FF4" s="48">
        <v>39707</v>
      </c>
      <c r="FG4" s="48">
        <v>39708</v>
      </c>
      <c r="FH4" s="48">
        <v>39709</v>
      </c>
      <c r="FI4" s="220">
        <v>39710</v>
      </c>
      <c r="FJ4" s="48">
        <v>39713</v>
      </c>
      <c r="FK4" s="48">
        <v>39714</v>
      </c>
      <c r="FL4" s="70">
        <v>39715</v>
      </c>
      <c r="FM4" s="162">
        <v>39716</v>
      </c>
      <c r="FN4" s="48">
        <v>39717</v>
      </c>
      <c r="FO4" s="48">
        <v>39720</v>
      </c>
      <c r="FP4" s="55">
        <v>39721</v>
      </c>
      <c r="FQ4" s="48">
        <v>39722</v>
      </c>
      <c r="FR4" s="48">
        <v>39723</v>
      </c>
      <c r="FS4" s="54">
        <v>39724</v>
      </c>
      <c r="FT4" s="48">
        <v>39727</v>
      </c>
      <c r="FU4" s="48">
        <v>39728</v>
      </c>
      <c r="FV4" s="48">
        <v>39729</v>
      </c>
      <c r="FW4" s="48">
        <v>39730</v>
      </c>
      <c r="FX4" s="48">
        <v>39731</v>
      </c>
      <c r="FY4" s="48">
        <v>39735</v>
      </c>
      <c r="FZ4" s="220">
        <v>39736</v>
      </c>
      <c r="GA4" s="48">
        <v>39737</v>
      </c>
      <c r="GB4" s="54">
        <v>39738</v>
      </c>
      <c r="GC4" s="48">
        <v>39741</v>
      </c>
      <c r="GD4" s="48">
        <v>39742</v>
      </c>
      <c r="GE4" s="48">
        <v>39743</v>
      </c>
      <c r="GF4" s="48">
        <v>39744</v>
      </c>
      <c r="GG4" s="48">
        <v>39745</v>
      </c>
      <c r="GH4" s="162">
        <v>39748</v>
      </c>
      <c r="GI4" s="48">
        <v>39749</v>
      </c>
      <c r="GJ4" s="48">
        <v>39750</v>
      </c>
      <c r="GK4" s="48">
        <v>39751</v>
      </c>
      <c r="GL4" s="54">
        <v>39752</v>
      </c>
      <c r="GM4" s="48">
        <v>39755</v>
      </c>
      <c r="GN4" s="48">
        <v>39756</v>
      </c>
      <c r="GO4" s="48">
        <v>39757</v>
      </c>
      <c r="GP4" s="48">
        <v>39758</v>
      </c>
      <c r="GQ4" s="48">
        <v>39759</v>
      </c>
      <c r="GR4" s="48">
        <v>39762</v>
      </c>
      <c r="GS4" s="48">
        <v>39764</v>
      </c>
      <c r="GT4" s="48">
        <v>39765</v>
      </c>
      <c r="GU4" s="220">
        <v>39766</v>
      </c>
      <c r="GV4" s="48">
        <v>39769</v>
      </c>
      <c r="GW4" s="48">
        <v>39770</v>
      </c>
      <c r="GX4" s="48">
        <v>39771</v>
      </c>
      <c r="GY4" s="48">
        <v>39772</v>
      </c>
      <c r="GZ4" s="48">
        <v>39773</v>
      </c>
      <c r="HA4" s="48">
        <v>39776</v>
      </c>
      <c r="HB4" s="48">
        <v>39777</v>
      </c>
      <c r="HC4" s="48">
        <v>39778</v>
      </c>
      <c r="HD4" s="54">
        <v>39780</v>
      </c>
      <c r="HE4" s="48">
        <v>37226</v>
      </c>
      <c r="HF4" s="48">
        <f>+HE4+1</f>
        <v>37227</v>
      </c>
      <c r="HG4" s="48">
        <v>39785</v>
      </c>
      <c r="HH4" s="48">
        <f>+HG4+1</f>
        <v>39786</v>
      </c>
      <c r="HI4" s="48">
        <f>+HH4+1</f>
        <v>39787</v>
      </c>
      <c r="HJ4" s="48">
        <v>39790</v>
      </c>
      <c r="HK4" s="48">
        <f>+HJ4+1</f>
        <v>39791</v>
      </c>
      <c r="HL4" s="48">
        <f>+HK4+1</f>
        <v>39792</v>
      </c>
      <c r="HM4" s="48">
        <f>+HL4+1</f>
        <v>39793</v>
      </c>
      <c r="HN4" s="187">
        <f>+HM4+1</f>
        <v>39794</v>
      </c>
      <c r="HO4" s="180">
        <v>39797</v>
      </c>
      <c r="HP4" s="48">
        <f>+HO4+1</f>
        <v>39798</v>
      </c>
      <c r="HQ4" s="48">
        <f>HP4+1</f>
        <v>39799</v>
      </c>
      <c r="HR4" s="48">
        <f>HQ4+1</f>
        <v>39800</v>
      </c>
      <c r="HS4" s="48">
        <f>HR4+1</f>
        <v>39801</v>
      </c>
      <c r="HT4" s="48">
        <v>39804</v>
      </c>
      <c r="HU4" s="48">
        <f>HT4+1</f>
        <v>39805</v>
      </c>
      <c r="HV4" s="48">
        <f>HU4+1</f>
        <v>39806</v>
      </c>
      <c r="HW4" s="54">
        <v>39808</v>
      </c>
      <c r="HX4" s="48">
        <v>39811</v>
      </c>
      <c r="HY4" s="48">
        <f>HX4+1</f>
        <v>39812</v>
      </c>
      <c r="HZ4" s="55">
        <f>HY4+1</f>
        <v>39813</v>
      </c>
      <c r="IA4" s="48">
        <v>39815</v>
      </c>
      <c r="IB4" s="48">
        <v>39818</v>
      </c>
      <c r="IC4" s="48">
        <f>IB4+1</f>
        <v>39819</v>
      </c>
      <c r="ID4" s="48">
        <f>IC4+1</f>
        <v>39820</v>
      </c>
      <c r="IE4" s="48">
        <f>ID4+1</f>
        <v>39821</v>
      </c>
      <c r="IF4" s="54">
        <f>IE4+1</f>
        <v>39822</v>
      </c>
      <c r="IG4" s="48">
        <v>39825</v>
      </c>
      <c r="IH4" s="99">
        <f>IG4+1</f>
        <v>39826</v>
      </c>
      <c r="II4" s="48">
        <f>IH4+1</f>
        <v>39827</v>
      </c>
      <c r="IJ4" s="54">
        <f>II4+1</f>
        <v>39828</v>
      </c>
      <c r="IK4" s="48">
        <f>IJ4+1</f>
        <v>39829</v>
      </c>
      <c r="IL4" s="48">
        <v>39833</v>
      </c>
      <c r="IM4" s="48">
        <f>IL4+1</f>
        <v>39834</v>
      </c>
      <c r="IN4" s="48">
        <f>IM4+1</f>
        <v>39835</v>
      </c>
      <c r="IO4" s="54">
        <f>IN4+1</f>
        <v>39836</v>
      </c>
      <c r="IP4" s="48">
        <v>39839</v>
      </c>
      <c r="IQ4" s="48">
        <f>IP4+1</f>
        <v>39840</v>
      </c>
      <c r="IR4" s="48">
        <f>IQ4+1</f>
        <v>39841</v>
      </c>
      <c r="IS4" s="48">
        <f>IR4+1</f>
        <v>39842</v>
      </c>
      <c r="IT4" s="55">
        <f>IS4+1</f>
        <v>39843</v>
      </c>
      <c r="IU4" s="49" t="s">
        <v>73</v>
      </c>
    </row>
    <row r="5" spans="1:256" s="174" customFormat="1" ht="14.1" customHeight="1" thickBot="1">
      <c r="A5" s="167" t="s">
        <v>64</v>
      </c>
      <c r="B5" s="168"/>
      <c r="C5" s="169"/>
      <c r="D5" s="170"/>
      <c r="E5" s="170"/>
      <c r="F5" s="170"/>
      <c r="G5" s="170"/>
      <c r="H5" s="170"/>
      <c r="I5" s="171" t="s">
        <v>74</v>
      </c>
      <c r="J5" s="170"/>
      <c r="K5" s="170"/>
      <c r="L5" s="170"/>
      <c r="M5" s="170"/>
      <c r="N5" s="181" t="s">
        <v>75</v>
      </c>
      <c r="O5" s="170"/>
      <c r="P5" s="170"/>
      <c r="Q5" s="170"/>
      <c r="R5" s="171" t="s">
        <v>74</v>
      </c>
      <c r="S5" s="170"/>
      <c r="T5" s="175"/>
      <c r="W5" s="169"/>
      <c r="AB5" s="171" t="s">
        <v>74</v>
      </c>
      <c r="AF5" s="181" t="s">
        <v>75</v>
      </c>
      <c r="AL5" s="171" t="s">
        <v>74</v>
      </c>
      <c r="AR5" s="169"/>
      <c r="AV5" s="181" t="s">
        <v>74</v>
      </c>
      <c r="BC5" s="171" t="s">
        <v>75</v>
      </c>
      <c r="BF5" s="171" t="s">
        <v>74</v>
      </c>
      <c r="BN5" s="169"/>
      <c r="BP5" s="171" t="s">
        <v>74</v>
      </c>
      <c r="BY5" s="171" t="s">
        <v>75</v>
      </c>
      <c r="BZ5" s="171" t="s">
        <v>74</v>
      </c>
      <c r="CI5" s="171" t="s">
        <v>74</v>
      </c>
      <c r="CS5" s="171" t="s">
        <v>76</v>
      </c>
      <c r="DC5" s="171" t="s">
        <v>74</v>
      </c>
      <c r="DD5" s="169"/>
      <c r="DE5" s="175"/>
      <c r="DL5" s="171" t="s">
        <v>74</v>
      </c>
      <c r="DN5" s="171" t="s">
        <v>75</v>
      </c>
      <c r="DR5" s="175"/>
      <c r="DV5" s="171" t="s">
        <v>74</v>
      </c>
      <c r="DZ5" s="169"/>
      <c r="EF5" s="171" t="s">
        <v>74</v>
      </c>
      <c r="EG5" s="176"/>
      <c r="EH5" s="170"/>
      <c r="EK5" s="181" t="s">
        <v>75</v>
      </c>
      <c r="EP5" s="171" t="s">
        <v>74</v>
      </c>
      <c r="EU5" s="169"/>
      <c r="EY5" s="171" t="s">
        <v>74</v>
      </c>
      <c r="FA5" s="215"/>
      <c r="FE5" s="181" t="s">
        <v>75</v>
      </c>
      <c r="FF5" s="170"/>
      <c r="FI5" s="181" t="s">
        <v>74</v>
      </c>
      <c r="FL5" s="177"/>
      <c r="FM5" s="215"/>
      <c r="FP5" s="169"/>
      <c r="FS5" s="171" t="s">
        <v>74</v>
      </c>
      <c r="FZ5" s="181" t="s">
        <v>75</v>
      </c>
      <c r="GB5" s="171" t="s">
        <v>74</v>
      </c>
      <c r="GH5" s="215"/>
      <c r="GL5" s="171" t="s">
        <v>74</v>
      </c>
      <c r="GR5" s="179"/>
      <c r="GU5" s="181" t="s">
        <v>76</v>
      </c>
      <c r="HD5" s="171" t="s">
        <v>74</v>
      </c>
      <c r="HM5" s="172"/>
      <c r="HN5" s="188" t="s">
        <v>74</v>
      </c>
      <c r="HO5" s="181" t="s">
        <v>75</v>
      </c>
      <c r="HW5" s="171" t="s">
        <v>74</v>
      </c>
      <c r="HZ5" s="169"/>
      <c r="IF5" s="171" t="s">
        <v>74</v>
      </c>
      <c r="IH5" s="178"/>
      <c r="IJ5" s="171" t="s">
        <v>75</v>
      </c>
      <c r="IO5" s="171" t="s">
        <v>74</v>
      </c>
      <c r="IT5" s="169"/>
      <c r="IU5" s="170"/>
    </row>
    <row r="6" spans="1:256" ht="14.1" customHeight="1">
      <c r="A6" s="2" t="s">
        <v>2</v>
      </c>
      <c r="B6" s="2"/>
      <c r="C6" s="153">
        <v>218580</v>
      </c>
      <c r="D6" s="2">
        <v>120440</v>
      </c>
      <c r="E6" s="2">
        <v>219084</v>
      </c>
      <c r="F6" s="2">
        <v>289343</v>
      </c>
      <c r="G6" s="2">
        <v>329905</v>
      </c>
      <c r="H6" s="2">
        <v>-23552</v>
      </c>
      <c r="I6" s="2">
        <v>114821</v>
      </c>
      <c r="J6" s="2">
        <v>110655</v>
      </c>
      <c r="K6" s="2">
        <v>103011</v>
      </c>
      <c r="L6" s="2">
        <v>107751</v>
      </c>
      <c r="M6" s="2">
        <v>171542</v>
      </c>
      <c r="N6" s="221">
        <v>146397</v>
      </c>
      <c r="O6" s="2">
        <v>117817</v>
      </c>
      <c r="P6" s="2">
        <v>125911</v>
      </c>
      <c r="Q6" s="2">
        <v>175542</v>
      </c>
      <c r="R6" s="2">
        <v>206511</v>
      </c>
      <c r="S6" s="2">
        <v>200914</v>
      </c>
      <c r="T6" s="2">
        <v>119564</v>
      </c>
      <c r="U6" s="2">
        <v>138427</v>
      </c>
      <c r="V6" s="2">
        <v>110639</v>
      </c>
      <c r="W6" s="153">
        <v>107484</v>
      </c>
      <c r="X6" s="2">
        <v>105659</v>
      </c>
      <c r="Y6" s="2">
        <v>134605</v>
      </c>
      <c r="Z6" s="2">
        <v>184703</v>
      </c>
      <c r="AA6" s="2">
        <v>157058</v>
      </c>
      <c r="AB6" s="2">
        <v>310163</v>
      </c>
      <c r="AC6" s="2">
        <v>281129</v>
      </c>
      <c r="AD6" s="2">
        <v>137690</v>
      </c>
      <c r="AE6" s="2">
        <v>132184</v>
      </c>
      <c r="AF6" s="221">
        <v>104593</v>
      </c>
      <c r="AG6" s="2">
        <v>100177</v>
      </c>
      <c r="AH6" s="2">
        <v>100000</v>
      </c>
      <c r="AI6" s="2">
        <v>100000</v>
      </c>
      <c r="AJ6" s="2">
        <v>106477</v>
      </c>
      <c r="AK6" s="2">
        <v>173244</v>
      </c>
      <c r="AL6" s="2">
        <v>136361</v>
      </c>
      <c r="AM6" s="2">
        <v>122616</v>
      </c>
      <c r="AN6" s="2">
        <v>120696</v>
      </c>
      <c r="AO6" s="2">
        <v>114807</v>
      </c>
      <c r="AP6" s="2">
        <v>217771</v>
      </c>
      <c r="AQ6" s="2">
        <v>249779</v>
      </c>
      <c r="AR6" s="153">
        <v>129227</v>
      </c>
      <c r="AS6" s="2">
        <v>126885</v>
      </c>
      <c r="AT6" s="2">
        <v>128590</v>
      </c>
      <c r="AU6" s="2">
        <v>113842</v>
      </c>
      <c r="AV6" s="221">
        <v>129732</v>
      </c>
      <c r="AW6" s="2">
        <v>144515</v>
      </c>
      <c r="AX6" s="2">
        <v>135908</v>
      </c>
      <c r="AY6" s="2">
        <v>127487</v>
      </c>
      <c r="AZ6" s="2">
        <v>151765</v>
      </c>
      <c r="BA6" s="2">
        <v>176423</v>
      </c>
      <c r="BB6" s="2">
        <v>201392</v>
      </c>
      <c r="BC6" s="2">
        <v>143085</v>
      </c>
      <c r="BD6" s="2">
        <v>125947</v>
      </c>
      <c r="BE6" s="2">
        <v>117135</v>
      </c>
      <c r="BF6" s="2">
        <v>193360</v>
      </c>
      <c r="BG6" s="2">
        <v>149448</v>
      </c>
      <c r="BH6" s="2">
        <v>109554</v>
      </c>
      <c r="BI6" s="2">
        <v>134123</v>
      </c>
      <c r="BJ6" s="2">
        <v>134555</v>
      </c>
      <c r="BK6" s="2">
        <v>169904</v>
      </c>
      <c r="BL6" s="2">
        <v>147210</v>
      </c>
      <c r="BM6" s="2">
        <v>144152</v>
      </c>
      <c r="BN6" s="153">
        <v>138694</v>
      </c>
      <c r="BO6" s="2">
        <v>111910</v>
      </c>
      <c r="BP6" s="2">
        <v>127733</v>
      </c>
      <c r="BQ6" s="2">
        <v>153339</v>
      </c>
      <c r="BR6" s="2">
        <v>134027</v>
      </c>
      <c r="BS6" s="2">
        <v>140202</v>
      </c>
      <c r="BT6" s="2">
        <v>133694</v>
      </c>
      <c r="BU6" s="2">
        <v>109050</v>
      </c>
      <c r="BV6" s="2">
        <v>112154</v>
      </c>
      <c r="BW6" s="2">
        <v>109100</v>
      </c>
      <c r="BX6" s="2">
        <v>108332</v>
      </c>
      <c r="BY6" s="2">
        <v>104841</v>
      </c>
      <c r="BZ6" s="2">
        <v>124221</v>
      </c>
      <c r="CA6" s="2">
        <v>119536</v>
      </c>
      <c r="CB6" s="2">
        <v>124280</v>
      </c>
      <c r="CC6" s="2">
        <v>309868</v>
      </c>
      <c r="CD6" s="2">
        <v>425034</v>
      </c>
      <c r="CE6" s="2">
        <v>141021</v>
      </c>
      <c r="CF6" s="2">
        <v>152701</v>
      </c>
      <c r="CG6" s="2">
        <v>130909</v>
      </c>
      <c r="CH6" s="2">
        <v>149965</v>
      </c>
      <c r="CI6" s="153">
        <v>168613</v>
      </c>
      <c r="CJ6" s="2">
        <v>175861</v>
      </c>
      <c r="CK6" s="2">
        <v>109962</v>
      </c>
      <c r="CL6" s="2">
        <v>101698</v>
      </c>
      <c r="CM6" s="2">
        <v>100143</v>
      </c>
      <c r="CN6" s="2">
        <v>169196</v>
      </c>
      <c r="CO6" s="2">
        <v>129297</v>
      </c>
      <c r="CP6" s="2">
        <v>107456</v>
      </c>
      <c r="CQ6" s="2">
        <v>114733</v>
      </c>
      <c r="CR6" s="2">
        <v>104071</v>
      </c>
      <c r="CS6" s="2">
        <v>162335</v>
      </c>
      <c r="CT6" s="2">
        <v>253100</v>
      </c>
      <c r="CU6" s="2">
        <v>113899</v>
      </c>
      <c r="CV6" s="2">
        <v>158744</v>
      </c>
      <c r="CW6" s="2">
        <v>113803</v>
      </c>
      <c r="CX6" s="2">
        <v>139892</v>
      </c>
      <c r="CY6" s="2">
        <v>142872</v>
      </c>
      <c r="CZ6" s="2">
        <v>110474</v>
      </c>
      <c r="DA6" s="2">
        <v>121687</v>
      </c>
      <c r="DB6" s="2">
        <v>129092</v>
      </c>
      <c r="DC6" s="2">
        <v>133289</v>
      </c>
      <c r="DD6" s="153">
        <v>105447</v>
      </c>
      <c r="DE6" s="85">
        <v>104198</v>
      </c>
      <c r="DF6" s="2">
        <v>210531</v>
      </c>
      <c r="DG6" s="2">
        <v>201020</v>
      </c>
      <c r="DH6" s="2">
        <v>688484</v>
      </c>
      <c r="DI6" s="2">
        <v>531400.17000000004</v>
      </c>
      <c r="DJ6" s="2">
        <v>134089</v>
      </c>
      <c r="DK6" s="2">
        <v>100000</v>
      </c>
      <c r="DL6" s="2">
        <v>100000</v>
      </c>
      <c r="DM6" s="2">
        <v>100000</v>
      </c>
      <c r="DN6" s="2">
        <v>100000</v>
      </c>
      <c r="DO6" s="2">
        <v>100000</v>
      </c>
      <c r="DP6" s="2">
        <v>1554249</v>
      </c>
      <c r="DQ6" s="2">
        <v>358738</v>
      </c>
      <c r="DR6" s="85">
        <f t="shared" ref="DR6:EW6" si="0">+DQ51</f>
        <v>327541.48</v>
      </c>
      <c r="DS6" s="2">
        <f t="shared" si="0"/>
        <v>135124.47999999998</v>
      </c>
      <c r="DT6" s="2">
        <f t="shared" si="0"/>
        <v>345370.48</v>
      </c>
      <c r="DU6" s="2">
        <f t="shared" si="0"/>
        <v>182021.4800000001</v>
      </c>
      <c r="DV6" s="2">
        <f t="shared" si="0"/>
        <v>121773.47999999952</v>
      </c>
      <c r="DW6" s="2">
        <f t="shared" si="0"/>
        <v>111335.47999999952</v>
      </c>
      <c r="DX6" s="2">
        <f t="shared" si="0"/>
        <v>102465.47999999952</v>
      </c>
      <c r="DY6" s="2">
        <f t="shared" si="0"/>
        <v>202502.47999999858</v>
      </c>
      <c r="DZ6" s="153">
        <f t="shared" si="0"/>
        <v>200822.47999999858</v>
      </c>
      <c r="EA6" s="2">
        <f t="shared" si="0"/>
        <v>122632.47999999858</v>
      </c>
      <c r="EB6" s="2">
        <f t="shared" si="0"/>
        <v>454761.47999999835</v>
      </c>
      <c r="EC6" s="2">
        <f t="shared" si="0"/>
        <v>132239.47999999765</v>
      </c>
      <c r="ED6" s="2">
        <f t="shared" si="0"/>
        <v>125622.47999999858</v>
      </c>
      <c r="EE6" s="2">
        <f t="shared" si="0"/>
        <v>163018.47999999858</v>
      </c>
      <c r="EF6" s="2">
        <f t="shared" si="0"/>
        <v>176217.47999999858</v>
      </c>
      <c r="EG6" s="30">
        <f t="shared" si="0"/>
        <v>114888.47999999858</v>
      </c>
      <c r="EH6" s="2">
        <f t="shared" si="0"/>
        <v>-125233573.52000001</v>
      </c>
      <c r="EI6" s="2">
        <f t="shared" si="0"/>
        <v>-125234401.52000001</v>
      </c>
      <c r="EJ6" s="2">
        <f t="shared" si="0"/>
        <v>-125225766.52000001</v>
      </c>
      <c r="EK6" s="72">
        <f t="shared" si="0"/>
        <v>-125063305.52000001</v>
      </c>
      <c r="EL6" s="2">
        <f t="shared" si="0"/>
        <v>-125067250.52000001</v>
      </c>
      <c r="EM6" s="2">
        <f t="shared" si="0"/>
        <v>-125205599.52000001</v>
      </c>
      <c r="EN6" s="2">
        <f t="shared" si="0"/>
        <v>-126172232.16000001</v>
      </c>
      <c r="EO6" s="2">
        <f t="shared" si="0"/>
        <v>-125239410.52000001</v>
      </c>
      <c r="EP6" s="2">
        <f t="shared" si="0"/>
        <v>-125026108.52000001</v>
      </c>
      <c r="EQ6" s="2">
        <f t="shared" si="0"/>
        <v>-125022285.52000001</v>
      </c>
      <c r="ER6" s="2">
        <f t="shared" si="0"/>
        <v>-125034234.55000001</v>
      </c>
      <c r="ES6" s="2">
        <f t="shared" si="0"/>
        <v>-125172816.55000001</v>
      </c>
      <c r="ET6" s="2">
        <f t="shared" si="0"/>
        <v>-125226099.55000001</v>
      </c>
      <c r="EU6" s="153">
        <f t="shared" si="0"/>
        <v>-125234538.54700001</v>
      </c>
      <c r="EV6" s="2">
        <f t="shared" si="0"/>
        <v>-125236556.54700001</v>
      </c>
      <c r="EW6" s="2">
        <f t="shared" si="0"/>
        <v>-125230039.54700001</v>
      </c>
      <c r="EX6" s="2">
        <f t="shared" ref="EX6:GC6" si="1">+EW51</f>
        <v>-125219921.46700001</v>
      </c>
      <c r="EY6" s="2">
        <f t="shared" si="1"/>
        <v>-125228973.86700001</v>
      </c>
      <c r="EZ6" s="2">
        <f t="shared" si="1"/>
        <v>-125180813.86700001</v>
      </c>
      <c r="FA6" s="2">
        <f t="shared" si="1"/>
        <v>-125141321.86700001</v>
      </c>
      <c r="FB6" s="2">
        <f t="shared" si="1"/>
        <v>-125173321.86700001</v>
      </c>
      <c r="FC6" s="2">
        <f t="shared" si="1"/>
        <v>-125234799.86700001</v>
      </c>
      <c r="FD6" s="2">
        <f t="shared" si="1"/>
        <v>-125225594.86700001</v>
      </c>
      <c r="FE6" s="221">
        <f t="shared" si="1"/>
        <v>-125222078.86700001</v>
      </c>
      <c r="FF6" s="2">
        <f t="shared" si="1"/>
        <v>-125221681.86700001</v>
      </c>
      <c r="FG6" s="2">
        <f t="shared" si="1"/>
        <v>-125228343.86700001</v>
      </c>
      <c r="FH6" s="2">
        <f t="shared" si="1"/>
        <v>-125238861.86700001</v>
      </c>
      <c r="FI6" s="221">
        <f t="shared" si="1"/>
        <v>-125225307.86700001</v>
      </c>
      <c r="FJ6" s="2">
        <f t="shared" si="1"/>
        <v>-125208997.87700002</v>
      </c>
      <c r="FK6" s="2">
        <f t="shared" si="1"/>
        <v>-125230474.87700002</v>
      </c>
      <c r="FL6" s="72">
        <f t="shared" si="1"/>
        <v>-125239494.877</v>
      </c>
      <c r="FM6" s="2">
        <f t="shared" si="1"/>
        <v>-125238553.87699999</v>
      </c>
      <c r="FN6" s="2">
        <f t="shared" si="1"/>
        <v>-125239965.457</v>
      </c>
      <c r="FO6" s="2">
        <f t="shared" si="1"/>
        <v>-125214306.457</v>
      </c>
      <c r="FP6" s="153">
        <f t="shared" si="1"/>
        <v>-125194957.617</v>
      </c>
      <c r="FQ6" s="2">
        <f t="shared" si="1"/>
        <v>-125231835.617</v>
      </c>
      <c r="FR6" s="2">
        <f t="shared" si="1"/>
        <v>-125022158.127</v>
      </c>
      <c r="FS6" s="2">
        <f t="shared" si="1"/>
        <v>-125174364.81700002</v>
      </c>
      <c r="FT6" s="2">
        <f t="shared" si="1"/>
        <v>-125217549.81700002</v>
      </c>
      <c r="FU6" s="2">
        <f t="shared" si="1"/>
        <v>-125217006.71700002</v>
      </c>
      <c r="FV6" s="2">
        <f t="shared" si="1"/>
        <v>-125181740.71700002</v>
      </c>
      <c r="FW6" s="2">
        <f t="shared" si="1"/>
        <v>-125202226.72700003</v>
      </c>
      <c r="FX6" s="2">
        <f t="shared" si="1"/>
        <v>-125462176.69700003</v>
      </c>
      <c r="FY6" s="2">
        <f t="shared" si="1"/>
        <v>-125043435.72700003</v>
      </c>
      <c r="FZ6" s="221">
        <f t="shared" si="1"/>
        <v>-125217823.72700003</v>
      </c>
      <c r="GA6" s="2">
        <f t="shared" si="1"/>
        <v>-125202767.72700003</v>
      </c>
      <c r="GB6" s="2">
        <f t="shared" si="1"/>
        <v>-125210077.72700003</v>
      </c>
      <c r="GC6" s="2">
        <f t="shared" si="1"/>
        <v>-125213566.72700003</v>
      </c>
      <c r="GD6" s="2">
        <f t="shared" ref="GD6:HI6" si="2">+GC51</f>
        <v>-125203494.72700003</v>
      </c>
      <c r="GE6" s="2">
        <f t="shared" si="2"/>
        <v>-125205221.72700003</v>
      </c>
      <c r="GF6" s="2">
        <f t="shared" si="2"/>
        <v>-125210895.72700003</v>
      </c>
      <c r="GG6" s="2">
        <f t="shared" si="2"/>
        <v>-125205342.72700003</v>
      </c>
      <c r="GH6" s="2">
        <f t="shared" si="2"/>
        <v>-124973254.08700003</v>
      </c>
      <c r="GI6" s="2">
        <f t="shared" si="2"/>
        <v>-125167149.17700003</v>
      </c>
      <c r="GJ6" s="2">
        <f t="shared" si="2"/>
        <v>-125149614.17700003</v>
      </c>
      <c r="GK6" s="2">
        <f t="shared" si="2"/>
        <v>-125226396.17700003</v>
      </c>
      <c r="GL6" s="153">
        <f t="shared" si="2"/>
        <v>-125227357.17700003</v>
      </c>
      <c r="GM6" s="2">
        <f t="shared" si="2"/>
        <v>-125232092.17700005</v>
      </c>
      <c r="GN6" s="2">
        <f t="shared" si="2"/>
        <v>-125231246.17700005</v>
      </c>
      <c r="GO6" s="2">
        <f t="shared" si="2"/>
        <v>-125234030.17700005</v>
      </c>
      <c r="GP6" s="2">
        <f t="shared" si="2"/>
        <v>-125232141.17700005</v>
      </c>
      <c r="GQ6" s="2">
        <f t="shared" si="2"/>
        <v>-139183681.98700005</v>
      </c>
      <c r="GR6" s="2">
        <f t="shared" si="2"/>
        <v>-125209146.17700005</v>
      </c>
      <c r="GS6" s="2">
        <f t="shared" si="2"/>
        <v>-125210974.17700006</v>
      </c>
      <c r="GT6" s="2">
        <f t="shared" si="2"/>
        <v>-125198264.17700006</v>
      </c>
      <c r="GU6" s="249">
        <f t="shared" si="2"/>
        <v>-125157764.17700006</v>
      </c>
      <c r="GV6" s="2">
        <f t="shared" si="2"/>
        <v>-125222089.17700008</v>
      </c>
      <c r="GW6" s="2">
        <f t="shared" si="2"/>
        <v>-125227619.17700008</v>
      </c>
      <c r="GX6" s="2">
        <f t="shared" si="2"/>
        <v>-125190562.17700008</v>
      </c>
      <c r="GY6" s="2">
        <f t="shared" si="2"/>
        <v>-125207964.17700009</v>
      </c>
      <c r="GZ6" s="2">
        <f t="shared" si="2"/>
        <v>-125065498.17700009</v>
      </c>
      <c r="HA6" s="2">
        <f t="shared" si="2"/>
        <v>-125207047.17700009</v>
      </c>
      <c r="HB6" s="2">
        <f t="shared" si="2"/>
        <v>-125221604.17700008</v>
      </c>
      <c r="HC6" s="2">
        <f t="shared" si="2"/>
        <v>-125226550.17700008</v>
      </c>
      <c r="HD6" s="153">
        <f t="shared" si="2"/>
        <v>-125236700.17700008</v>
      </c>
      <c r="HE6" s="2">
        <f t="shared" si="2"/>
        <v>-125241326.17700008</v>
      </c>
      <c r="HF6" s="2">
        <f t="shared" si="2"/>
        <v>-125241750.27700007</v>
      </c>
      <c r="HG6" s="2">
        <f t="shared" si="2"/>
        <v>-125198829.27700007</v>
      </c>
      <c r="HH6" s="2">
        <f t="shared" si="2"/>
        <v>-125014115.11700007</v>
      </c>
      <c r="HI6" s="2">
        <f t="shared" si="2"/>
        <v>-124897931.44700007</v>
      </c>
      <c r="HJ6" s="2">
        <f t="shared" ref="HJ6:IT6" si="3">+HI51</f>
        <v>-125184162.97700007</v>
      </c>
      <c r="HK6" s="2">
        <f t="shared" si="3"/>
        <v>-125134034.97700009</v>
      </c>
      <c r="HL6" s="2">
        <f t="shared" si="3"/>
        <v>-125078437.97700009</v>
      </c>
      <c r="HM6" s="2">
        <f t="shared" si="3"/>
        <v>-125178863.97700009</v>
      </c>
      <c r="HN6" s="128">
        <f t="shared" si="3"/>
        <v>-125219345.97700009</v>
      </c>
      <c r="HO6" s="72">
        <f t="shared" si="3"/>
        <v>-125229454.97700009</v>
      </c>
      <c r="HP6" s="2">
        <f t="shared" si="3"/>
        <v>-125234086.97700009</v>
      </c>
      <c r="HQ6" s="2">
        <f t="shared" si="3"/>
        <v>-125221324.97700009</v>
      </c>
      <c r="HR6" s="2">
        <f t="shared" si="3"/>
        <v>-125222055.97700009</v>
      </c>
      <c r="HS6" s="2">
        <f t="shared" si="3"/>
        <v>-125207553.97700009</v>
      </c>
      <c r="HT6" s="2">
        <f t="shared" si="3"/>
        <v>-125023934.97700009</v>
      </c>
      <c r="HU6" s="2">
        <f t="shared" si="3"/>
        <v>-125217717.97700009</v>
      </c>
      <c r="HV6" s="2">
        <f t="shared" si="3"/>
        <v>-125237886.97700009</v>
      </c>
      <c r="HW6" s="2">
        <f t="shared" si="3"/>
        <v>-125241613.97700009</v>
      </c>
      <c r="HX6" s="2">
        <f t="shared" si="3"/>
        <v>-125241747.97700009</v>
      </c>
      <c r="HY6" s="2">
        <f t="shared" si="3"/>
        <v>-125241749.97700009</v>
      </c>
      <c r="HZ6" s="153">
        <f t="shared" si="3"/>
        <v>-125241749.97700009</v>
      </c>
      <c r="IA6" s="2">
        <f t="shared" si="3"/>
        <v>-125241749.97700009</v>
      </c>
      <c r="IB6" s="2">
        <f t="shared" si="3"/>
        <v>-125241749.97700009</v>
      </c>
      <c r="IC6" s="2">
        <f t="shared" si="3"/>
        <v>-125241749.97700009</v>
      </c>
      <c r="ID6" s="2">
        <f t="shared" si="3"/>
        <v>-125241749.97700009</v>
      </c>
      <c r="IE6" s="2">
        <f t="shared" si="3"/>
        <v>-125214657.97700009</v>
      </c>
      <c r="IF6" s="2">
        <f t="shared" si="3"/>
        <v>-125221136.97700009</v>
      </c>
      <c r="IG6" s="2">
        <f t="shared" si="3"/>
        <v>-125091878.97700009</v>
      </c>
      <c r="IH6" s="100">
        <f t="shared" si="3"/>
        <v>-124375632.97700009</v>
      </c>
      <c r="II6" s="2">
        <f t="shared" si="3"/>
        <v>-124904954.6870001</v>
      </c>
      <c r="IJ6" s="2">
        <f t="shared" si="3"/>
        <v>-125148817.97700009</v>
      </c>
      <c r="IK6" s="2">
        <f t="shared" si="3"/>
        <v>-125223705.97700009</v>
      </c>
      <c r="IL6" s="2">
        <f t="shared" si="3"/>
        <v>-125221871.97700009</v>
      </c>
      <c r="IM6" s="2">
        <f t="shared" si="3"/>
        <v>-125095941.97700009</v>
      </c>
      <c r="IN6" s="2">
        <f t="shared" si="3"/>
        <v>-125040725.97700009</v>
      </c>
      <c r="IO6" s="2">
        <f t="shared" si="3"/>
        <v>-125058990.97700009</v>
      </c>
      <c r="IP6" s="2">
        <f t="shared" si="3"/>
        <v>-125205680.97700009</v>
      </c>
      <c r="IQ6" s="2">
        <f t="shared" si="3"/>
        <v>-125153297.97700009</v>
      </c>
      <c r="IR6" s="2">
        <f t="shared" si="3"/>
        <v>-125236113.9770001</v>
      </c>
      <c r="IS6" s="2">
        <f t="shared" si="3"/>
        <v>-125193029.97700012</v>
      </c>
      <c r="IT6" s="153">
        <f t="shared" si="3"/>
        <v>-125231303.97700012</v>
      </c>
      <c r="IU6" s="2"/>
    </row>
    <row r="7" spans="1:256" ht="24" customHeight="1">
      <c r="A7" s="24" t="s">
        <v>3</v>
      </c>
      <c r="B7" s="25"/>
      <c r="C7" s="154"/>
      <c r="D7" s="26"/>
      <c r="E7" s="26"/>
      <c r="F7" s="26"/>
      <c r="G7" s="26"/>
      <c r="H7" s="26"/>
      <c r="I7" s="26"/>
      <c r="J7" s="26"/>
      <c r="K7" s="26"/>
      <c r="L7" s="26"/>
      <c r="M7" s="26"/>
      <c r="N7" s="234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34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34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8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31"/>
      <c r="EH7" s="26"/>
      <c r="EI7" s="26"/>
      <c r="EJ7" s="26"/>
      <c r="EK7" s="122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34"/>
      <c r="FF7" s="26"/>
      <c r="FG7" s="26"/>
      <c r="FH7" s="26"/>
      <c r="FI7" s="234"/>
      <c r="FJ7" s="26"/>
      <c r="FK7" s="26"/>
      <c r="FL7" s="73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34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39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129"/>
      <c r="HO7" s="73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101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</row>
    <row r="8" spans="1:256" ht="14.1" customHeight="1">
      <c r="A8" s="58" t="s">
        <v>5</v>
      </c>
      <c r="B8" s="4"/>
      <c r="C8" s="155">
        <v>114838.5</v>
      </c>
      <c r="D8" s="4">
        <v>112148.48</v>
      </c>
      <c r="E8" s="4">
        <v>541000</v>
      </c>
      <c r="F8" s="4">
        <v>9455.43</v>
      </c>
      <c r="G8" s="4">
        <v>2800.45</v>
      </c>
      <c r="H8" s="4">
        <v>13180.43</v>
      </c>
      <c r="I8" s="4">
        <v>2071.7800000000002</v>
      </c>
      <c r="J8" s="4">
        <v>246.85</v>
      </c>
      <c r="K8" s="4">
        <v>12912.74</v>
      </c>
      <c r="L8" s="4">
        <v>99382.99</v>
      </c>
      <c r="M8" s="4">
        <v>4223.92</v>
      </c>
      <c r="N8" s="189">
        <v>12541.23</v>
      </c>
      <c r="O8" s="4">
        <v>11998.5</v>
      </c>
      <c r="P8" s="4">
        <v>68344.72</v>
      </c>
      <c r="Q8" s="4">
        <v>98755.82</v>
      </c>
      <c r="R8" s="4">
        <v>3919510.58</v>
      </c>
      <c r="S8" s="4">
        <v>11624.64</v>
      </c>
      <c r="T8" s="4">
        <v>29157.95</v>
      </c>
      <c r="U8" s="4">
        <v>7375.6</v>
      </c>
      <c r="V8" s="4">
        <v>5261.1</v>
      </c>
      <c r="W8" s="4">
        <v>137.19999999999999</v>
      </c>
      <c r="X8" s="4">
        <v>33229.279999999999</v>
      </c>
      <c r="Y8" s="4">
        <v>73019.03</v>
      </c>
      <c r="Z8" s="4">
        <v>81633.78</v>
      </c>
      <c r="AA8" s="4">
        <v>169419.69</v>
      </c>
      <c r="AB8" s="4">
        <v>13948.45</v>
      </c>
      <c r="AC8" s="4">
        <v>26098.959999999999</v>
      </c>
      <c r="AD8" s="4">
        <v>33499.910000000003</v>
      </c>
      <c r="AE8" s="4"/>
      <c r="AF8" s="189"/>
      <c r="AG8" s="4"/>
      <c r="AH8" s="4"/>
      <c r="AI8" s="4">
        <v>31882.84</v>
      </c>
      <c r="AJ8" s="4">
        <v>71821.09</v>
      </c>
      <c r="AK8" s="4">
        <v>14463.34</v>
      </c>
      <c r="AL8" s="4">
        <v>15629.02</v>
      </c>
      <c r="AM8" s="4">
        <v>21103.81</v>
      </c>
      <c r="AN8" s="4">
        <v>12133</v>
      </c>
      <c r="AO8" s="4">
        <v>110041.54</v>
      </c>
      <c r="AP8" s="4">
        <v>45818.85</v>
      </c>
      <c r="AQ8" s="4">
        <v>3216.83</v>
      </c>
      <c r="AR8" s="4">
        <v>22923.27</v>
      </c>
      <c r="AS8" s="4">
        <v>10839.87</v>
      </c>
      <c r="AT8" s="4">
        <v>3584.93</v>
      </c>
      <c r="AU8" s="4">
        <v>29366.26</v>
      </c>
      <c r="AV8" s="189">
        <v>31218</v>
      </c>
      <c r="AW8" s="4">
        <v>24673.59</v>
      </c>
      <c r="AX8" s="4">
        <v>25175.57</v>
      </c>
      <c r="AY8" s="4">
        <v>49100.35</v>
      </c>
      <c r="AZ8" s="4">
        <v>40830.870000000003</v>
      </c>
      <c r="BA8" s="4">
        <v>63449.11</v>
      </c>
      <c r="BB8" s="4">
        <v>20131.650000000001</v>
      </c>
      <c r="BC8" s="4">
        <v>5751.87</v>
      </c>
      <c r="BD8" s="4">
        <v>12643.85</v>
      </c>
      <c r="BE8" s="4">
        <v>107381.22</v>
      </c>
      <c r="BF8" s="4">
        <v>8827.4699999999993</v>
      </c>
      <c r="BG8" s="4">
        <v>5276.57</v>
      </c>
      <c r="BH8" s="4">
        <v>47045.34</v>
      </c>
      <c r="BI8" s="4">
        <v>29822.84</v>
      </c>
      <c r="BJ8" s="4">
        <v>60203.59</v>
      </c>
      <c r="BK8" s="4">
        <v>40317.35</v>
      </c>
      <c r="BL8" s="4">
        <v>6618.42</v>
      </c>
      <c r="BM8" s="4">
        <v>37214.629999999997</v>
      </c>
      <c r="BN8" s="4">
        <v>12021.94</v>
      </c>
      <c r="BO8" s="4">
        <v>24060.82</v>
      </c>
      <c r="BP8" s="4">
        <v>35720.769999999997</v>
      </c>
      <c r="BQ8" s="4">
        <v>4601</v>
      </c>
      <c r="BR8" s="4">
        <f>59309.92</f>
        <v>59309.919999999998</v>
      </c>
      <c r="BS8" s="4">
        <v>13645.09</v>
      </c>
      <c r="BT8" s="4">
        <v>1188.9100000000001</v>
      </c>
      <c r="BU8" s="4">
        <v>12554.47</v>
      </c>
      <c r="BV8" s="4">
        <v>1980.87</v>
      </c>
      <c r="BW8" s="4">
        <v>7977.26</v>
      </c>
      <c r="BX8" s="4">
        <v>16300.13</v>
      </c>
      <c r="BY8" s="4">
        <v>24082.17</v>
      </c>
      <c r="BZ8" s="4">
        <v>17662.38</v>
      </c>
      <c r="CA8" s="4">
        <v>15823.98</v>
      </c>
      <c r="CB8" s="4">
        <v>460888.68</v>
      </c>
      <c r="CC8" s="4">
        <v>10371.959999999999</v>
      </c>
      <c r="CD8" s="4">
        <v>196736.21</v>
      </c>
      <c r="CE8" s="4">
        <v>43401.47</v>
      </c>
      <c r="CF8" s="4">
        <v>25972.57</v>
      </c>
      <c r="CG8" s="4">
        <v>53675.21</v>
      </c>
      <c r="CH8" s="4">
        <v>37757.03</v>
      </c>
      <c r="CI8" s="4">
        <v>61263.76</v>
      </c>
      <c r="CJ8" s="4">
        <v>15981.13</v>
      </c>
      <c r="CK8" s="4"/>
      <c r="CL8" s="4"/>
      <c r="CM8" s="4">
        <v>78134.92</v>
      </c>
      <c r="CN8" s="4">
        <v>8984.33</v>
      </c>
      <c r="CO8" s="4"/>
      <c r="CP8" s="4">
        <v>26108.57</v>
      </c>
      <c r="CQ8" s="4"/>
      <c r="CR8" s="4">
        <v>82625.78</v>
      </c>
      <c r="CS8" s="4">
        <v>124702.76</v>
      </c>
      <c r="CT8" s="4"/>
      <c r="CU8" s="4">
        <v>66069.17</v>
      </c>
      <c r="CV8" s="4">
        <f>2149.59+14480</f>
        <v>16629.59</v>
      </c>
      <c r="CW8" s="4">
        <v>60991.39</v>
      </c>
      <c r="CX8" s="4">
        <v>37040.18</v>
      </c>
      <c r="CY8" s="4"/>
      <c r="CZ8" s="4">
        <f>31919.41+12680</f>
        <v>44599.41</v>
      </c>
      <c r="DA8" s="4">
        <v>23482.639999999999</v>
      </c>
      <c r="DB8" s="4">
        <v>33854.65</v>
      </c>
      <c r="DC8" s="4">
        <v>5626.22</v>
      </c>
      <c r="DD8" s="4"/>
      <c r="DE8" s="87">
        <f>7381.19+103311.11</f>
        <v>110692.3</v>
      </c>
      <c r="DF8" s="4"/>
      <c r="DG8" s="4">
        <f>530136.79+61018.29</f>
        <v>591155.08000000007</v>
      </c>
      <c r="DH8" s="4"/>
      <c r="DI8" s="4"/>
      <c r="DJ8" s="4"/>
      <c r="DK8" s="4"/>
      <c r="DL8" s="4"/>
      <c r="DM8" s="4"/>
      <c r="DN8" s="4"/>
      <c r="DO8" s="4">
        <f>83927.67+1369532.21+3172.23</f>
        <v>1456632.1099999999</v>
      </c>
      <c r="DP8" s="4">
        <v>10362.9</v>
      </c>
      <c r="DQ8" s="4">
        <f>159935.75</f>
        <v>159935.75</v>
      </c>
      <c r="DR8" s="87"/>
      <c r="DS8" s="4">
        <v>537665.05000000005</v>
      </c>
      <c r="DT8" s="4">
        <v>82158.05</v>
      </c>
      <c r="DU8" s="4">
        <v>18245.52</v>
      </c>
      <c r="DV8" s="4">
        <v>2817.13</v>
      </c>
      <c r="DW8" s="4"/>
      <c r="DX8" s="4">
        <v>108547.13</v>
      </c>
      <c r="DY8" s="4">
        <v>17565.62</v>
      </c>
      <c r="DZ8" s="4">
        <v>155320.78</v>
      </c>
      <c r="EA8" s="4">
        <v>349141.86</v>
      </c>
      <c r="EB8" s="4"/>
      <c r="EC8" s="4">
        <v>25503.53</v>
      </c>
      <c r="ED8" s="4">
        <v>54842.73</v>
      </c>
      <c r="EE8" s="4">
        <v>54621.31</v>
      </c>
      <c r="EF8" s="4">
        <v>9766.64</v>
      </c>
      <c r="EG8" s="32"/>
      <c r="EH8" s="4">
        <v>7141.45</v>
      </c>
      <c r="EI8" s="4">
        <v>16070.15</v>
      </c>
      <c r="EJ8" s="4">
        <v>170511.15</v>
      </c>
      <c r="EK8" s="74">
        <v>26943.17</v>
      </c>
      <c r="EL8" s="4">
        <v>4855</v>
      </c>
      <c r="EM8" s="4"/>
      <c r="EN8" s="4">
        <v>2340.9699999999998</v>
      </c>
      <c r="EO8" s="4">
        <v>214209.69</v>
      </c>
      <c r="EP8" s="4">
        <v>8173.47</v>
      </c>
      <c r="EQ8" s="4">
        <v>225725.22</v>
      </c>
      <c r="ER8" s="4">
        <v>2252.4</v>
      </c>
      <c r="ES8" s="4">
        <v>4559</v>
      </c>
      <c r="ET8" s="4">
        <v>786.48</v>
      </c>
      <c r="EU8" s="4">
        <v>4786.3100000000004</v>
      </c>
      <c r="EV8" s="4">
        <v>10563.13</v>
      </c>
      <c r="EW8" s="4">
        <v>12438.26</v>
      </c>
      <c r="EX8" s="4">
        <v>6751.2</v>
      </c>
      <c r="EY8" s="4">
        <v>57044.93</v>
      </c>
      <c r="EZ8" s="4">
        <v>136549.57999999999</v>
      </c>
      <c r="FA8" s="4">
        <v>30321.69</v>
      </c>
      <c r="FB8" s="4">
        <v>1571.13</v>
      </c>
      <c r="FC8" s="4">
        <v>12996.5</v>
      </c>
      <c r="FD8" s="4">
        <v>13431.91</v>
      </c>
      <c r="FE8" s="189">
        <v>12374.61</v>
      </c>
      <c r="FF8" s="4">
        <f>7597</f>
        <v>7597</v>
      </c>
      <c r="FG8" s="4">
        <v>925.07</v>
      </c>
      <c r="FH8" s="4">
        <v>16030.28</v>
      </c>
      <c r="FI8" s="189">
        <v>18862.72</v>
      </c>
      <c r="FJ8" s="4">
        <v>3553.5</v>
      </c>
      <c r="FK8" s="4">
        <v>1319.02</v>
      </c>
      <c r="FL8" s="74">
        <v>2297</v>
      </c>
      <c r="FM8" s="4"/>
      <c r="FN8" s="4">
        <f>22058.5+5731.05</f>
        <v>27789.55</v>
      </c>
      <c r="FO8" s="4">
        <v>31368.65</v>
      </c>
      <c r="FP8" s="4">
        <v>8088.47</v>
      </c>
      <c r="FQ8" s="4">
        <v>317901.27</v>
      </c>
      <c r="FR8" s="4">
        <v>1353.55</v>
      </c>
      <c r="FS8" s="4">
        <v>22979.84</v>
      </c>
      <c r="FT8" s="4">
        <v>9218.7900000000009</v>
      </c>
      <c r="FU8" s="4">
        <v>66858.570000000007</v>
      </c>
      <c r="FV8" s="4">
        <v>1064.3800000000001</v>
      </c>
      <c r="FW8" s="4">
        <v>11598.23</v>
      </c>
      <c r="FX8" s="4">
        <v>196523.51</v>
      </c>
      <c r="FY8" s="4"/>
      <c r="FZ8" s="189">
        <f>10166.53+8197.57+22891.08</f>
        <v>41255.18</v>
      </c>
      <c r="GA8" s="4">
        <v>8437.85</v>
      </c>
      <c r="GB8" s="4">
        <v>29268.42</v>
      </c>
      <c r="GC8" s="4">
        <v>31264.95</v>
      </c>
      <c r="GD8" s="4">
        <v>8849.7900000000009</v>
      </c>
      <c r="GE8" s="4">
        <v>28010.59</v>
      </c>
      <c r="GF8" s="4">
        <v>46745.58</v>
      </c>
      <c r="GG8" s="4">
        <v>307805.56</v>
      </c>
      <c r="GH8" s="4">
        <v>58451.62</v>
      </c>
      <c r="GI8" s="4">
        <v>40367.339999999997</v>
      </c>
      <c r="GJ8" s="4">
        <v>2633.72</v>
      </c>
      <c r="GK8" s="4">
        <v>10123.64</v>
      </c>
      <c r="GL8" s="4">
        <v>5242.84</v>
      </c>
      <c r="GM8" s="4">
        <v>9018.02</v>
      </c>
      <c r="GN8" s="4">
        <v>5059.88</v>
      </c>
      <c r="GO8" s="4">
        <v>12532.21</v>
      </c>
      <c r="GP8" s="4">
        <v>22647.8</v>
      </c>
      <c r="GQ8" s="4">
        <v>26629.96</v>
      </c>
      <c r="GR8" s="4">
        <v>12697.66</v>
      </c>
      <c r="GS8" s="4">
        <v>45057.48</v>
      </c>
      <c r="GT8" s="4">
        <v>72218.3</v>
      </c>
      <c r="GU8" s="123">
        <f>3146.06+13208</f>
        <v>16354.06</v>
      </c>
      <c r="GV8" s="4">
        <v>1865.42</v>
      </c>
      <c r="GW8" s="4">
        <v>64559.42</v>
      </c>
      <c r="GX8" s="4">
        <v>17671.77</v>
      </c>
      <c r="GY8" s="4">
        <v>171856.65</v>
      </c>
      <c r="GZ8" s="4">
        <v>22863.06</v>
      </c>
      <c r="HA8" s="4">
        <v>18205.830000000002</v>
      </c>
      <c r="HB8" s="4">
        <v>8224.94</v>
      </c>
      <c r="HC8" s="4"/>
      <c r="HD8" s="4"/>
      <c r="HE8" s="4"/>
      <c r="HF8" s="4">
        <v>44269.13</v>
      </c>
      <c r="HG8" s="4">
        <v>918599.43</v>
      </c>
      <c r="HH8" s="4">
        <f>3871.71+1894</f>
        <v>5765.71</v>
      </c>
      <c r="HI8" s="4">
        <f>1158+2260.7</f>
        <v>3418.7</v>
      </c>
      <c r="HJ8" s="4">
        <f>3106.8+51215.05+58184.87</f>
        <v>112506.72</v>
      </c>
      <c r="HK8" s="4">
        <f>1140+436416.47+91705.04+32127.25</f>
        <v>561388.76</v>
      </c>
      <c r="HL8" s="4">
        <v>10089.24</v>
      </c>
      <c r="HM8" s="4">
        <v>23361.85</v>
      </c>
      <c r="HN8" s="130">
        <v>7563</v>
      </c>
      <c r="HO8" s="74">
        <v>45</v>
      </c>
      <c r="HP8" s="4">
        <v>19558.27</v>
      </c>
      <c r="HQ8" s="4">
        <v>3029.85</v>
      </c>
      <c r="HR8" s="4">
        <v>30878.69</v>
      </c>
      <c r="HS8" s="4">
        <v>186247.61</v>
      </c>
      <c r="HT8" s="4">
        <v>3030.32</v>
      </c>
      <c r="HU8" s="4"/>
      <c r="HV8" s="4"/>
      <c r="HW8" s="4"/>
      <c r="HX8" s="4"/>
      <c r="HY8" s="4"/>
      <c r="HZ8" s="4"/>
      <c r="IA8" s="4"/>
      <c r="IB8" s="4"/>
      <c r="IC8" s="4"/>
      <c r="ID8" s="4">
        <f>18763.36+9476.45</f>
        <v>28239.81</v>
      </c>
      <c r="IE8" s="4">
        <v>17731.740000000002</v>
      </c>
      <c r="IF8" s="4">
        <v>146321.92000000001</v>
      </c>
      <c r="IG8" s="4">
        <f>767798.43+23270.33</f>
        <v>791068.76</v>
      </c>
      <c r="IH8" s="102">
        <v>40820.33</v>
      </c>
      <c r="II8" s="4">
        <v>38758.379999999997</v>
      </c>
      <c r="IJ8" s="4">
        <v>10973.7</v>
      </c>
      <c r="IK8" s="4">
        <v>8082.31</v>
      </c>
      <c r="IL8" s="4">
        <v>143665.97</v>
      </c>
      <c r="IM8" s="4">
        <v>181955.8</v>
      </c>
      <c r="IN8" s="4">
        <v>6279.56</v>
      </c>
      <c r="IO8" s="4">
        <v>22230.27</v>
      </c>
      <c r="IP8" s="4">
        <v>76107.55</v>
      </c>
      <c r="IQ8" s="4"/>
      <c r="IR8" s="4">
        <v>498962.63</v>
      </c>
      <c r="IS8" s="4"/>
      <c r="IT8" s="4">
        <v>5797.78</v>
      </c>
      <c r="IU8" s="4">
        <f t="shared" ref="IU8:IU16" si="4">SUM(D8:IT8)</f>
        <v>18728682.41</v>
      </c>
    </row>
    <row r="9" spans="1:256" ht="14.1" customHeight="1">
      <c r="A9" s="58" t="s">
        <v>6</v>
      </c>
      <c r="B9" s="4"/>
      <c r="C9" s="155"/>
      <c r="D9" s="4"/>
      <c r="E9" s="4"/>
      <c r="F9" s="4"/>
      <c r="G9" s="4"/>
      <c r="H9" s="4"/>
      <c r="I9" s="4"/>
      <c r="J9" s="4"/>
      <c r="K9" s="4"/>
      <c r="L9" s="4"/>
      <c r="M9" s="4">
        <v>160990.39000000001</v>
      </c>
      <c r="N9" s="18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v>5418.55</v>
      </c>
      <c r="AD9" s="4"/>
      <c r="AE9" s="4"/>
      <c r="AF9" s="189">
        <v>155139.51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>
        <v>24606.79</v>
      </c>
      <c r="AV9" s="189"/>
      <c r="AW9" s="4"/>
      <c r="AX9" s="4">
        <v>5384.95</v>
      </c>
      <c r="AY9" s="4">
        <v>154383.72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159546.51999999999</v>
      </c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>
        <v>1145.71</v>
      </c>
      <c r="CO9" s="4">
        <f>4749.36+157678.9</f>
        <v>162428.25999999998</v>
      </c>
      <c r="CP9" s="4">
        <v>5384.95</v>
      </c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87"/>
      <c r="DF9" s="4">
        <f>24606.79+149037.03</f>
        <v>173643.82</v>
      </c>
      <c r="DG9" s="4"/>
      <c r="DH9" s="4"/>
      <c r="DI9" s="4"/>
      <c r="DJ9" s="4"/>
      <c r="DK9" s="4">
        <v>5384.95</v>
      </c>
      <c r="DL9" s="4"/>
      <c r="DM9" s="4"/>
      <c r="DN9" s="4"/>
      <c r="DO9" s="4"/>
      <c r="DP9" s="4"/>
      <c r="DQ9" s="4"/>
      <c r="DR9" s="87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32">
        <v>5384.95</v>
      </c>
      <c r="EH9" s="4"/>
      <c r="EI9" s="4"/>
      <c r="EJ9" s="4"/>
      <c r="EK9" s="7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>
        <v>5384.95</v>
      </c>
      <c r="FE9" s="189"/>
      <c r="FF9" s="4"/>
      <c r="FG9" s="4"/>
      <c r="FH9" s="4"/>
      <c r="FI9" s="189"/>
      <c r="FJ9" s="4"/>
      <c r="FK9" s="4"/>
      <c r="FL9" s="74"/>
      <c r="FM9" s="4"/>
      <c r="FN9" s="4"/>
      <c r="FO9" s="4"/>
      <c r="FP9" s="4">
        <v>24606.79</v>
      </c>
      <c r="FQ9" s="4"/>
      <c r="FR9" s="4"/>
      <c r="FS9" s="4"/>
      <c r="FT9" s="4"/>
      <c r="FU9" s="4"/>
      <c r="FV9" s="4"/>
      <c r="FW9" s="4"/>
      <c r="FX9" s="4">
        <v>5384.95</v>
      </c>
      <c r="FY9" s="4"/>
      <c r="FZ9" s="189"/>
      <c r="GA9" s="4">
        <v>173273.08</v>
      </c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v>150847.09</v>
      </c>
      <c r="GU9" s="123"/>
      <c r="GV9" s="4">
        <v>5386.6</v>
      </c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>
        <v>146591.96</v>
      </c>
      <c r="HN9" s="130"/>
      <c r="HO9" s="74">
        <v>5386.6</v>
      </c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>
        <v>24610.84</v>
      </c>
      <c r="ID9" s="4"/>
      <c r="IE9" s="4"/>
      <c r="IF9" s="4">
        <v>5180.1000000000004</v>
      </c>
      <c r="IG9" s="4">
        <v>142139.46</v>
      </c>
      <c r="IH9" s="102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>
        <f t="shared" si="4"/>
        <v>1707635.4900000002</v>
      </c>
    </row>
    <row r="10" spans="1:256" ht="14.1" customHeight="1" thickBot="1">
      <c r="A10" s="58" t="s">
        <v>28</v>
      </c>
      <c r="B10" s="10"/>
      <c r="C10" s="155"/>
      <c r="D10" s="4"/>
      <c r="E10" s="4"/>
      <c r="F10" s="4"/>
      <c r="G10" s="4"/>
      <c r="H10" s="4">
        <v>13319.05</v>
      </c>
      <c r="I10" s="4"/>
      <c r="J10" s="4"/>
      <c r="K10" s="4"/>
      <c r="L10" s="4"/>
      <c r="M10" s="4">
        <v>60863.34</v>
      </c>
      <c r="N10" s="189"/>
      <c r="O10" s="4"/>
      <c r="P10" s="4"/>
      <c r="Q10" s="4">
        <v>38428.11</v>
      </c>
      <c r="R10" s="4"/>
      <c r="S10" s="4"/>
      <c r="T10" s="4"/>
      <c r="U10" s="4"/>
      <c r="V10" s="4">
        <v>11420.9</v>
      </c>
      <c r="W10" s="4"/>
      <c r="X10" s="4"/>
      <c r="Y10" s="4"/>
      <c r="Z10" s="4"/>
      <c r="AA10" s="4">
        <v>26051.25</v>
      </c>
      <c r="AB10" s="4"/>
      <c r="AC10" s="4"/>
      <c r="AD10" s="4"/>
      <c r="AE10" s="4"/>
      <c r="AF10" s="189">
        <v>67821.240000000005</v>
      </c>
      <c r="AG10" s="4"/>
      <c r="AH10" s="4"/>
      <c r="AI10" s="4"/>
      <c r="AJ10" s="4"/>
      <c r="AK10" s="4">
        <v>44019.71</v>
      </c>
      <c r="AL10" s="4"/>
      <c r="AM10" s="4"/>
      <c r="AN10" s="4"/>
      <c r="AO10" s="4"/>
      <c r="AP10" s="4">
        <v>72440.350000000006</v>
      </c>
      <c r="AQ10" s="4"/>
      <c r="AR10" s="4"/>
      <c r="AS10" s="4"/>
      <c r="AT10" s="4"/>
      <c r="AU10" s="4">
        <v>15606.39</v>
      </c>
      <c r="AV10" s="189"/>
      <c r="AW10" s="4"/>
      <c r="AX10" s="4"/>
      <c r="AY10" s="4"/>
      <c r="AZ10" s="4">
        <v>32275.03</v>
      </c>
      <c r="BA10" s="4"/>
      <c r="BB10" s="4"/>
      <c r="BC10" s="4"/>
      <c r="BD10" s="4"/>
      <c r="BE10" s="4">
        <v>22336.41</v>
      </c>
      <c r="BF10" s="4"/>
      <c r="BG10" s="4"/>
      <c r="BH10" s="4"/>
      <c r="BI10" s="4"/>
      <c r="BJ10" s="4">
        <v>43478.48</v>
      </c>
      <c r="BK10" s="4"/>
      <c r="BL10" s="4"/>
      <c r="BM10" s="4"/>
      <c r="BN10" s="4"/>
      <c r="BO10" s="4">
        <v>43887.63</v>
      </c>
      <c r="BP10" s="4"/>
      <c r="BQ10" s="4"/>
      <c r="BR10" s="4"/>
      <c r="BS10" s="4"/>
      <c r="BT10" s="4">
        <v>29581.040000000001</v>
      </c>
      <c r="BU10" s="4"/>
      <c r="BV10" s="4"/>
      <c r="BW10" s="4"/>
      <c r="BX10" s="4"/>
      <c r="BY10" s="4">
        <v>5317.93</v>
      </c>
      <c r="BZ10" s="4"/>
      <c r="CA10" s="4"/>
      <c r="CB10" s="4"/>
      <c r="CC10" s="4"/>
      <c r="CD10" s="4">
        <v>32235.13</v>
      </c>
      <c r="CE10" s="4"/>
      <c r="CF10" s="4"/>
      <c r="CG10" s="4"/>
      <c r="CH10" s="4"/>
      <c r="CI10" s="4">
        <f>69175.22+720</f>
        <v>69895.22</v>
      </c>
      <c r="CJ10" s="4"/>
      <c r="CK10" s="4"/>
      <c r="CL10" s="4"/>
      <c r="CM10" s="4">
        <v>54653.78</v>
      </c>
      <c r="CN10" s="4"/>
      <c r="CO10" s="4"/>
      <c r="CP10" s="4"/>
      <c r="CQ10" s="4"/>
      <c r="CR10" s="4">
        <v>80025.320000000007</v>
      </c>
      <c r="CS10" s="4"/>
      <c r="CT10" s="4"/>
      <c r="CU10" s="4"/>
      <c r="CV10" s="4"/>
      <c r="CW10" s="4">
        <f>70361.54+11251.59+240+146.62</f>
        <v>81999.749999999985</v>
      </c>
      <c r="CX10" s="4"/>
      <c r="CY10" s="4"/>
      <c r="CZ10" s="4"/>
      <c r="DA10" s="4"/>
      <c r="DB10" s="4">
        <v>162668.31</v>
      </c>
      <c r="DC10" s="4"/>
      <c r="DD10" s="4"/>
      <c r="DE10" s="87"/>
      <c r="DF10" s="4"/>
      <c r="DG10" s="4">
        <v>81882.25</v>
      </c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87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32"/>
      <c r="EH10" s="4"/>
      <c r="EI10" s="4"/>
      <c r="EJ10" s="4">
        <v>240</v>
      </c>
      <c r="EK10" s="76"/>
      <c r="EL10" s="4"/>
      <c r="EM10" s="4"/>
      <c r="EN10" s="4"/>
      <c r="EO10" s="4">
        <v>3933.27</v>
      </c>
      <c r="EP10" s="4"/>
      <c r="EQ10" s="4"/>
      <c r="ER10" s="4"/>
      <c r="ES10" s="4"/>
      <c r="ET10" s="4">
        <v>171.78</v>
      </c>
      <c r="EU10" s="5"/>
      <c r="EV10" s="4"/>
      <c r="EW10" s="4"/>
      <c r="EX10" s="4"/>
      <c r="EY10" s="4">
        <v>3092.04</v>
      </c>
      <c r="EZ10" s="4"/>
      <c r="FA10" s="4"/>
      <c r="FB10" s="4"/>
      <c r="FC10" s="4">
        <v>6304.08</v>
      </c>
      <c r="FD10" s="4"/>
      <c r="FE10" s="189"/>
      <c r="FF10" s="4"/>
      <c r="FG10" s="4"/>
      <c r="FH10" s="4"/>
      <c r="FI10" s="189"/>
      <c r="FJ10" s="4"/>
      <c r="FK10" s="4"/>
      <c r="FL10" s="7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189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123"/>
      <c r="GV10" s="4"/>
      <c r="GW10" s="4"/>
      <c r="GX10" s="4"/>
      <c r="GY10" s="4">
        <v>260</v>
      </c>
      <c r="GZ10" s="4"/>
      <c r="HA10" s="4"/>
      <c r="HB10" s="4"/>
      <c r="HC10" s="4"/>
      <c r="HD10" s="4">
        <v>1717.8</v>
      </c>
      <c r="HE10" s="4"/>
      <c r="HF10" s="4"/>
      <c r="HG10" s="4"/>
      <c r="HH10" s="4">
        <v>3847.38</v>
      </c>
      <c r="HI10" s="4"/>
      <c r="HJ10" s="4"/>
      <c r="HK10" s="4"/>
      <c r="HL10" s="4"/>
      <c r="HM10" s="4">
        <v>4949.84</v>
      </c>
      <c r="HN10" s="130"/>
      <c r="HO10" s="74"/>
      <c r="HP10" s="4"/>
      <c r="HQ10" s="4"/>
      <c r="HR10" s="4">
        <v>78053.55</v>
      </c>
      <c r="HS10" s="4"/>
      <c r="HT10" s="4"/>
      <c r="HU10" s="4"/>
      <c r="HV10" s="4"/>
      <c r="HW10" s="4">
        <v>64578.46</v>
      </c>
      <c r="HX10" s="4"/>
      <c r="HY10" s="4"/>
      <c r="HZ10" s="4"/>
      <c r="IA10" s="4">
        <v>35538.22</v>
      </c>
      <c r="IB10" s="4"/>
      <c r="IC10" s="4"/>
      <c r="ID10" s="4"/>
      <c r="IE10" s="4">
        <v>28521.38</v>
      </c>
      <c r="IF10" s="4"/>
      <c r="IG10" s="4"/>
      <c r="IH10" s="102"/>
      <c r="II10" s="4"/>
      <c r="IJ10" s="4">
        <v>89748.96</v>
      </c>
      <c r="IK10" s="4"/>
      <c r="IL10" s="4"/>
      <c r="IM10" s="4"/>
      <c r="IN10" s="4">
        <v>10153.89</v>
      </c>
      <c r="IO10" s="4"/>
      <c r="IP10" s="4"/>
      <c r="IQ10" s="4"/>
      <c r="IR10" s="4"/>
      <c r="IS10" s="4">
        <v>18719.41</v>
      </c>
      <c r="IT10" s="4"/>
      <c r="IU10" s="4">
        <f t="shared" si="4"/>
        <v>1440036.68</v>
      </c>
    </row>
    <row r="11" spans="1:256" s="8" customFormat="1" ht="14.1" customHeight="1" thickBot="1">
      <c r="A11" s="58" t="s">
        <v>7</v>
      </c>
      <c r="B11" s="4"/>
      <c r="C11" s="4"/>
      <c r="D11" s="4">
        <v>288.06</v>
      </c>
      <c r="E11" s="4">
        <v>40</v>
      </c>
      <c r="F11" s="4">
        <v>229.97</v>
      </c>
      <c r="G11" s="4">
        <f>481732.33+28197.81+227.77</f>
        <v>510157.91000000003</v>
      </c>
      <c r="H11" s="4"/>
      <c r="I11" s="4">
        <v>1393.32</v>
      </c>
      <c r="J11" s="4">
        <v>308</v>
      </c>
      <c r="K11" s="4">
        <v>1552</v>
      </c>
      <c r="L11" s="4"/>
      <c r="M11" s="4"/>
      <c r="N11" s="189">
        <v>79724.73</v>
      </c>
      <c r="O11" s="4">
        <f>4848+9777.25+657.39</f>
        <v>15282.64</v>
      </c>
      <c r="P11" s="4">
        <v>2465.09</v>
      </c>
      <c r="Q11" s="4"/>
      <c r="R11" s="4">
        <v>345</v>
      </c>
      <c r="S11" s="4">
        <v>2482.9899999999998</v>
      </c>
      <c r="T11" s="4">
        <f>20928+517.56</f>
        <v>21445.56</v>
      </c>
      <c r="U11" s="4">
        <v>334</v>
      </c>
      <c r="V11" s="4">
        <f>178.86+1005</f>
        <v>1183.8600000000001</v>
      </c>
      <c r="W11" s="4">
        <v>105</v>
      </c>
      <c r="X11" s="4">
        <f>3392.25+197.85</f>
        <v>3590.1</v>
      </c>
      <c r="Y11" s="4">
        <v>64518.29</v>
      </c>
      <c r="Z11" s="4">
        <v>1830.05</v>
      </c>
      <c r="AA11" s="4"/>
      <c r="AB11" s="4">
        <f>1294.19+1190</f>
        <v>2484.19</v>
      </c>
      <c r="AC11" s="4">
        <f>604281.57+1236.96</f>
        <v>605518.52999999991</v>
      </c>
      <c r="AD11" s="4">
        <v>1017.68</v>
      </c>
      <c r="AE11" s="4"/>
      <c r="AF11" s="189">
        <f>3500+593.79</f>
        <v>4093.79</v>
      </c>
      <c r="AG11" s="4">
        <v>45861.27</v>
      </c>
      <c r="AH11" s="4"/>
      <c r="AI11" s="4"/>
      <c r="AJ11" s="4">
        <v>777.68</v>
      </c>
      <c r="AK11" s="4">
        <f>1723+22.5</f>
        <v>1745.5</v>
      </c>
      <c r="AL11" s="4">
        <v>151.32</v>
      </c>
      <c r="AM11" s="4">
        <v>30</v>
      </c>
      <c r="AN11" s="4"/>
      <c r="AO11" s="4">
        <v>2286</v>
      </c>
      <c r="AP11" s="4">
        <v>1000</v>
      </c>
      <c r="AQ11" s="4"/>
      <c r="AR11" s="4"/>
      <c r="AS11" s="4">
        <v>241.19</v>
      </c>
      <c r="AT11" s="4"/>
      <c r="AU11" s="4">
        <v>89.08</v>
      </c>
      <c r="AV11" s="189"/>
      <c r="AW11" s="4">
        <f>481227.55+358.08</f>
        <v>481585.63</v>
      </c>
      <c r="AX11" s="4">
        <v>15651</v>
      </c>
      <c r="AY11" s="4">
        <v>1447.36</v>
      </c>
      <c r="AZ11" s="4"/>
      <c r="BA11" s="4">
        <f>1553.35+14047.85</f>
        <v>15601.2</v>
      </c>
      <c r="BB11" s="4">
        <v>223.21</v>
      </c>
      <c r="BC11" s="4">
        <v>11456.84</v>
      </c>
      <c r="BD11" s="4">
        <v>1273.1099999999999</v>
      </c>
      <c r="BE11" s="4">
        <v>20</v>
      </c>
      <c r="BF11" s="4">
        <v>10752.5</v>
      </c>
      <c r="BG11" s="4">
        <f>4175.04+35.63</f>
        <v>4210.67</v>
      </c>
      <c r="BH11" s="4">
        <v>91.91</v>
      </c>
      <c r="BI11" s="4">
        <v>1073.26</v>
      </c>
      <c r="BJ11" s="4">
        <f>3469.82+2500</f>
        <v>5969.82</v>
      </c>
      <c r="BK11" s="4"/>
      <c r="BL11" s="4">
        <f>84.9+13239.68</f>
        <v>13324.58</v>
      </c>
      <c r="BM11" s="4">
        <v>263.74</v>
      </c>
      <c r="BN11" s="4">
        <v>107.06</v>
      </c>
      <c r="BO11" s="4">
        <v>83.25</v>
      </c>
      <c r="BP11" s="4">
        <v>1950</v>
      </c>
      <c r="BQ11" s="4">
        <v>12457</v>
      </c>
      <c r="BR11" s="4">
        <f>199+4887.5</f>
        <v>5086.5</v>
      </c>
      <c r="BS11" s="4">
        <f>2326.2+107.06+8858.54</f>
        <v>11291.800000000001</v>
      </c>
      <c r="BT11" s="4">
        <f>1054.98+809062.78+1500</f>
        <v>811617.76</v>
      </c>
      <c r="BU11" s="4"/>
      <c r="BV11" s="4">
        <f>490.29+1792.21</f>
        <v>2282.5</v>
      </c>
      <c r="BW11" s="4">
        <f>1382.4+56.65</f>
        <v>1439.0500000000002</v>
      </c>
      <c r="BX11" s="4">
        <v>2184.3200000000002</v>
      </c>
      <c r="BY11" s="4">
        <v>40</v>
      </c>
      <c r="BZ11" s="4">
        <v>8613.5499999999993</v>
      </c>
      <c r="CA11" s="4">
        <f>2143.79+2193.93</f>
        <v>4337.7199999999993</v>
      </c>
      <c r="CB11" s="4">
        <v>323.94</v>
      </c>
      <c r="CC11" s="4">
        <f>2859.12+1270</f>
        <v>4129.12</v>
      </c>
      <c r="CD11" s="4"/>
      <c r="CE11" s="4">
        <v>288</v>
      </c>
      <c r="CF11" s="4">
        <f>300.09</f>
        <v>300.08999999999997</v>
      </c>
      <c r="CG11" s="4">
        <v>68.180000000000007</v>
      </c>
      <c r="CH11" s="4"/>
      <c r="CI11" s="4">
        <v>889.07</v>
      </c>
      <c r="CJ11" s="4">
        <f>219.29+42.39</f>
        <v>261.68</v>
      </c>
      <c r="CK11" s="4">
        <f>4578+123.13</f>
        <v>4701.13</v>
      </c>
      <c r="CL11" s="4">
        <v>31.31</v>
      </c>
      <c r="CM11" s="4">
        <v>142.91</v>
      </c>
      <c r="CN11" s="4">
        <f>165.39+127.26</f>
        <v>292.64999999999998</v>
      </c>
      <c r="CO11" s="4">
        <v>586.5</v>
      </c>
      <c r="CP11" s="4">
        <f>374.81+20.2</f>
        <v>395.01</v>
      </c>
      <c r="CQ11" s="4">
        <v>16.16</v>
      </c>
      <c r="CR11" s="4">
        <f>934297.12+43.94</f>
        <v>934341.05999999994</v>
      </c>
      <c r="CS11" s="4">
        <f>11+1489.93</f>
        <v>1500.93</v>
      </c>
      <c r="CT11" s="4">
        <f>2121.72+31.5</f>
        <v>2153.2199999999998</v>
      </c>
      <c r="CU11" s="4">
        <f>189.24+341</f>
        <v>530.24</v>
      </c>
      <c r="CV11" s="4">
        <f>678.97+29.79</f>
        <v>708.76</v>
      </c>
      <c r="CW11" s="4">
        <f>29.15+759.66</f>
        <v>788.81</v>
      </c>
      <c r="CX11" s="4">
        <v>10</v>
      </c>
      <c r="CY11" s="4"/>
      <c r="CZ11" s="4"/>
      <c r="DA11" s="4">
        <v>2038.93</v>
      </c>
      <c r="DB11" s="4"/>
      <c r="DC11" s="4">
        <v>979.34</v>
      </c>
      <c r="DD11" s="4">
        <v>80.95</v>
      </c>
      <c r="DE11" s="4">
        <f>77.77+86.26</f>
        <v>164.03</v>
      </c>
      <c r="DF11" s="4">
        <v>650</v>
      </c>
      <c r="DG11" s="4"/>
      <c r="DH11" s="4"/>
      <c r="DI11" s="4"/>
      <c r="DJ11" s="4"/>
      <c r="DK11" s="4"/>
      <c r="DL11" s="4">
        <v>1826.97</v>
      </c>
      <c r="DM11" s="4"/>
      <c r="DN11" s="4"/>
      <c r="DO11" s="4">
        <f>9957.7+514.89</f>
        <v>10472.59</v>
      </c>
      <c r="DP11" s="4">
        <f>5174.18+603.27</f>
        <v>5777.4500000000007</v>
      </c>
      <c r="DQ11" s="4">
        <v>646.21</v>
      </c>
      <c r="DR11" s="4">
        <v>404.23</v>
      </c>
      <c r="DS11" s="4">
        <v>234</v>
      </c>
      <c r="DT11" s="4">
        <v>697.29</v>
      </c>
      <c r="DU11" s="4">
        <v>743.2</v>
      </c>
      <c r="DV11" s="4">
        <v>1830.86</v>
      </c>
      <c r="DW11" s="4">
        <v>391.76</v>
      </c>
      <c r="DX11" s="4"/>
      <c r="DY11" s="4">
        <v>688.96</v>
      </c>
      <c r="DZ11" s="4">
        <f>6167.13+40</f>
        <v>6207.13</v>
      </c>
      <c r="EA11" s="4">
        <v>33.31</v>
      </c>
      <c r="EB11" s="4"/>
      <c r="EC11" s="4"/>
      <c r="ED11" s="4"/>
      <c r="EE11" s="4">
        <f>868.3</f>
        <v>868.3</v>
      </c>
      <c r="EF11" s="4"/>
      <c r="EG11" s="4">
        <v>258.89</v>
      </c>
      <c r="EH11" s="4">
        <v>2087.4899999999998</v>
      </c>
      <c r="EI11" s="4">
        <v>793.55</v>
      </c>
      <c r="EJ11" s="4">
        <v>1358.6</v>
      </c>
      <c r="EK11" s="190"/>
      <c r="EL11" s="4">
        <v>1198882.83</v>
      </c>
      <c r="EM11" s="4">
        <v>127.73</v>
      </c>
      <c r="EN11" s="4">
        <f>857155.19+51518.21</f>
        <v>908673.39999999991</v>
      </c>
      <c r="EO11" s="4">
        <v>6431.4</v>
      </c>
      <c r="EP11" s="4"/>
      <c r="EQ11" s="4"/>
      <c r="ER11" s="4">
        <f>12800+1023.92</f>
        <v>13823.92</v>
      </c>
      <c r="ES11" s="4">
        <f>1226.45+3681.88+1187.14</f>
        <v>6095.47</v>
      </c>
      <c r="ET11" s="4"/>
      <c r="EU11" s="4">
        <v>159.75</v>
      </c>
      <c r="EV11" s="4">
        <v>64.650000000000006</v>
      </c>
      <c r="EW11" s="4"/>
      <c r="EX11" s="4"/>
      <c r="EY11" s="4">
        <f>662.21+37.74</f>
        <v>699.95</v>
      </c>
      <c r="EZ11" s="4"/>
      <c r="FA11" s="4"/>
      <c r="FB11" s="4">
        <f>1852.76+135.56</f>
        <v>1988.32</v>
      </c>
      <c r="FC11" s="4">
        <f>333.05</f>
        <v>333.05</v>
      </c>
      <c r="FD11" s="4">
        <f>68.45+466.52</f>
        <v>534.97</v>
      </c>
      <c r="FE11" s="189">
        <v>52</v>
      </c>
      <c r="FF11" s="4">
        <f>3983.51+603.27+180.85</f>
        <v>4767.630000000001</v>
      </c>
      <c r="FG11" s="4">
        <v>863.12</v>
      </c>
      <c r="FH11" s="4"/>
      <c r="FI11" s="189"/>
      <c r="FJ11" s="4"/>
      <c r="FK11" s="4">
        <v>181648.86</v>
      </c>
      <c r="FL11" s="74">
        <v>545.45000000000005</v>
      </c>
      <c r="FM11" s="4">
        <v>14.12</v>
      </c>
      <c r="FN11" s="4"/>
      <c r="FO11" s="4"/>
      <c r="FP11" s="190"/>
      <c r="FQ11" s="4">
        <f>1802.46+58.06</f>
        <v>1860.52</v>
      </c>
      <c r="FR11" s="4"/>
      <c r="FS11" s="4"/>
      <c r="FT11" s="4"/>
      <c r="FU11" s="4">
        <v>2364.37</v>
      </c>
      <c r="FV11" s="4"/>
      <c r="FW11" s="4"/>
      <c r="FX11" s="4"/>
      <c r="FY11" s="4">
        <v>1681.11</v>
      </c>
      <c r="FZ11" s="189">
        <v>2682.08</v>
      </c>
      <c r="GA11" s="4">
        <f>1542.25+29.35</f>
        <v>1571.6</v>
      </c>
      <c r="GB11" s="4"/>
      <c r="GC11" s="4"/>
      <c r="GD11" s="4">
        <f>6744.4+17.68</f>
        <v>6762.08</v>
      </c>
      <c r="GE11" s="4"/>
      <c r="GF11" s="4"/>
      <c r="GG11" s="4">
        <f>5525.22+242.52</f>
        <v>5767.7400000000007</v>
      </c>
      <c r="GH11" s="4"/>
      <c r="GI11" s="4"/>
      <c r="GJ11" s="4"/>
      <c r="GK11" s="4">
        <v>52232</v>
      </c>
      <c r="GL11" s="4"/>
      <c r="GM11" s="4">
        <v>21.6</v>
      </c>
      <c r="GN11" s="4"/>
      <c r="GO11" s="4"/>
      <c r="GP11" s="4">
        <v>296.79000000000002</v>
      </c>
      <c r="GQ11" s="4">
        <f>52.5+1000+282.5</f>
        <v>1335</v>
      </c>
      <c r="GR11" s="4"/>
      <c r="GS11" s="4">
        <v>1530.03</v>
      </c>
      <c r="GT11" s="4"/>
      <c r="GU11" s="189">
        <v>881.32</v>
      </c>
      <c r="GV11" s="4">
        <f>946442.7+26.91</f>
        <v>946469.61</v>
      </c>
      <c r="GW11" s="4"/>
      <c r="GX11" s="4">
        <f>6053.11+4400</f>
        <v>10453.11</v>
      </c>
      <c r="GY11" s="4">
        <f>252+819.67</f>
        <v>1071.67</v>
      </c>
      <c r="GZ11" s="4"/>
      <c r="HA11" s="4">
        <v>455</v>
      </c>
      <c r="HB11" s="4">
        <v>206.15</v>
      </c>
      <c r="HC11" s="4">
        <v>3910</v>
      </c>
      <c r="HD11" s="4"/>
      <c r="HE11" s="4">
        <v>2.91</v>
      </c>
      <c r="HF11" s="4"/>
      <c r="HG11" s="4"/>
      <c r="HH11" s="4"/>
      <c r="HI11" s="4"/>
      <c r="HJ11" s="4">
        <v>706.5</v>
      </c>
      <c r="HK11" s="4">
        <f>37.44+545.82</f>
        <v>583.26</v>
      </c>
      <c r="HL11" s="4">
        <v>117</v>
      </c>
      <c r="HM11" s="4">
        <v>85908.58</v>
      </c>
      <c r="HN11" s="130">
        <f>670.99+1668.28+233805</f>
        <v>236144.27</v>
      </c>
      <c r="HO11" s="189">
        <v>542.25</v>
      </c>
      <c r="HP11" s="4">
        <v>552.58000000000004</v>
      </c>
      <c r="HQ11" s="4">
        <v>55.57</v>
      </c>
      <c r="HR11" s="4">
        <f>515+909349.94</f>
        <v>909864.94</v>
      </c>
      <c r="HS11" s="4"/>
      <c r="HT11" s="4">
        <v>1009.69</v>
      </c>
      <c r="HU11" s="4"/>
      <c r="HV11" s="4">
        <v>164.75</v>
      </c>
      <c r="HW11" s="4"/>
      <c r="HX11" s="4"/>
      <c r="HY11" s="4"/>
      <c r="HZ11" s="4"/>
      <c r="IA11" s="4">
        <v>2.48</v>
      </c>
      <c r="IB11" s="4"/>
      <c r="IC11" s="4"/>
      <c r="ID11" s="4"/>
      <c r="IE11" s="4">
        <v>230</v>
      </c>
      <c r="IF11" s="4">
        <f>20925.31+286.4</f>
        <v>21211.710000000003</v>
      </c>
      <c r="IG11" s="4"/>
      <c r="IH11" s="185">
        <v>3680</v>
      </c>
      <c r="II11" s="4">
        <f>1186+473253.58</f>
        <v>474439.58</v>
      </c>
      <c r="IJ11" s="4">
        <f>1498.3+5502.88</f>
        <v>7001.18</v>
      </c>
      <c r="IK11" s="4"/>
      <c r="IL11" s="4"/>
      <c r="IM11" s="4">
        <f>904+322.06</f>
        <v>1226.06</v>
      </c>
      <c r="IN11" s="4"/>
      <c r="IO11" s="4">
        <v>4000</v>
      </c>
      <c r="IP11" s="4">
        <v>348840</v>
      </c>
      <c r="IQ11" s="4">
        <v>394.47</v>
      </c>
      <c r="IR11" s="4">
        <v>317.19</v>
      </c>
      <c r="IS11" s="4"/>
      <c r="IT11" s="4"/>
      <c r="IU11" s="4">
        <f t="shared" si="4"/>
        <v>9252954.3200000059</v>
      </c>
    </row>
    <row r="12" spans="1:256" ht="14.1" customHeight="1">
      <c r="A12" s="4" t="s">
        <v>38</v>
      </c>
      <c r="B12" s="10"/>
      <c r="C12" s="155"/>
      <c r="D12" s="4"/>
      <c r="E12" s="4">
        <v>22216.93</v>
      </c>
      <c r="F12" s="4"/>
      <c r="G12" s="4" t="s">
        <v>49</v>
      </c>
      <c r="H12" s="4"/>
      <c r="I12" s="4"/>
      <c r="J12" s="4"/>
      <c r="K12" s="4"/>
      <c r="L12" s="4"/>
      <c r="M12" s="4"/>
      <c r="N12" s="18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189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189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>
        <v>84536.03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v>76505.009999999995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>
        <v>544843.11</v>
      </c>
      <c r="CU12" s="4"/>
      <c r="CV12" s="4"/>
      <c r="CW12" s="4"/>
      <c r="CX12" s="4"/>
      <c r="CY12" s="4"/>
      <c r="CZ12" s="4">
        <v>80197.08</v>
      </c>
      <c r="DA12" s="4"/>
      <c r="DB12" s="4"/>
      <c r="DC12" s="4"/>
      <c r="DD12" s="4">
        <v>38791.019999999997</v>
      </c>
      <c r="DE12" s="87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>
        <v>10605.63</v>
      </c>
      <c r="DQ12" s="4"/>
      <c r="DR12" s="87"/>
      <c r="DS12" s="4"/>
      <c r="DT12" s="4"/>
      <c r="DU12" s="4"/>
      <c r="DV12" s="4"/>
      <c r="DW12" s="4"/>
      <c r="DX12" s="4">
        <v>82502.759999999995</v>
      </c>
      <c r="DY12" s="4"/>
      <c r="DZ12" s="4"/>
      <c r="EA12" s="4"/>
      <c r="EB12" s="4"/>
      <c r="EC12" s="4"/>
      <c r="ED12" s="4"/>
      <c r="EE12" s="4">
        <v>97735.17</v>
      </c>
      <c r="EF12" s="4"/>
      <c r="EG12" s="32"/>
      <c r="EH12" s="4"/>
      <c r="EI12" s="4"/>
      <c r="EJ12" s="4"/>
      <c r="EK12" s="77"/>
      <c r="EL12" s="4"/>
      <c r="EM12" s="4"/>
      <c r="EN12" s="4"/>
      <c r="EO12" s="4"/>
      <c r="EP12" s="4"/>
      <c r="EQ12" s="4"/>
      <c r="ER12" s="4"/>
      <c r="ES12" s="4"/>
      <c r="ET12" s="4"/>
      <c r="EU12" s="3"/>
      <c r="EV12" s="4"/>
      <c r="EW12" s="4"/>
      <c r="EX12" s="4"/>
      <c r="EY12" s="4"/>
      <c r="EZ12" s="4"/>
      <c r="FA12" s="4"/>
      <c r="FB12" s="4"/>
      <c r="FC12" s="4"/>
      <c r="FD12" s="4"/>
      <c r="FE12" s="189"/>
      <c r="FF12" s="4">
        <v>87228.4</v>
      </c>
      <c r="FG12" s="4"/>
      <c r="FH12" s="4"/>
      <c r="FI12" s="189"/>
      <c r="FJ12" s="4"/>
      <c r="FK12" s="4"/>
      <c r="FL12" s="74"/>
      <c r="FM12" s="4"/>
      <c r="FN12" s="4"/>
      <c r="FO12" s="4"/>
      <c r="FP12" s="4"/>
      <c r="FQ12" s="4"/>
      <c r="FR12" s="4"/>
      <c r="FS12" s="4">
        <v>62532.9</v>
      </c>
      <c r="FT12" s="4"/>
      <c r="FU12" s="4"/>
      <c r="FV12" s="4"/>
      <c r="FW12" s="4"/>
      <c r="FX12" s="4"/>
      <c r="FY12" s="4"/>
      <c r="FZ12" s="189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123"/>
      <c r="GV12" s="4"/>
      <c r="GW12" s="4">
        <v>185.45</v>
      </c>
      <c r="GX12" s="4"/>
      <c r="GY12" s="4">
        <v>2145.5300000000002</v>
      </c>
      <c r="GZ12" s="4"/>
      <c r="HA12" s="4"/>
      <c r="HB12" s="4"/>
      <c r="HC12" s="4"/>
      <c r="HD12" s="4"/>
      <c r="HE12" s="4">
        <v>813</v>
      </c>
      <c r="HF12" s="4"/>
      <c r="HG12" s="4"/>
      <c r="HH12" s="4"/>
      <c r="HI12" s="4"/>
      <c r="HJ12" s="4"/>
      <c r="HK12" s="4"/>
      <c r="HL12" s="4"/>
      <c r="HM12" s="4"/>
      <c r="HN12" s="130"/>
      <c r="HO12" s="74"/>
      <c r="HP12" s="4"/>
      <c r="HQ12" s="4"/>
      <c r="HR12" s="4"/>
      <c r="HS12" s="4"/>
      <c r="HT12" s="4">
        <v>1968111.42</v>
      </c>
      <c r="HU12" s="4"/>
      <c r="HV12" s="4"/>
      <c r="HW12" s="4"/>
      <c r="HX12" s="4"/>
      <c r="HY12" s="4"/>
      <c r="HZ12" s="4"/>
      <c r="IA12" s="4"/>
      <c r="IB12" s="4"/>
      <c r="IC12" s="4">
        <v>57536.85</v>
      </c>
      <c r="ID12" s="4"/>
      <c r="IE12" s="4"/>
      <c r="IF12" s="4"/>
      <c r="IG12" s="4"/>
      <c r="IH12" s="102"/>
      <c r="II12" s="4"/>
      <c r="IJ12" s="4"/>
      <c r="IK12" s="4"/>
      <c r="IL12" s="4"/>
      <c r="IM12" s="4"/>
      <c r="IN12" s="4"/>
      <c r="IO12" s="4"/>
      <c r="IP12" s="4">
        <v>44885.15</v>
      </c>
      <c r="IQ12" s="4"/>
      <c r="IR12" s="4"/>
      <c r="IS12" s="4"/>
      <c r="IT12" s="4"/>
      <c r="IU12" s="4">
        <f t="shared" si="4"/>
        <v>3261371.4399999995</v>
      </c>
      <c r="IV12" s="8"/>
    </row>
    <row r="13" spans="1:256" s="38" customFormat="1" ht="14.1" customHeight="1">
      <c r="A13" s="32" t="s">
        <v>47</v>
      </c>
      <c r="B13" s="32"/>
      <c r="C13" s="32">
        <v>158585.47</v>
      </c>
      <c r="D13" s="32">
        <v>178705.55</v>
      </c>
      <c r="E13" s="32">
        <v>296489.46000000002</v>
      </c>
      <c r="F13" s="32"/>
      <c r="G13" s="32"/>
      <c r="H13" s="32"/>
      <c r="I13" s="32">
        <v>222813.81</v>
      </c>
      <c r="J13" s="32">
        <v>259118.86</v>
      </c>
      <c r="K13" s="32">
        <v>247177.56</v>
      </c>
      <c r="L13" s="32">
        <v>171049.46</v>
      </c>
      <c r="M13" s="32">
        <v>158533.95000000001</v>
      </c>
      <c r="N13" s="123">
        <v>211918.24</v>
      </c>
      <c r="O13" s="32">
        <v>294114.45</v>
      </c>
      <c r="P13" s="32">
        <v>245450.99</v>
      </c>
      <c r="Q13" s="32">
        <v>237375.42</v>
      </c>
      <c r="R13" s="32">
        <v>204960.66</v>
      </c>
      <c r="S13" s="32">
        <v>164805.78</v>
      </c>
      <c r="T13" s="32">
        <v>289755.93</v>
      </c>
      <c r="U13" s="32">
        <v>251788.13</v>
      </c>
      <c r="V13" s="32">
        <v>159822.26999999999</v>
      </c>
      <c r="W13" s="32">
        <v>260220.43</v>
      </c>
      <c r="X13" s="32">
        <v>250630.64</v>
      </c>
      <c r="Y13" s="32">
        <v>169578.7</v>
      </c>
      <c r="Z13" s="32">
        <v>39255.82</v>
      </c>
      <c r="AA13" s="32">
        <v>262096.81</v>
      </c>
      <c r="AB13" s="32">
        <v>225406.83</v>
      </c>
      <c r="AC13" s="32">
        <v>34587.269999999997</v>
      </c>
      <c r="AD13" s="32">
        <v>133731.19</v>
      </c>
      <c r="AE13" s="32">
        <v>115652.98</v>
      </c>
      <c r="AF13" s="123">
        <v>114091.07</v>
      </c>
      <c r="AG13" s="32">
        <v>270432.98</v>
      </c>
      <c r="AH13" s="32">
        <v>163545.28</v>
      </c>
      <c r="AI13" s="32">
        <v>122369.1</v>
      </c>
      <c r="AJ13" s="32">
        <v>49705.95</v>
      </c>
      <c r="AK13" s="32">
        <v>232791.3</v>
      </c>
      <c r="AL13" s="32">
        <v>8159494.6200000001</v>
      </c>
      <c r="AM13" s="32">
        <v>5368139.62</v>
      </c>
      <c r="AN13" s="32">
        <v>167261.68</v>
      </c>
      <c r="AO13" s="32">
        <v>255024.26</v>
      </c>
      <c r="AP13" s="32">
        <v>141387.66</v>
      </c>
      <c r="AQ13" s="32">
        <v>121201.77</v>
      </c>
      <c r="AR13" s="32">
        <v>273909.78999999998</v>
      </c>
      <c r="AS13" s="32">
        <v>173102.87</v>
      </c>
      <c r="AT13" s="32">
        <v>180251.39</v>
      </c>
      <c r="AU13" s="32">
        <v>1449676.42</v>
      </c>
      <c r="AV13" s="123">
        <v>137986.9</v>
      </c>
      <c r="AW13" s="32">
        <v>246028.73</v>
      </c>
      <c r="AX13" s="32">
        <v>322511.78000000003</v>
      </c>
      <c r="AY13" s="32">
        <v>137969.09</v>
      </c>
      <c r="AZ13" s="32">
        <v>170011.34</v>
      </c>
      <c r="BA13" s="32">
        <v>149716.41</v>
      </c>
      <c r="BB13" s="32">
        <v>87598.63</v>
      </c>
      <c r="BC13" s="32">
        <v>169412.23</v>
      </c>
      <c r="BD13" s="32">
        <v>256573.3</v>
      </c>
      <c r="BE13" s="32">
        <v>231200.23</v>
      </c>
      <c r="BF13" s="32">
        <v>159919.54</v>
      </c>
      <c r="BG13" s="32">
        <v>276354.28000000003</v>
      </c>
      <c r="BH13" s="32">
        <v>250028.93</v>
      </c>
      <c r="BI13" s="32">
        <v>187444.74</v>
      </c>
      <c r="BJ13" s="32">
        <v>344760.86</v>
      </c>
      <c r="BK13" s="32">
        <v>162346.66</v>
      </c>
      <c r="BL13" s="32">
        <v>167673.38</v>
      </c>
      <c r="BM13" s="32">
        <v>225717.55</v>
      </c>
      <c r="BN13" s="32">
        <v>159346.16</v>
      </c>
      <c r="BO13" s="32">
        <v>228256.22</v>
      </c>
      <c r="BP13" s="32">
        <v>159078.82999999999</v>
      </c>
      <c r="BQ13" s="32">
        <v>118824.25</v>
      </c>
      <c r="BR13" s="32">
        <v>194393.24</v>
      </c>
      <c r="BS13" s="32">
        <v>210036.7</v>
      </c>
      <c r="BT13" s="32">
        <v>203821.14</v>
      </c>
      <c r="BU13" s="32">
        <v>201206.84</v>
      </c>
      <c r="BV13" s="32">
        <v>248074.15</v>
      </c>
      <c r="BW13" s="32">
        <v>185678.24</v>
      </c>
      <c r="BX13" s="32">
        <v>216104.3</v>
      </c>
      <c r="BY13" s="32">
        <v>218690.37</v>
      </c>
      <c r="BZ13" s="32">
        <v>228431.62</v>
      </c>
      <c r="CA13" s="32">
        <v>244348.57</v>
      </c>
      <c r="CB13" s="32">
        <v>170778.57</v>
      </c>
      <c r="CC13" s="32"/>
      <c r="CD13" s="32"/>
      <c r="CE13" s="32">
        <v>142965.82999999999</v>
      </c>
      <c r="CF13" s="32">
        <v>159898.4</v>
      </c>
      <c r="CG13" s="32">
        <v>197887.53</v>
      </c>
      <c r="CH13" s="32">
        <v>181381.29</v>
      </c>
      <c r="CI13" s="32">
        <v>138106.23999999999</v>
      </c>
      <c r="CJ13" s="32">
        <v>109751.15</v>
      </c>
      <c r="CK13" s="32">
        <v>205069.06</v>
      </c>
      <c r="CL13" s="32">
        <v>643219.68999999994</v>
      </c>
      <c r="CM13" s="32">
        <v>103898.74</v>
      </c>
      <c r="CN13" s="32">
        <v>4808280.0199999996</v>
      </c>
      <c r="CO13" s="32">
        <v>247641.19</v>
      </c>
      <c r="CP13" s="32">
        <v>146150.62</v>
      </c>
      <c r="CQ13" s="32">
        <v>144199.88</v>
      </c>
      <c r="CR13" s="32">
        <v>148383.54999999999</v>
      </c>
      <c r="CS13" s="32">
        <v>70307.92</v>
      </c>
      <c r="CT13" s="32">
        <v>51023.48</v>
      </c>
      <c r="CU13" s="32">
        <v>155684.72</v>
      </c>
      <c r="CV13" s="32">
        <v>118097.3</v>
      </c>
      <c r="CW13" s="32">
        <v>185677.41</v>
      </c>
      <c r="CX13" s="32">
        <v>119207.25</v>
      </c>
      <c r="CY13" s="32">
        <v>142431.28</v>
      </c>
      <c r="CZ13" s="32">
        <v>138663.59</v>
      </c>
      <c r="DA13" s="32">
        <v>135351.15</v>
      </c>
      <c r="DB13" s="32">
        <v>109919.02</v>
      </c>
      <c r="DC13" s="32">
        <v>143527.49</v>
      </c>
      <c r="DD13" s="32">
        <v>142711.07</v>
      </c>
      <c r="DE13" s="32">
        <v>194973.67</v>
      </c>
      <c r="DF13" s="32">
        <v>2644.55</v>
      </c>
      <c r="DG13" s="32">
        <v>70572.08</v>
      </c>
      <c r="DH13" s="32">
        <v>171802.47</v>
      </c>
      <c r="DI13" s="32"/>
      <c r="DJ13" s="32">
        <v>111158.48</v>
      </c>
      <c r="DK13" s="32">
        <v>117955.22</v>
      </c>
      <c r="DL13" s="32">
        <v>121059.49</v>
      </c>
      <c r="DM13" s="32">
        <v>167296.21</v>
      </c>
      <c r="DN13" s="32">
        <v>184540.23</v>
      </c>
      <c r="DO13" s="32">
        <v>188803.97</v>
      </c>
      <c r="DP13" s="32">
        <v>221661.75</v>
      </c>
      <c r="DQ13" s="32"/>
      <c r="DR13" s="32">
        <v>122794.15</v>
      </c>
      <c r="DS13" s="32">
        <v>98721.2</v>
      </c>
      <c r="DT13" s="32"/>
      <c r="DU13" s="32">
        <v>79087.539999999994</v>
      </c>
      <c r="DV13" s="32">
        <v>203308.18</v>
      </c>
      <c r="DW13" s="32">
        <v>176111.09</v>
      </c>
      <c r="DX13" s="32">
        <v>206710.69</v>
      </c>
      <c r="DY13" s="32">
        <v>182985.94</v>
      </c>
      <c r="DZ13" s="32">
        <v>127350.63</v>
      </c>
      <c r="EA13" s="32">
        <v>347436.66</v>
      </c>
      <c r="EB13" s="32">
        <v>533663.05000000005</v>
      </c>
      <c r="EC13" s="32">
        <v>113741.24</v>
      </c>
      <c r="ED13" s="32">
        <v>507977.78</v>
      </c>
      <c r="EE13" s="32">
        <v>108473.31</v>
      </c>
      <c r="EF13" s="32">
        <v>162597.29</v>
      </c>
      <c r="EG13" s="32">
        <v>131602.60999999999</v>
      </c>
      <c r="EH13" s="32">
        <v>133053.10999999999</v>
      </c>
      <c r="EI13" s="32">
        <v>105420.68</v>
      </c>
      <c r="EJ13" s="32">
        <v>160638.47</v>
      </c>
      <c r="EK13" s="123">
        <v>126472.88</v>
      </c>
      <c r="EL13" s="32">
        <v>61334.52</v>
      </c>
      <c r="EM13" s="32">
        <v>1349852.89</v>
      </c>
      <c r="EN13" s="32"/>
      <c r="EO13" s="32">
        <v>137201.59</v>
      </c>
      <c r="EP13" s="32">
        <v>238328.15</v>
      </c>
      <c r="EQ13" s="32">
        <v>79332.63</v>
      </c>
      <c r="ER13" s="32">
        <v>190000.36</v>
      </c>
      <c r="ES13" s="32">
        <v>185103.55</v>
      </c>
      <c r="ET13" s="32">
        <v>196425.43</v>
      </c>
      <c r="EU13" s="32">
        <v>242344.39</v>
      </c>
      <c r="EV13" s="32">
        <v>466879.75</v>
      </c>
      <c r="EW13" s="32">
        <v>244698.48</v>
      </c>
      <c r="EX13" s="32">
        <v>207279.95</v>
      </c>
      <c r="EY13" s="32">
        <v>266685.03999999998</v>
      </c>
      <c r="EZ13" s="32">
        <v>177043.92</v>
      </c>
      <c r="FA13" s="32">
        <v>65068.31</v>
      </c>
      <c r="FB13" s="32">
        <v>174450.94</v>
      </c>
      <c r="FC13" s="32">
        <v>266261.71999999997</v>
      </c>
      <c r="FD13" s="32">
        <v>230556.95</v>
      </c>
      <c r="FE13" s="123">
        <v>261182.11</v>
      </c>
      <c r="FF13" s="32">
        <v>216631.72</v>
      </c>
      <c r="FG13" s="32">
        <v>201588.44</v>
      </c>
      <c r="FH13" s="32">
        <v>222596.27</v>
      </c>
      <c r="FI13" s="123">
        <v>205270.11</v>
      </c>
      <c r="FJ13" s="32">
        <v>225277.07</v>
      </c>
      <c r="FK13" s="32">
        <v>206517.16</v>
      </c>
      <c r="FL13" s="74">
        <v>401092.18</v>
      </c>
      <c r="FM13" s="32">
        <v>243334.31</v>
      </c>
      <c r="FN13" s="32">
        <v>149309.79</v>
      </c>
      <c r="FO13" s="32">
        <v>220941.85</v>
      </c>
      <c r="FP13" s="32">
        <v>1145901.0900000001</v>
      </c>
      <c r="FQ13" s="32">
        <v>177309.97</v>
      </c>
      <c r="FR13" s="32"/>
      <c r="FS13" s="32">
        <v>836155</v>
      </c>
      <c r="FT13" s="32">
        <v>274264.02</v>
      </c>
      <c r="FU13" s="32">
        <v>537200.04</v>
      </c>
      <c r="FV13" s="32">
        <v>223167.4</v>
      </c>
      <c r="FW13" s="32">
        <v>428720.41</v>
      </c>
      <c r="FX13" s="32"/>
      <c r="FY13" s="32">
        <v>473685.72</v>
      </c>
      <c r="FZ13" s="123">
        <v>261399.21</v>
      </c>
      <c r="GA13" s="32">
        <v>396323.4</v>
      </c>
      <c r="GB13" s="32">
        <v>355893.53</v>
      </c>
      <c r="GC13" s="32">
        <v>260348.23</v>
      </c>
      <c r="GD13" s="32">
        <v>180315.46</v>
      </c>
      <c r="GE13" s="32">
        <v>986207.07</v>
      </c>
      <c r="GF13" s="32">
        <v>252429.08</v>
      </c>
      <c r="GG13" s="32">
        <v>192596</v>
      </c>
      <c r="GH13" s="32"/>
      <c r="GI13" s="32">
        <v>307387.34000000003</v>
      </c>
      <c r="GJ13" s="32">
        <v>213888.01</v>
      </c>
      <c r="GK13" s="32">
        <v>1073709.17</v>
      </c>
      <c r="GL13" s="32">
        <v>380333.22</v>
      </c>
      <c r="GM13" s="32">
        <v>350394.62</v>
      </c>
      <c r="GN13" s="32">
        <v>220080.93</v>
      </c>
      <c r="GO13" s="32">
        <v>228725.79</v>
      </c>
      <c r="GP13" s="32">
        <v>312393.27</v>
      </c>
      <c r="GQ13" s="32"/>
      <c r="GR13" s="32">
        <v>204366.55</v>
      </c>
      <c r="GS13" s="32">
        <v>496550.11</v>
      </c>
      <c r="GT13" s="32">
        <v>223534.99</v>
      </c>
      <c r="GU13" s="123">
        <v>421153.87</v>
      </c>
      <c r="GV13" s="32">
        <v>385321.89</v>
      </c>
      <c r="GW13" s="32">
        <v>202452.64</v>
      </c>
      <c r="GX13" s="32">
        <v>185754.48</v>
      </c>
      <c r="GY13" s="32">
        <v>241783.06</v>
      </c>
      <c r="GZ13" s="32">
        <v>148585.59</v>
      </c>
      <c r="HA13" s="32">
        <v>849705.7</v>
      </c>
      <c r="HB13" s="32">
        <v>205424.75</v>
      </c>
      <c r="HC13" s="32">
        <v>980333.66</v>
      </c>
      <c r="HD13" s="32">
        <v>242279.3</v>
      </c>
      <c r="HE13" s="32">
        <v>167694.01999999999</v>
      </c>
      <c r="HF13" s="32">
        <v>217134.5</v>
      </c>
      <c r="HG13" s="32">
        <v>333354.06</v>
      </c>
      <c r="HH13" s="32"/>
      <c r="HI13" s="32"/>
      <c r="HJ13" s="32">
        <v>189601.13</v>
      </c>
      <c r="HK13" s="32">
        <v>2696028.61</v>
      </c>
      <c r="HL13" s="32">
        <v>586602.6</v>
      </c>
      <c r="HM13" s="32">
        <v>202969.62</v>
      </c>
      <c r="HN13" s="141">
        <v>322857.77</v>
      </c>
      <c r="HO13" s="123">
        <v>379165.1</v>
      </c>
      <c r="HP13" s="32">
        <v>306559.18</v>
      </c>
      <c r="HQ13" s="32">
        <v>203268.63</v>
      </c>
      <c r="HR13" s="32">
        <v>196000.29</v>
      </c>
      <c r="HS13" s="32">
        <v>213351.57</v>
      </c>
      <c r="HT13" s="32">
        <v>104322.06</v>
      </c>
      <c r="HU13" s="32">
        <v>236476.96</v>
      </c>
      <c r="HV13" s="32">
        <v>179086.99</v>
      </c>
      <c r="HW13" s="32">
        <v>207466.72</v>
      </c>
      <c r="HX13" s="32">
        <v>110812.96</v>
      </c>
      <c r="HY13" s="32">
        <v>180700.3</v>
      </c>
      <c r="HZ13" s="32">
        <v>195986.47</v>
      </c>
      <c r="IA13" s="32">
        <v>247063.09</v>
      </c>
      <c r="IB13" s="32">
        <v>308807.49</v>
      </c>
      <c r="IC13" s="32">
        <v>215577.57</v>
      </c>
      <c r="ID13" s="32">
        <v>125450.63</v>
      </c>
      <c r="IE13" s="32">
        <v>175502.05</v>
      </c>
      <c r="IF13" s="32">
        <v>252002.98</v>
      </c>
      <c r="IG13" s="32">
        <v>317501.37</v>
      </c>
      <c r="IH13" s="102">
        <v>128386.67</v>
      </c>
      <c r="II13" s="32"/>
      <c r="IJ13" s="32">
        <v>664205.19999999995</v>
      </c>
      <c r="IK13" s="32">
        <v>332449.74</v>
      </c>
      <c r="IL13" s="32">
        <v>575419.02</v>
      </c>
      <c r="IM13" s="32">
        <v>191636.49</v>
      </c>
      <c r="IN13" s="32">
        <v>157592.09</v>
      </c>
      <c r="IO13" s="32">
        <v>171462.2</v>
      </c>
      <c r="IP13" s="32">
        <v>302094.51</v>
      </c>
      <c r="IQ13" s="32">
        <v>175207.42</v>
      </c>
      <c r="IR13" s="32">
        <v>189458.89</v>
      </c>
      <c r="IS13" s="32">
        <v>669427.30000000005</v>
      </c>
      <c r="IT13" s="32">
        <v>203669.03</v>
      </c>
      <c r="IU13" s="32">
        <f t="shared" si="4"/>
        <v>77888817.649999946</v>
      </c>
    </row>
    <row r="14" spans="1:256" ht="14.1" customHeight="1">
      <c r="A14" s="4" t="s">
        <v>4</v>
      </c>
      <c r="B14" s="10"/>
      <c r="C14" s="155">
        <v>17607978.460000001</v>
      </c>
      <c r="D14" s="4">
        <v>55857404.630000003</v>
      </c>
      <c r="E14" s="4"/>
      <c r="F14" s="4">
        <v>34488917.549999997</v>
      </c>
      <c r="G14" s="4">
        <v>55923903.090000004</v>
      </c>
      <c r="H14" s="4">
        <v>26905694.539999999</v>
      </c>
      <c r="I14" s="4">
        <v>21635072.039999999</v>
      </c>
      <c r="J14" s="4">
        <v>168439.97</v>
      </c>
      <c r="K14" s="4">
        <v>2617724.7200000002</v>
      </c>
      <c r="L14" s="4">
        <v>52439966.210000001</v>
      </c>
      <c r="M14" s="4">
        <v>547084.71</v>
      </c>
      <c r="N14" s="189">
        <v>8686548.0800000001</v>
      </c>
      <c r="O14" s="4">
        <v>173078.17</v>
      </c>
      <c r="P14" s="4">
        <f>5944863.54+59681.19</f>
        <v>6004544.7300000004</v>
      </c>
      <c r="Q14" s="4">
        <v>557362.69999999995</v>
      </c>
      <c r="R14" s="4">
        <v>1443969.74</v>
      </c>
      <c r="S14" s="4">
        <v>1026846.49</v>
      </c>
      <c r="T14" s="4">
        <v>133070.31</v>
      </c>
      <c r="U14" s="4">
        <v>543065.47</v>
      </c>
      <c r="V14" s="4">
        <v>1967628.3</v>
      </c>
      <c r="W14" s="4">
        <v>1053491.6200000001</v>
      </c>
      <c r="X14" s="4">
        <v>940026.9</v>
      </c>
      <c r="Y14" s="4">
        <v>969463.53</v>
      </c>
      <c r="Z14" s="4">
        <v>904755.72</v>
      </c>
      <c r="AA14" s="4">
        <v>465529.38</v>
      </c>
      <c r="AB14" s="4">
        <v>657791.97</v>
      </c>
      <c r="AC14" s="4">
        <v>1606437.18</v>
      </c>
      <c r="AD14" s="4">
        <v>111132.39</v>
      </c>
      <c r="AE14" s="4">
        <v>291676.18</v>
      </c>
      <c r="AF14" s="189">
        <v>97098.35</v>
      </c>
      <c r="AG14" s="4">
        <v>881364.45</v>
      </c>
      <c r="AH14" s="4">
        <v>345428.04</v>
      </c>
      <c r="AI14" s="4">
        <v>469686.26</v>
      </c>
      <c r="AJ14" s="4">
        <v>297399.61</v>
      </c>
      <c r="AK14" s="4">
        <v>162194.54999999999</v>
      </c>
      <c r="AL14" s="4">
        <v>727995.57</v>
      </c>
      <c r="AM14" s="4">
        <v>123061.63</v>
      </c>
      <c r="AN14" s="4">
        <v>596419.69999999995</v>
      </c>
      <c r="AO14" s="4">
        <v>754420.33</v>
      </c>
      <c r="AP14" s="4">
        <v>275699.90000000002</v>
      </c>
      <c r="AQ14" s="4">
        <v>346598.72</v>
      </c>
      <c r="AR14" s="4">
        <v>232181.26</v>
      </c>
      <c r="AS14" s="4">
        <v>835982.04</v>
      </c>
      <c r="AT14" s="4">
        <v>947620.72</v>
      </c>
      <c r="AU14" s="4">
        <v>511228.15</v>
      </c>
      <c r="AV14" s="189">
        <v>585426.66</v>
      </c>
      <c r="AW14" s="4">
        <v>1330204.42</v>
      </c>
      <c r="AX14" s="4">
        <v>366156.42</v>
      </c>
      <c r="AY14" s="4">
        <v>240340.82</v>
      </c>
      <c r="AZ14" s="4">
        <v>76498.570000000007</v>
      </c>
      <c r="BA14" s="4">
        <v>192559.56</v>
      </c>
      <c r="BB14" s="4">
        <v>384861.47</v>
      </c>
      <c r="BC14" s="4">
        <v>328984.03000000003</v>
      </c>
      <c r="BD14" s="4">
        <v>289534.09999999998</v>
      </c>
      <c r="BE14" s="4">
        <v>144793.57</v>
      </c>
      <c r="BF14" s="4"/>
      <c r="BG14" s="4"/>
      <c r="BH14" s="4">
        <v>120722.7</v>
      </c>
      <c r="BI14" s="4">
        <v>1043365.23</v>
      </c>
      <c r="BJ14" s="4">
        <v>1199666.72</v>
      </c>
      <c r="BK14" s="4">
        <v>293867.21999999997</v>
      </c>
      <c r="BL14" s="4">
        <v>771451.76</v>
      </c>
      <c r="BM14" s="4">
        <v>98729.08</v>
      </c>
      <c r="BN14" s="4">
        <v>222868.32</v>
      </c>
      <c r="BO14" s="4">
        <v>268242.64</v>
      </c>
      <c r="BP14" s="4">
        <v>356672.37</v>
      </c>
      <c r="BQ14" s="4">
        <v>535403.81999999995</v>
      </c>
      <c r="BR14" s="4"/>
      <c r="BS14" s="4">
        <v>588910.47</v>
      </c>
      <c r="BT14" s="4">
        <v>297278.08000000002</v>
      </c>
      <c r="BU14" s="4">
        <v>339636.64</v>
      </c>
      <c r="BV14" s="4"/>
      <c r="BW14" s="4">
        <v>304862.39</v>
      </c>
      <c r="BX14" s="4">
        <v>332762.56</v>
      </c>
      <c r="BY14" s="4">
        <v>159369.82999999999</v>
      </c>
      <c r="BZ14" s="4">
        <v>246517.55</v>
      </c>
      <c r="CA14" s="4"/>
      <c r="CB14" s="4">
        <v>47226.33</v>
      </c>
      <c r="CC14" s="4">
        <v>300548.34000000003</v>
      </c>
      <c r="CD14" s="4">
        <v>115472.99</v>
      </c>
      <c r="CE14" s="4">
        <v>205401.34</v>
      </c>
      <c r="CF14" s="4">
        <v>338101.27</v>
      </c>
      <c r="CG14" s="4"/>
      <c r="CH14" s="4"/>
      <c r="CI14" s="4">
        <f>262860.98+377467.14+5114.33</f>
        <v>645442.44999999995</v>
      </c>
      <c r="CJ14" s="4"/>
      <c r="CK14" s="4">
        <v>239186.02</v>
      </c>
      <c r="CL14" s="4">
        <v>438185.35</v>
      </c>
      <c r="CM14" s="4">
        <v>353110.73</v>
      </c>
      <c r="CN14" s="4">
        <v>292759.37</v>
      </c>
      <c r="CO14" s="4">
        <v>313527.15999999997</v>
      </c>
      <c r="CP14" s="4">
        <v>48636</v>
      </c>
      <c r="CQ14" s="4">
        <v>526951.05000000005</v>
      </c>
      <c r="CR14" s="4">
        <v>216128.23</v>
      </c>
      <c r="CS14" s="4"/>
      <c r="CT14" s="4"/>
      <c r="CU14" s="4">
        <v>16159.93</v>
      </c>
      <c r="CV14" s="4">
        <v>102534.85</v>
      </c>
      <c r="CW14" s="4"/>
      <c r="CX14" s="4"/>
      <c r="CY14" s="4">
        <v>21139.09</v>
      </c>
      <c r="CZ14" s="4">
        <v>589229.81000000006</v>
      </c>
      <c r="DA14" s="4"/>
      <c r="DB14" s="4"/>
      <c r="DC14" s="4">
        <v>197524.02</v>
      </c>
      <c r="DD14" s="4">
        <v>172469.35</v>
      </c>
      <c r="DE14" s="87">
        <v>572500.03</v>
      </c>
      <c r="DF14" s="4">
        <v>656539.38</v>
      </c>
      <c r="DG14" s="4">
        <v>414037.78</v>
      </c>
      <c r="DH14" s="4">
        <v>454255.81</v>
      </c>
      <c r="DI14" s="4">
        <v>127468.3</v>
      </c>
      <c r="DJ14" s="4">
        <v>65196.55</v>
      </c>
      <c r="DK14" s="4">
        <v>826801.7</v>
      </c>
      <c r="DL14" s="4"/>
      <c r="DM14" s="4"/>
      <c r="DN14" s="4"/>
      <c r="DO14" s="4"/>
      <c r="DP14" s="4">
        <v>255773.78</v>
      </c>
      <c r="DQ14" s="4">
        <v>43115.39</v>
      </c>
      <c r="DR14" s="87">
        <v>147506.76999999999</v>
      </c>
      <c r="DS14" s="4">
        <v>475441.41</v>
      </c>
      <c r="DT14" s="4">
        <v>53115.66</v>
      </c>
      <c r="DU14" s="4">
        <v>40606.54</v>
      </c>
      <c r="DV14" s="4">
        <f>362588.78+46683.57</f>
        <v>409272.35000000003</v>
      </c>
      <c r="DW14" s="4"/>
      <c r="DX14" s="4"/>
      <c r="DY14" s="4"/>
      <c r="DZ14" s="4">
        <v>1946.62</v>
      </c>
      <c r="EA14" s="4"/>
      <c r="EB14" s="4">
        <v>1588.41</v>
      </c>
      <c r="EC14" s="4"/>
      <c r="ED14" s="4"/>
      <c r="EE14" s="4"/>
      <c r="EF14" s="4"/>
      <c r="EG14" s="32"/>
      <c r="EH14" s="4"/>
      <c r="EI14" s="4"/>
      <c r="EJ14" s="4"/>
      <c r="EK14" s="7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89"/>
      <c r="FF14" s="4"/>
      <c r="FG14" s="4"/>
      <c r="FH14" s="4"/>
      <c r="FI14" s="189"/>
      <c r="FJ14" s="4"/>
      <c r="FK14" s="4"/>
      <c r="FL14" s="7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89"/>
      <c r="GA14" s="4"/>
      <c r="GB14" s="4"/>
      <c r="GC14" s="4"/>
      <c r="GD14" s="4"/>
      <c r="GE14" s="4"/>
      <c r="GF14" s="4"/>
      <c r="GG14" s="4"/>
      <c r="GH14" s="4"/>
      <c r="GI14" s="4">
        <v>279.62</v>
      </c>
      <c r="GJ14" s="4"/>
      <c r="GK14" s="4">
        <v>159316.82</v>
      </c>
      <c r="GL14" s="4">
        <v>149025.51999999999</v>
      </c>
      <c r="GM14" s="4">
        <v>176231.31</v>
      </c>
      <c r="GN14" s="4"/>
      <c r="GO14" s="4">
        <v>169471.32</v>
      </c>
      <c r="GP14" s="4">
        <v>211362.19</v>
      </c>
      <c r="GQ14" s="4">
        <v>1027969.74</v>
      </c>
      <c r="GR14" s="4">
        <v>748499.84</v>
      </c>
      <c r="GS14" s="4">
        <v>717639.06</v>
      </c>
      <c r="GT14" s="4">
        <v>2114386.83</v>
      </c>
      <c r="GU14" s="123">
        <v>1104735.52</v>
      </c>
      <c r="GV14" s="4">
        <v>1043590.53</v>
      </c>
      <c r="GW14" s="4">
        <v>1784892.93</v>
      </c>
      <c r="GX14" s="4">
        <v>1209534.42</v>
      </c>
      <c r="GY14" s="4">
        <v>1609133.52</v>
      </c>
      <c r="GZ14" s="4">
        <v>1132625.1399999999</v>
      </c>
      <c r="HA14" s="4">
        <v>151748.19</v>
      </c>
      <c r="HB14" s="4">
        <v>1710215.61</v>
      </c>
      <c r="HC14" s="4">
        <v>314020.03000000003</v>
      </c>
      <c r="HD14" s="4">
        <v>184457.27</v>
      </c>
      <c r="HE14" s="4"/>
      <c r="HF14" s="4">
        <v>4763172.8600000003</v>
      </c>
      <c r="HG14" s="4">
        <v>1703532.42</v>
      </c>
      <c r="HH14" s="4">
        <v>3029103.6</v>
      </c>
      <c r="HI14" s="4">
        <v>2456622.46</v>
      </c>
      <c r="HJ14" s="4">
        <v>1073178.3899999999</v>
      </c>
      <c r="HK14" s="4">
        <v>2850506.95</v>
      </c>
      <c r="HL14" s="4">
        <v>1458187.03</v>
      </c>
      <c r="HM14" s="4">
        <v>1773204.52</v>
      </c>
      <c r="HN14" s="130">
        <v>3610385.31</v>
      </c>
      <c r="HO14" s="74">
        <v>2717187.93</v>
      </c>
      <c r="HP14" s="4">
        <v>3314417.46</v>
      </c>
      <c r="HQ14" s="4">
        <v>1207745.69</v>
      </c>
      <c r="HR14" s="4">
        <v>1024372.84</v>
      </c>
      <c r="HS14" s="4">
        <v>375163.92</v>
      </c>
      <c r="HT14" s="4">
        <v>6457144.21</v>
      </c>
      <c r="HU14" s="4">
        <v>9235354.8200000003</v>
      </c>
      <c r="HV14" s="4">
        <v>9685998.1999999993</v>
      </c>
      <c r="HW14" s="4">
        <v>3811120.43</v>
      </c>
      <c r="HX14" s="4"/>
      <c r="HY14" s="4">
        <v>15968918.35</v>
      </c>
      <c r="HZ14" s="4">
        <v>7519497.96</v>
      </c>
      <c r="IA14" s="4">
        <v>18979456.870000001</v>
      </c>
      <c r="IB14" s="4"/>
      <c r="IC14" s="4">
        <v>31709063.559999999</v>
      </c>
      <c r="ID14" s="4">
        <v>663386.9</v>
      </c>
      <c r="IE14" s="4">
        <v>10164501.6</v>
      </c>
      <c r="IF14" s="4">
        <v>16913770.550000001</v>
      </c>
      <c r="IG14" s="4">
        <v>12406444.4</v>
      </c>
      <c r="IH14" s="102">
        <v>52331990.539999999</v>
      </c>
      <c r="II14" s="4">
        <v>21309890.300000001</v>
      </c>
      <c r="IJ14" s="4">
        <v>18680078.550000001</v>
      </c>
      <c r="IK14" s="4">
        <v>9475477.7799999993</v>
      </c>
      <c r="IL14" s="4">
        <v>5004925.26</v>
      </c>
      <c r="IM14" s="4">
        <v>7082612.9400000004</v>
      </c>
      <c r="IN14" s="4">
        <v>7698336.5700000003</v>
      </c>
      <c r="IO14" s="4">
        <v>4185232.29</v>
      </c>
      <c r="IP14" s="4">
        <v>10283620.25</v>
      </c>
      <c r="IQ14" s="4">
        <v>23386707.149999999</v>
      </c>
      <c r="IR14" s="4">
        <v>22888613.920000002</v>
      </c>
      <c r="IS14" s="4"/>
      <c r="IT14" s="4">
        <v>18254836.280000001</v>
      </c>
      <c r="IU14" s="4">
        <f t="shared" si="4"/>
        <v>697742489.22999978</v>
      </c>
    </row>
    <row r="15" spans="1:256" ht="14.1" customHeight="1" thickBot="1">
      <c r="A15" s="4" t="s">
        <v>53</v>
      </c>
      <c r="B15" s="10"/>
      <c r="C15" s="155">
        <v>9648.42</v>
      </c>
      <c r="D15" s="4">
        <v>866.42</v>
      </c>
      <c r="E15" s="4"/>
      <c r="F15" s="4">
        <v>962.64</v>
      </c>
      <c r="G15" s="4">
        <v>2750.48</v>
      </c>
      <c r="H15" s="4">
        <v>29.67</v>
      </c>
      <c r="I15" s="4">
        <v>1143.8</v>
      </c>
      <c r="J15" s="4">
        <v>227.39</v>
      </c>
      <c r="K15" s="4">
        <v>325.72000000000003</v>
      </c>
      <c r="L15" s="4">
        <v>4147.05</v>
      </c>
      <c r="M15" s="4">
        <v>4250.3100000000004</v>
      </c>
      <c r="N15" s="189">
        <v>883.57</v>
      </c>
      <c r="O15" s="4">
        <v>297.19</v>
      </c>
      <c r="P15" s="4">
        <v>2068.4499999999998</v>
      </c>
      <c r="Q15" s="4">
        <v>3859.25</v>
      </c>
      <c r="R15" s="4">
        <v>281.89</v>
      </c>
      <c r="S15" s="4">
        <v>941.07</v>
      </c>
      <c r="T15" s="4">
        <v>36378.03</v>
      </c>
      <c r="U15" s="4">
        <v>2361.64</v>
      </c>
      <c r="V15" s="4"/>
      <c r="W15" s="4">
        <v>307.25</v>
      </c>
      <c r="X15" s="4"/>
      <c r="Y15" s="4">
        <v>481.65</v>
      </c>
      <c r="Z15" s="4">
        <v>963.04</v>
      </c>
      <c r="AA15" s="4">
        <v>243.8</v>
      </c>
      <c r="AB15" s="4">
        <v>901.09</v>
      </c>
      <c r="AC15" s="4">
        <v>3764.83</v>
      </c>
      <c r="AD15" s="4">
        <v>446.89</v>
      </c>
      <c r="AE15" s="4">
        <v>856.54</v>
      </c>
      <c r="AF15" s="189">
        <v>2196.4699999999998</v>
      </c>
      <c r="AG15" s="4">
        <v>1460.75</v>
      </c>
      <c r="AH15" s="4">
        <v>4013.96</v>
      </c>
      <c r="AI15" s="4"/>
      <c r="AJ15" s="4">
        <v>2612.4</v>
      </c>
      <c r="AK15" s="4">
        <v>5021.63</v>
      </c>
      <c r="AL15" s="4">
        <v>1225</v>
      </c>
      <c r="AM15" s="4"/>
      <c r="AN15" s="4"/>
      <c r="AO15" s="4">
        <v>2446.5300000000002</v>
      </c>
      <c r="AP15" s="4">
        <v>262.64</v>
      </c>
      <c r="AQ15" s="4">
        <v>5370.42</v>
      </c>
      <c r="AR15" s="4"/>
      <c r="AS15" s="4">
        <v>59.68</v>
      </c>
      <c r="AT15" s="4">
        <v>506.76</v>
      </c>
      <c r="AU15" s="4">
        <v>675.31</v>
      </c>
      <c r="AV15" s="189"/>
      <c r="AW15" s="4">
        <v>958.37</v>
      </c>
      <c r="AX15" s="4">
        <v>31.46</v>
      </c>
      <c r="AY15" s="4"/>
      <c r="AZ15" s="4">
        <v>160.93</v>
      </c>
      <c r="BA15" s="4">
        <v>421.14</v>
      </c>
      <c r="BB15" s="4">
        <v>1937.28</v>
      </c>
      <c r="BC15" s="4">
        <v>55.96</v>
      </c>
      <c r="BD15" s="4">
        <v>1378.63</v>
      </c>
      <c r="BE15" s="4"/>
      <c r="BF15" s="4"/>
      <c r="BG15" s="4"/>
      <c r="BH15" s="4">
        <v>4809.6499999999996</v>
      </c>
      <c r="BI15" s="4">
        <v>6659.53</v>
      </c>
      <c r="BJ15" s="4">
        <v>523.74</v>
      </c>
      <c r="BK15" s="4">
        <v>1200.6600000000001</v>
      </c>
      <c r="BL15" s="4">
        <v>4433.09</v>
      </c>
      <c r="BM15" s="4">
        <v>667.22</v>
      </c>
      <c r="BN15" s="4"/>
      <c r="BO15" s="4"/>
      <c r="BP15" s="4">
        <v>3508.55</v>
      </c>
      <c r="BQ15" s="4">
        <v>2752.56</v>
      </c>
      <c r="BR15" s="4">
        <v>408.19</v>
      </c>
      <c r="BS15" s="4">
        <v>533.85</v>
      </c>
      <c r="BT15" s="4">
        <v>28127.45</v>
      </c>
      <c r="BU15" s="4">
        <v>165.88</v>
      </c>
      <c r="BV15" s="4">
        <v>56.82</v>
      </c>
      <c r="BW15" s="4">
        <v>360.78</v>
      </c>
      <c r="BX15" s="4">
        <v>444.24</v>
      </c>
      <c r="BY15" s="4">
        <v>58.1</v>
      </c>
      <c r="BZ15" s="4"/>
      <c r="CA15" s="4">
        <v>73.180000000000007</v>
      </c>
      <c r="CB15" s="4">
        <v>905.28</v>
      </c>
      <c r="CC15" s="4">
        <v>29.5</v>
      </c>
      <c r="CD15" s="4">
        <v>629.09</v>
      </c>
      <c r="CE15" s="4">
        <v>581.64</v>
      </c>
      <c r="CF15" s="4">
        <v>5031.74</v>
      </c>
      <c r="CG15" s="4"/>
      <c r="CH15" s="4"/>
      <c r="CI15" s="4">
        <f>773.17+3177.68</f>
        <v>3950.85</v>
      </c>
      <c r="CJ15" s="4">
        <v>1367.97</v>
      </c>
      <c r="CK15" s="4">
        <v>4128.09</v>
      </c>
      <c r="CL15" s="4"/>
      <c r="CM15" s="4">
        <v>2263.09</v>
      </c>
      <c r="CN15" s="4">
        <v>231.28</v>
      </c>
      <c r="CO15" s="4">
        <v>672.78</v>
      </c>
      <c r="CP15" s="4">
        <v>677.24</v>
      </c>
      <c r="CQ15" s="4">
        <v>798.41</v>
      </c>
      <c r="CR15" s="4">
        <v>407.35</v>
      </c>
      <c r="CS15" s="4"/>
      <c r="CT15" s="4"/>
      <c r="CU15" s="4">
        <v>1579.96</v>
      </c>
      <c r="CV15" s="4">
        <v>489.64</v>
      </c>
      <c r="CW15" s="4">
        <v>2656.24</v>
      </c>
      <c r="CX15" s="4"/>
      <c r="CY15" s="4">
        <v>1870.95</v>
      </c>
      <c r="CZ15" s="4">
        <v>1879.65</v>
      </c>
      <c r="DA15" s="4"/>
      <c r="DB15" s="4">
        <v>326.38</v>
      </c>
      <c r="DC15" s="4"/>
      <c r="DD15" s="4"/>
      <c r="DE15" s="87">
        <v>591.23</v>
      </c>
      <c r="DF15" s="4">
        <v>160.83000000000001</v>
      </c>
      <c r="DG15" s="4">
        <v>26.79</v>
      </c>
      <c r="DH15" s="4">
        <v>94.73</v>
      </c>
      <c r="DI15" s="4">
        <v>2003.08</v>
      </c>
      <c r="DJ15" s="4">
        <v>28.54</v>
      </c>
      <c r="DK15" s="4">
        <v>2059.3200000000002</v>
      </c>
      <c r="DL15" s="4"/>
      <c r="DM15" s="4"/>
      <c r="DN15" s="4"/>
      <c r="DO15" s="4"/>
      <c r="DP15" s="4">
        <v>65.739999999999995</v>
      </c>
      <c r="DQ15" s="4">
        <v>328.64</v>
      </c>
      <c r="DR15" s="87">
        <v>521.88</v>
      </c>
      <c r="DS15" s="4">
        <v>248.59</v>
      </c>
      <c r="DT15" s="4">
        <v>329.76</v>
      </c>
      <c r="DU15" s="4"/>
      <c r="DV15" s="4">
        <v>4146.99</v>
      </c>
      <c r="DW15" s="4">
        <v>3396.76</v>
      </c>
      <c r="DX15" s="4"/>
      <c r="DY15" s="4">
        <v>2205.4</v>
      </c>
      <c r="DZ15" s="4">
        <v>541.24</v>
      </c>
      <c r="EA15" s="4"/>
      <c r="EB15" s="4">
        <v>176.19</v>
      </c>
      <c r="EC15" s="4"/>
      <c r="ED15" s="4"/>
      <c r="EE15" s="4"/>
      <c r="EF15" s="4">
        <v>1154.32</v>
      </c>
      <c r="EG15" s="32">
        <v>3197.94</v>
      </c>
      <c r="EH15" s="4">
        <v>161.4</v>
      </c>
      <c r="EI15" s="4"/>
      <c r="EJ15" s="4">
        <v>7478.02</v>
      </c>
      <c r="EK15" s="74"/>
      <c r="EL15" s="4">
        <v>558.83000000000004</v>
      </c>
      <c r="EM15" s="4"/>
      <c r="EN15" s="4">
        <v>1003.67</v>
      </c>
      <c r="EO15" s="4">
        <v>4273.1899999999996</v>
      </c>
      <c r="EP15" s="4">
        <v>4485.6099999999997</v>
      </c>
      <c r="EQ15" s="4">
        <v>3873.87</v>
      </c>
      <c r="ER15" s="4"/>
      <c r="ES15" s="4">
        <v>534.96</v>
      </c>
      <c r="ET15" s="4"/>
      <c r="EU15" s="4">
        <v>466.58</v>
      </c>
      <c r="EV15" s="4">
        <v>379.54</v>
      </c>
      <c r="EW15" s="4">
        <v>455.86</v>
      </c>
      <c r="EX15" s="4">
        <v>466.52</v>
      </c>
      <c r="EY15" s="4">
        <v>256.33999999999997</v>
      </c>
      <c r="EZ15" s="4">
        <v>294.10000000000002</v>
      </c>
      <c r="FA15" s="4">
        <v>851.05</v>
      </c>
      <c r="FB15" s="5">
        <v>686.05</v>
      </c>
      <c r="FC15" s="4">
        <v>316.02999999999997</v>
      </c>
      <c r="FD15" s="4">
        <v>947.56</v>
      </c>
      <c r="FE15" s="189">
        <v>3905.8</v>
      </c>
      <c r="FF15" s="4">
        <v>533.77</v>
      </c>
      <c r="FG15" s="4">
        <v>2678.54</v>
      </c>
      <c r="FH15" s="4"/>
      <c r="FI15" s="189">
        <v>901.4</v>
      </c>
      <c r="FJ15" s="4"/>
      <c r="FK15" s="4">
        <v>3559.34</v>
      </c>
      <c r="FL15" s="74">
        <v>96.43</v>
      </c>
      <c r="FM15" s="5">
        <v>125.31</v>
      </c>
      <c r="FN15" s="4">
        <v>80.510000000000005</v>
      </c>
      <c r="FO15" s="4">
        <v>1104.3900000000001</v>
      </c>
      <c r="FP15" s="4">
        <v>490.19</v>
      </c>
      <c r="FQ15" s="4">
        <v>107.45</v>
      </c>
      <c r="FR15" s="4">
        <v>2159.6</v>
      </c>
      <c r="FS15" s="4">
        <v>25000.83</v>
      </c>
      <c r="FT15" s="4">
        <v>44.51</v>
      </c>
      <c r="FU15" s="4">
        <v>542.35</v>
      </c>
      <c r="FV15" s="4">
        <v>1979.08</v>
      </c>
      <c r="FW15" s="4">
        <v>10806.48</v>
      </c>
      <c r="FX15" s="4">
        <v>12358.38</v>
      </c>
      <c r="FY15" s="4">
        <v>595.63</v>
      </c>
      <c r="FZ15" s="189"/>
      <c r="GA15" s="4"/>
      <c r="GB15" s="4">
        <v>78.459999999999994</v>
      </c>
      <c r="GC15" s="4"/>
      <c r="GD15" s="4">
        <v>4622.53</v>
      </c>
      <c r="GE15" s="4">
        <v>448.12</v>
      </c>
      <c r="GF15" s="4">
        <v>2931.66</v>
      </c>
      <c r="GG15" s="4">
        <v>118.34</v>
      </c>
      <c r="GH15" s="5">
        <v>48.75</v>
      </c>
      <c r="GI15" s="4"/>
      <c r="GJ15" s="4"/>
      <c r="GK15" s="4">
        <v>2077.13</v>
      </c>
      <c r="GL15" s="4">
        <v>179.42</v>
      </c>
      <c r="GM15" s="4">
        <v>239.54</v>
      </c>
      <c r="GN15" s="4">
        <f>251318.31+2884.41</f>
        <v>254202.72</v>
      </c>
      <c r="GO15" s="4">
        <v>1218.8900000000001</v>
      </c>
      <c r="GP15" s="4">
        <v>35.74</v>
      </c>
      <c r="GQ15" s="4">
        <v>317.95999999999998</v>
      </c>
      <c r="GR15" s="4">
        <v>2013.43</v>
      </c>
      <c r="GS15" s="4"/>
      <c r="GT15" s="4"/>
      <c r="GU15" s="123">
        <v>402.71</v>
      </c>
      <c r="GV15" s="4">
        <v>1106.03</v>
      </c>
      <c r="GW15" s="4">
        <v>2352.65</v>
      </c>
      <c r="GX15" s="4">
        <v>65.680000000000007</v>
      </c>
      <c r="GY15" s="4">
        <v>2276.0700000000002</v>
      </c>
      <c r="GZ15" s="4">
        <v>984.9</v>
      </c>
      <c r="HA15" s="4">
        <v>155128.17000000001</v>
      </c>
      <c r="HB15" s="4"/>
      <c r="HC15" s="4">
        <v>214.42</v>
      </c>
      <c r="HD15" s="4">
        <v>1490.27</v>
      </c>
      <c r="HE15" s="4"/>
      <c r="HF15" s="4">
        <v>141.03</v>
      </c>
      <c r="HG15" s="4">
        <v>1486.19</v>
      </c>
      <c r="HH15" s="4">
        <v>439.58</v>
      </c>
      <c r="HI15" s="4">
        <v>1134.26</v>
      </c>
      <c r="HJ15" s="4">
        <v>93.84</v>
      </c>
      <c r="HK15" s="4">
        <v>159.81</v>
      </c>
      <c r="HL15" s="4">
        <v>641.86</v>
      </c>
      <c r="HM15" s="4">
        <v>317.97000000000003</v>
      </c>
      <c r="HN15" s="130">
        <v>5717.93</v>
      </c>
      <c r="HO15" s="74">
        <v>2408.71</v>
      </c>
      <c r="HP15" s="4">
        <v>3184.95</v>
      </c>
      <c r="HQ15" s="4">
        <v>1036.96</v>
      </c>
      <c r="HR15" s="4">
        <v>791.21</v>
      </c>
      <c r="HS15" s="4">
        <v>684.81</v>
      </c>
      <c r="HT15" s="4">
        <v>386.45</v>
      </c>
      <c r="HU15" s="4">
        <v>76.97</v>
      </c>
      <c r="HV15" s="4"/>
      <c r="HW15" s="4">
        <v>492.96</v>
      </c>
      <c r="HX15" s="4"/>
      <c r="HY15" s="4">
        <v>826.26</v>
      </c>
      <c r="HZ15" s="4"/>
      <c r="IA15" s="4">
        <v>7672.55</v>
      </c>
      <c r="IB15" s="4"/>
      <c r="IC15" s="4">
        <v>2051.7800000000002</v>
      </c>
      <c r="ID15" s="4">
        <v>100.1</v>
      </c>
      <c r="IE15" s="4"/>
      <c r="IF15" s="4">
        <v>479.71</v>
      </c>
      <c r="IG15" s="4">
        <v>1021.53</v>
      </c>
      <c r="IH15" s="102">
        <v>1287.01</v>
      </c>
      <c r="II15" s="4">
        <v>1556.77</v>
      </c>
      <c r="IJ15" s="4"/>
      <c r="IK15" s="4">
        <v>37.590000000000003</v>
      </c>
      <c r="IL15" s="4">
        <v>418.16</v>
      </c>
      <c r="IM15" s="4">
        <v>884.13</v>
      </c>
      <c r="IN15" s="4">
        <v>1385.26</v>
      </c>
      <c r="IO15" s="4">
        <v>3204.06</v>
      </c>
      <c r="IP15" s="4">
        <v>419.44</v>
      </c>
      <c r="IQ15" s="4">
        <v>364.7</v>
      </c>
      <c r="IR15" s="4">
        <v>428.97</v>
      </c>
      <c r="IS15" s="4"/>
      <c r="IT15" s="4">
        <v>246.82</v>
      </c>
      <c r="IU15" s="4">
        <f t="shared" si="4"/>
        <v>775766.6599999998</v>
      </c>
    </row>
    <row r="16" spans="1:256" s="209" customFormat="1" ht="14.1" customHeight="1" thickBot="1">
      <c r="A16" s="204" t="s">
        <v>82</v>
      </c>
      <c r="B16" s="205"/>
      <c r="C16" s="204"/>
      <c r="D16" s="204"/>
      <c r="E16" s="204">
        <v>5167714</v>
      </c>
      <c r="F16" s="204">
        <v>3287315.45</v>
      </c>
      <c r="G16" s="204">
        <v>10244.040000000001</v>
      </c>
      <c r="H16" s="204"/>
      <c r="I16" s="204">
        <v>755887.54</v>
      </c>
      <c r="J16" s="204">
        <v>7425.69</v>
      </c>
      <c r="K16" s="204"/>
      <c r="L16" s="204"/>
      <c r="M16" s="204"/>
      <c r="N16" s="216"/>
      <c r="O16" s="204"/>
      <c r="P16" s="204"/>
      <c r="Q16" s="204"/>
      <c r="R16" s="204">
        <v>886538.27</v>
      </c>
      <c r="S16" s="204"/>
      <c r="T16" s="204">
        <v>132</v>
      </c>
      <c r="U16" s="204">
        <v>5395776.4199999999</v>
      </c>
      <c r="V16" s="204">
        <v>2174194.6</v>
      </c>
      <c r="W16" s="204">
        <v>1920338.31</v>
      </c>
      <c r="X16" s="204"/>
      <c r="Y16" s="204">
        <v>9246298.9800000004</v>
      </c>
      <c r="Z16" s="204">
        <v>278926.53000000003</v>
      </c>
      <c r="AA16" s="204">
        <v>2758.7</v>
      </c>
      <c r="AB16" s="204">
        <v>17892.18</v>
      </c>
      <c r="AC16" s="204"/>
      <c r="AD16" s="204"/>
      <c r="AE16" s="204">
        <v>144667.54</v>
      </c>
      <c r="AF16" s="216"/>
      <c r="AG16" s="204">
        <v>444894.59</v>
      </c>
      <c r="AH16" s="204"/>
      <c r="AI16" s="204"/>
      <c r="AJ16" s="204"/>
      <c r="AK16" s="204"/>
      <c r="AL16" s="204"/>
      <c r="AM16" s="204">
        <v>566692</v>
      </c>
      <c r="AN16" s="204">
        <v>6278940</v>
      </c>
      <c r="AO16" s="204"/>
      <c r="AP16" s="204">
        <v>3030018.4</v>
      </c>
      <c r="AQ16" s="204"/>
      <c r="AR16" s="204"/>
      <c r="AS16" s="204">
        <v>51735</v>
      </c>
      <c r="AT16" s="204">
        <v>8197521.3399999999</v>
      </c>
      <c r="AU16" s="204">
        <v>2428583.9900000002</v>
      </c>
      <c r="AV16" s="216">
        <v>97298.54</v>
      </c>
      <c r="AW16" s="204"/>
      <c r="AX16" s="204">
        <v>27937.68</v>
      </c>
      <c r="AY16" s="204"/>
      <c r="AZ16" s="204">
        <v>935422.99</v>
      </c>
      <c r="BA16" s="204">
        <v>215964.43</v>
      </c>
      <c r="BB16" s="204"/>
      <c r="BC16" s="204">
        <v>381</v>
      </c>
      <c r="BD16" s="204"/>
      <c r="BE16" s="204"/>
      <c r="BF16" s="204">
        <v>55996.14</v>
      </c>
      <c r="BG16" s="204"/>
      <c r="BH16" s="204"/>
      <c r="BI16" s="204">
        <v>5157560</v>
      </c>
      <c r="BJ16" s="204">
        <v>366239.42</v>
      </c>
      <c r="BK16" s="204">
        <v>4535600</v>
      </c>
      <c r="BL16" s="204"/>
      <c r="BM16" s="204"/>
      <c r="BN16" s="204"/>
      <c r="BO16" s="204"/>
      <c r="BP16" s="204">
        <v>2125884.67</v>
      </c>
      <c r="BQ16" s="204"/>
      <c r="BR16" s="204">
        <v>161931.39000000001</v>
      </c>
      <c r="BS16" s="204"/>
      <c r="BT16" s="204"/>
      <c r="BU16" s="204">
        <v>226908</v>
      </c>
      <c r="BV16" s="204">
        <v>172946.98</v>
      </c>
      <c r="BW16" s="204"/>
      <c r="BX16" s="204"/>
      <c r="BY16" s="204"/>
      <c r="BZ16" s="204"/>
      <c r="CA16" s="204"/>
      <c r="CB16" s="204">
        <v>1350</v>
      </c>
      <c r="CC16" s="204">
        <v>94083.87</v>
      </c>
      <c r="CD16" s="204">
        <v>18</v>
      </c>
      <c r="CE16" s="204"/>
      <c r="CF16" s="204">
        <v>12039492</v>
      </c>
      <c r="CG16" s="204">
        <v>79435.67</v>
      </c>
      <c r="CH16" s="204"/>
      <c r="CI16" s="204">
        <v>1194.23</v>
      </c>
      <c r="CJ16" s="204"/>
      <c r="CK16" s="204">
        <v>225435.29</v>
      </c>
      <c r="CL16" s="204">
        <v>9949104.6400000006</v>
      </c>
      <c r="CM16" s="204">
        <v>2910953.35</v>
      </c>
      <c r="CN16" s="204"/>
      <c r="CO16" s="204"/>
      <c r="CP16" s="204">
        <v>399287.47</v>
      </c>
      <c r="CQ16" s="204"/>
      <c r="CR16" s="204">
        <v>169083.88</v>
      </c>
      <c r="CS16" s="204"/>
      <c r="CT16" s="204"/>
      <c r="CU16" s="204"/>
      <c r="CV16" s="204"/>
      <c r="CW16" s="204">
        <v>807378.69</v>
      </c>
      <c r="CX16" s="204">
        <v>112249.14</v>
      </c>
      <c r="CY16" s="204">
        <v>2734009.86</v>
      </c>
      <c r="CZ16" s="204">
        <v>338925.62</v>
      </c>
      <c r="DA16" s="204">
        <v>5059969.43</v>
      </c>
      <c r="DB16" s="204">
        <v>5835751.4900000002</v>
      </c>
      <c r="DC16" s="204">
        <v>8319635.1200000001</v>
      </c>
      <c r="DD16" s="204">
        <v>858994.46</v>
      </c>
      <c r="DE16" s="204">
        <v>326350.39</v>
      </c>
      <c r="DF16" s="204">
        <v>106373.42</v>
      </c>
      <c r="DG16" s="204">
        <v>65019.44</v>
      </c>
      <c r="DH16" s="204">
        <v>299160.96999999997</v>
      </c>
      <c r="DI16" s="204">
        <v>1883222.43</v>
      </c>
      <c r="DJ16" s="204"/>
      <c r="DK16" s="204">
        <v>155715.85</v>
      </c>
      <c r="DL16" s="204"/>
      <c r="DM16" s="204"/>
      <c r="DN16" s="204">
        <v>53982</v>
      </c>
      <c r="DO16" s="204">
        <v>192091.79</v>
      </c>
      <c r="DP16" s="204"/>
      <c r="DQ16" s="204"/>
      <c r="DR16" s="204"/>
      <c r="DS16" s="204"/>
      <c r="DT16" s="204">
        <v>138530.59</v>
      </c>
      <c r="DU16" s="204">
        <v>3072482.86</v>
      </c>
      <c r="DV16" s="204">
        <v>5093634.6900000004</v>
      </c>
      <c r="DW16" s="204">
        <v>4741674.8</v>
      </c>
      <c r="DX16" s="204">
        <v>7442973.5599999996</v>
      </c>
      <c r="DY16" s="204">
        <v>481.46</v>
      </c>
      <c r="DZ16" s="204">
        <v>3486597.38</v>
      </c>
      <c r="EA16" s="204">
        <v>322752.19</v>
      </c>
      <c r="EB16" s="204">
        <v>2614065.29</v>
      </c>
      <c r="EC16" s="204">
        <v>2291057.16</v>
      </c>
      <c r="ED16" s="204">
        <v>18241.419999999998</v>
      </c>
      <c r="EE16" s="204">
        <v>962.42</v>
      </c>
      <c r="EF16" s="204">
        <v>3360996.98</v>
      </c>
      <c r="EG16" s="204">
        <v>1805167.93</v>
      </c>
      <c r="EH16" s="204">
        <v>10278790.91</v>
      </c>
      <c r="EI16" s="204">
        <v>223045.77</v>
      </c>
      <c r="EJ16" s="204">
        <v>11911.38</v>
      </c>
      <c r="EK16" s="216"/>
      <c r="EL16" s="204">
        <v>1255880.74</v>
      </c>
      <c r="EM16" s="204">
        <v>2583615.63</v>
      </c>
      <c r="EN16" s="204">
        <v>4316412</v>
      </c>
      <c r="EO16" s="204"/>
      <c r="EP16" s="204"/>
      <c r="EQ16" s="204">
        <v>6970157.1299999999</v>
      </c>
      <c r="ER16" s="204">
        <v>113254.42</v>
      </c>
      <c r="ES16" s="206"/>
      <c r="ET16" s="204">
        <v>148372.89300000001</v>
      </c>
      <c r="EU16" s="204">
        <v>264824.8</v>
      </c>
      <c r="EV16" s="204"/>
      <c r="EW16" s="204">
        <v>55082.39</v>
      </c>
      <c r="EX16" s="204">
        <v>381547.5</v>
      </c>
      <c r="EY16" s="204"/>
      <c r="EZ16" s="204"/>
      <c r="FA16" s="193">
        <v>69900517</v>
      </c>
      <c r="FB16" s="204"/>
      <c r="FC16" s="204"/>
      <c r="FD16" s="204">
        <v>333732.56</v>
      </c>
      <c r="FE16" s="216">
        <v>65526.59</v>
      </c>
      <c r="FF16" s="204">
        <v>123615</v>
      </c>
      <c r="FG16" s="204">
        <v>9048673.2599999998</v>
      </c>
      <c r="FH16" s="204"/>
      <c r="FI16" s="216"/>
      <c r="FJ16" s="204">
        <v>6891661.25</v>
      </c>
      <c r="FK16" s="204">
        <v>9223779.5600000005</v>
      </c>
      <c r="FL16" s="74"/>
      <c r="FM16" s="251">
        <f>113633309+7149873</f>
        <v>120783182</v>
      </c>
      <c r="FN16" s="204" t="s">
        <v>49</v>
      </c>
      <c r="FO16" s="204"/>
      <c r="FP16" s="204">
        <v>23014.76</v>
      </c>
      <c r="FQ16" s="204">
        <v>101238.58</v>
      </c>
      <c r="FR16" s="204"/>
      <c r="FS16" s="204">
        <v>278510.65999999997</v>
      </c>
      <c r="FT16" s="204">
        <v>4294835.5</v>
      </c>
      <c r="FU16" s="204"/>
      <c r="FV16" s="204">
        <v>5057.67</v>
      </c>
      <c r="FW16" s="204"/>
      <c r="FX16" s="204"/>
      <c r="FY16" s="204"/>
      <c r="FZ16" s="216">
        <v>2291947.2599999998</v>
      </c>
      <c r="GA16" s="204">
        <v>371138.11</v>
      </c>
      <c r="GB16" s="204"/>
      <c r="GC16" s="204">
        <v>3034330.18</v>
      </c>
      <c r="GD16" s="204">
        <v>3456.49</v>
      </c>
      <c r="GE16" s="204"/>
      <c r="GF16" s="204">
        <v>257221.57</v>
      </c>
      <c r="GG16" s="204">
        <v>1762.74</v>
      </c>
      <c r="GH16" s="193">
        <f>89115955+270060.8+1221.23</f>
        <v>89387237.030000001</v>
      </c>
      <c r="GI16" s="204">
        <v>10257279.859999999</v>
      </c>
      <c r="GJ16" s="204"/>
      <c r="GK16" s="204">
        <v>37604.589999999997</v>
      </c>
      <c r="GL16" s="204">
        <v>891225.98</v>
      </c>
      <c r="GM16" s="204">
        <v>47.34</v>
      </c>
      <c r="GN16" s="204"/>
      <c r="GO16" s="204">
        <v>1558886.54</v>
      </c>
      <c r="GP16" s="204">
        <v>1018337.89</v>
      </c>
      <c r="GQ16" s="204">
        <v>6541178.8399999999</v>
      </c>
      <c r="GR16" s="204">
        <v>3333733.29</v>
      </c>
      <c r="GS16" s="204"/>
      <c r="GT16" s="204">
        <v>187173.73</v>
      </c>
      <c r="GU16" s="216">
        <v>113431.85</v>
      </c>
      <c r="GV16" s="204">
        <v>69307.899999999994</v>
      </c>
      <c r="GW16" s="204">
        <v>65678.929999999993</v>
      </c>
      <c r="GX16" s="204">
        <v>4580788.2699999996</v>
      </c>
      <c r="GY16" s="204">
        <v>421733.34</v>
      </c>
      <c r="GZ16" s="204"/>
      <c r="HA16" s="204"/>
      <c r="HB16" s="204">
        <v>1139463.8700000001</v>
      </c>
      <c r="HC16" s="204">
        <v>100238.72</v>
      </c>
      <c r="HD16" s="204"/>
      <c r="HE16" s="204">
        <v>7914237</v>
      </c>
      <c r="HF16" s="204">
        <v>18616.419999999998</v>
      </c>
      <c r="HG16" s="204">
        <v>2726256.51</v>
      </c>
      <c r="HH16" s="204"/>
      <c r="HI16" s="204"/>
      <c r="HJ16" s="204"/>
      <c r="HK16" s="204"/>
      <c r="HL16" s="204">
        <v>26162.09</v>
      </c>
      <c r="HM16" s="204">
        <v>5858323.25</v>
      </c>
      <c r="HN16" s="218">
        <v>110982.96</v>
      </c>
      <c r="HO16" s="216"/>
      <c r="HP16" s="204">
        <v>1055920.8899999999</v>
      </c>
      <c r="HQ16" s="204">
        <v>141145.51</v>
      </c>
      <c r="HR16" s="204">
        <v>235828.49</v>
      </c>
      <c r="HS16" s="204">
        <v>1940998.88</v>
      </c>
      <c r="HT16" s="204">
        <v>11838446.25</v>
      </c>
      <c r="HU16" s="204">
        <v>819511.83</v>
      </c>
      <c r="HV16" s="204">
        <v>8875942.0199999996</v>
      </c>
      <c r="HW16" s="204">
        <v>4863401.38</v>
      </c>
      <c r="HX16" s="204"/>
      <c r="HY16" s="204">
        <v>12063.08</v>
      </c>
      <c r="HZ16" s="204"/>
      <c r="IA16" s="204"/>
      <c r="IB16" s="204"/>
      <c r="IC16" s="204">
        <v>17104.71</v>
      </c>
      <c r="ID16" s="204"/>
      <c r="IE16" s="204">
        <v>811897.14</v>
      </c>
      <c r="IF16" s="204"/>
      <c r="IG16" s="204"/>
      <c r="IH16" s="217"/>
      <c r="II16" s="204">
        <v>63534.92</v>
      </c>
      <c r="IJ16" s="204">
        <v>1256415.77</v>
      </c>
      <c r="IK16" s="204">
        <v>57379.73</v>
      </c>
      <c r="IL16" s="204"/>
      <c r="IM16" s="204"/>
      <c r="IN16" s="204"/>
      <c r="IO16" s="204">
        <v>2513.15</v>
      </c>
      <c r="IP16" s="204">
        <v>41707.949999999997</v>
      </c>
      <c r="IQ16" s="204"/>
      <c r="IR16" s="204">
        <v>5437063</v>
      </c>
      <c r="IS16" s="204"/>
      <c r="IT16" s="204"/>
      <c r="IU16" s="204">
        <f t="shared" si="4"/>
        <v>579247351.24300003</v>
      </c>
    </row>
    <row r="17" spans="1:255" s="38" customFormat="1" ht="14.1" customHeight="1" thickBot="1">
      <c r="A17" s="32" t="s">
        <v>30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12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123"/>
      <c r="AG17" s="32"/>
      <c r="AH17" s="32"/>
      <c r="AI17" s="32">
        <f>297+1536+539+440+780+5283.94+207.19+573.18+57.99+114.96</f>
        <v>9829.2599999999984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123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>
        <v>27310181.66</v>
      </c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123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5"/>
      <c r="FC17" s="32"/>
      <c r="FD17" s="32"/>
      <c r="FE17" s="123"/>
      <c r="FF17" s="32"/>
      <c r="FG17" s="32"/>
      <c r="FH17" s="32"/>
      <c r="FI17" s="123"/>
      <c r="FJ17" s="32"/>
      <c r="FK17" s="32"/>
      <c r="FL17" s="74"/>
      <c r="FM17" s="35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123"/>
      <c r="GA17" s="32"/>
      <c r="GB17" s="32"/>
      <c r="GC17" s="32"/>
      <c r="GD17" s="32">
        <f>393668.2+4350</f>
        <v>398018.2</v>
      </c>
      <c r="GE17" s="32"/>
      <c r="GF17" s="32"/>
      <c r="GG17" s="32"/>
      <c r="GH17" s="35"/>
      <c r="GI17" s="32"/>
      <c r="GJ17" s="32"/>
      <c r="GK17" s="32">
        <v>194678</v>
      </c>
      <c r="GL17" s="32"/>
      <c r="GM17" s="32"/>
      <c r="GN17" s="32"/>
      <c r="GO17" s="32"/>
      <c r="GP17" s="32"/>
      <c r="GQ17" s="32"/>
      <c r="GR17" s="32"/>
      <c r="GS17" s="32"/>
      <c r="GT17" s="32"/>
      <c r="GU17" s="123">
        <v>3375.4</v>
      </c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141"/>
      <c r="HO17" s="123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10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>
        <v>0</v>
      </c>
    </row>
    <row r="18" spans="1:255" s="38" customFormat="1" ht="14.1" customHeight="1" thickBot="1">
      <c r="A18" s="32" t="s">
        <v>37</v>
      </c>
      <c r="B18" s="32"/>
      <c r="C18" s="32">
        <v>37367.39</v>
      </c>
      <c r="D18" s="32">
        <f>44301.06+239.3</f>
        <v>44540.36</v>
      </c>
      <c r="E18" s="32">
        <v>44877.27</v>
      </c>
      <c r="F18" s="32">
        <v>43479.33</v>
      </c>
      <c r="G18" s="32">
        <v>47051.02</v>
      </c>
      <c r="H18" s="32">
        <v>40638.43</v>
      </c>
      <c r="I18" s="32">
        <v>46672.89</v>
      </c>
      <c r="J18" s="32">
        <f>40820.65+283.38</f>
        <v>41104.03</v>
      </c>
      <c r="K18" s="32">
        <v>33063</v>
      </c>
      <c r="L18" s="32">
        <v>49995.96</v>
      </c>
      <c r="M18" s="32">
        <v>49350.84</v>
      </c>
      <c r="N18" s="123">
        <v>36131.97</v>
      </c>
      <c r="O18" s="32">
        <v>75045.429999999993</v>
      </c>
      <c r="P18" s="32">
        <v>85339.08</v>
      </c>
      <c r="Q18" s="32">
        <f>48484.48+399.6</f>
        <v>48884.08</v>
      </c>
      <c r="R18" s="32">
        <v>41697.379999999997</v>
      </c>
      <c r="S18" s="32">
        <v>44599.37</v>
      </c>
      <c r="T18" s="32">
        <v>55971.51</v>
      </c>
      <c r="U18" s="32">
        <v>52877.42</v>
      </c>
      <c r="V18" s="32">
        <v>46085.46</v>
      </c>
      <c r="W18" s="32">
        <f>100+47580.4</f>
        <v>47680.4</v>
      </c>
      <c r="X18" s="32">
        <v>38249.07</v>
      </c>
      <c r="Y18" s="32">
        <v>39701.769999999997</v>
      </c>
      <c r="Z18" s="32">
        <f>52006.8+154.05</f>
        <v>52160.850000000006</v>
      </c>
      <c r="AA18" s="32">
        <v>47988.21</v>
      </c>
      <c r="AB18" s="32">
        <v>31000.12</v>
      </c>
      <c r="AC18" s="32">
        <v>42040.68</v>
      </c>
      <c r="AD18" s="32"/>
      <c r="AE18" s="32"/>
      <c r="AF18" s="123"/>
      <c r="AG18" s="32"/>
      <c r="AH18" s="32"/>
      <c r="AI18" s="32">
        <v>35827.58</v>
      </c>
      <c r="AJ18" s="32">
        <v>50149.69</v>
      </c>
      <c r="AK18" s="32">
        <v>48830.06</v>
      </c>
      <c r="AL18" s="32">
        <v>45306.28</v>
      </c>
      <c r="AM18" s="32"/>
      <c r="AN18" s="32">
        <v>40416.78</v>
      </c>
      <c r="AO18" s="32">
        <f>46140.23+1198.5</f>
        <v>47338.73</v>
      </c>
      <c r="AP18" s="32">
        <f>44953.7+75.3</f>
        <v>45029</v>
      </c>
      <c r="AQ18" s="32">
        <v>48224.03</v>
      </c>
      <c r="AR18" s="32">
        <v>44836.09</v>
      </c>
      <c r="AS18" s="32">
        <v>39411.17</v>
      </c>
      <c r="AT18" s="32">
        <v>52337.17</v>
      </c>
      <c r="AU18" s="32">
        <v>45717.17</v>
      </c>
      <c r="AV18" s="123">
        <v>45266.58</v>
      </c>
      <c r="AW18" s="32">
        <v>44057.69</v>
      </c>
      <c r="AX18" s="32">
        <v>35879.19</v>
      </c>
      <c r="AY18" s="32">
        <v>50029.99</v>
      </c>
      <c r="AZ18" s="32">
        <v>45220.28</v>
      </c>
      <c r="BA18" s="32">
        <v>36742.879999999997</v>
      </c>
      <c r="BB18" s="32">
        <v>46754.1</v>
      </c>
      <c r="BC18" s="32">
        <v>42851.01</v>
      </c>
      <c r="BD18" s="32">
        <v>50260.959999999999</v>
      </c>
      <c r="BE18" s="32">
        <v>47314.65</v>
      </c>
      <c r="BF18" s="32">
        <v>94552.24</v>
      </c>
      <c r="BG18" s="32">
        <v>42532.7</v>
      </c>
      <c r="BH18" s="32">
        <f>39255.29+708.75</f>
        <v>39964.04</v>
      </c>
      <c r="BI18" s="32">
        <f>49261.29+171.52</f>
        <v>49432.81</v>
      </c>
      <c r="BJ18" s="32">
        <v>42759.29</v>
      </c>
      <c r="BK18" s="32">
        <v>41018.01</v>
      </c>
      <c r="BL18" s="32">
        <v>41637.769999999997</v>
      </c>
      <c r="BM18" s="32">
        <v>42144.65</v>
      </c>
      <c r="BN18" s="32">
        <v>44937.31</v>
      </c>
      <c r="BO18" s="32">
        <v>33068.6</v>
      </c>
      <c r="BP18" s="32">
        <v>30848.66</v>
      </c>
      <c r="BQ18" s="32">
        <f>30313.85+132.35</f>
        <v>30446.199999999997</v>
      </c>
      <c r="BR18" s="32">
        <v>29443.34</v>
      </c>
      <c r="BS18" s="32">
        <v>47307.22</v>
      </c>
      <c r="BT18" s="32">
        <v>44253.51</v>
      </c>
      <c r="BU18" s="32">
        <v>39928.080000000002</v>
      </c>
      <c r="BV18" s="32">
        <v>37655.050000000003</v>
      </c>
      <c r="BW18" s="32">
        <v>37080.29</v>
      </c>
      <c r="BX18" s="32">
        <f>49017.52+104.15</f>
        <v>49121.67</v>
      </c>
      <c r="BY18" s="32">
        <v>40170.629999999997</v>
      </c>
      <c r="BZ18" s="32">
        <v>42154.51</v>
      </c>
      <c r="CA18" s="32">
        <v>46782.01</v>
      </c>
      <c r="CB18" s="32">
        <f>35454.95+161.75</f>
        <v>35616.699999999997</v>
      </c>
      <c r="CC18" s="32">
        <v>60089.03</v>
      </c>
      <c r="CD18" s="32">
        <v>42102.43</v>
      </c>
      <c r="CE18" s="32">
        <v>69138.44</v>
      </c>
      <c r="CF18" s="32">
        <f>36802.42+86.3</f>
        <v>36888.720000000001</v>
      </c>
      <c r="CG18" s="32">
        <f>32026.53+438.9</f>
        <v>32465.43</v>
      </c>
      <c r="CH18" s="32">
        <f>37795.22+200.75</f>
        <v>37995.97</v>
      </c>
      <c r="CI18" s="32">
        <f>35247.41+183.39</f>
        <v>35430.800000000003</v>
      </c>
      <c r="CJ18" s="32">
        <v>28702.66</v>
      </c>
      <c r="CK18" s="32">
        <v>20099.419999999998</v>
      </c>
      <c r="CL18" s="32">
        <v>11825.17</v>
      </c>
      <c r="CM18" s="32">
        <v>25381.38</v>
      </c>
      <c r="CN18" s="32">
        <v>18971.48</v>
      </c>
      <c r="CO18" s="32">
        <v>7166.36</v>
      </c>
      <c r="CP18" s="32"/>
      <c r="CQ18" s="32"/>
      <c r="CR18" s="32">
        <v>139.25</v>
      </c>
      <c r="CS18" s="32">
        <v>3882.45</v>
      </c>
      <c r="CT18" s="32"/>
      <c r="CU18" s="32"/>
      <c r="CV18" s="32"/>
      <c r="CW18" s="32"/>
      <c r="CX18" s="32">
        <v>5174.09</v>
      </c>
      <c r="CY18" s="32"/>
      <c r="CZ18" s="32"/>
      <c r="DA18" s="32"/>
      <c r="DB18" s="32">
        <v>93.95</v>
      </c>
      <c r="DC18" s="32">
        <v>5958.01</v>
      </c>
      <c r="DD18" s="32"/>
      <c r="DE18" s="32"/>
      <c r="DF18" s="32"/>
      <c r="DG18" s="32"/>
      <c r="DH18" s="32">
        <v>4912.46</v>
      </c>
      <c r="DI18" s="32">
        <v>1607.98</v>
      </c>
      <c r="DJ18" s="32"/>
      <c r="DK18" s="32">
        <v>25.75</v>
      </c>
      <c r="DL18" s="32">
        <v>888.2</v>
      </c>
      <c r="DM18" s="32"/>
      <c r="DN18" s="32"/>
      <c r="DO18" s="32"/>
      <c r="DP18" s="32"/>
      <c r="DQ18" s="32">
        <v>526.6</v>
      </c>
      <c r="DR18" s="32"/>
      <c r="DS18" s="32"/>
      <c r="DT18" s="32"/>
      <c r="DU18" s="32"/>
      <c r="DV18" s="32">
        <v>408.35</v>
      </c>
      <c r="DW18" s="32"/>
      <c r="DX18" s="32"/>
      <c r="DY18" s="32">
        <v>3209.1</v>
      </c>
      <c r="DZ18" s="32">
        <v>6849.93</v>
      </c>
      <c r="EA18" s="32">
        <v>25</v>
      </c>
      <c r="EB18" s="32"/>
      <c r="EC18" s="32"/>
      <c r="ED18" s="32"/>
      <c r="EE18" s="32">
        <v>6.44</v>
      </c>
      <c r="EF18" s="32"/>
      <c r="EG18" s="120">
        <f>196439.86</f>
        <v>196439.86</v>
      </c>
      <c r="EH18" s="32"/>
      <c r="EI18" s="32"/>
      <c r="EJ18" s="32">
        <v>1523.2</v>
      </c>
      <c r="EK18" s="123"/>
      <c r="EL18" s="32"/>
      <c r="EM18" s="32"/>
      <c r="EN18" s="32"/>
      <c r="EO18" s="32"/>
      <c r="EP18" s="32"/>
      <c r="EQ18" s="32">
        <v>779.55</v>
      </c>
      <c r="ER18" s="32">
        <v>12376.56</v>
      </c>
      <c r="ES18" s="32">
        <v>62328.27</v>
      </c>
      <c r="ET18" s="32">
        <v>55625.279999999999</v>
      </c>
      <c r="EU18" s="32">
        <v>52394.96</v>
      </c>
      <c r="EV18" s="32">
        <v>53633.51</v>
      </c>
      <c r="EW18" s="32">
        <v>54458.49</v>
      </c>
      <c r="EX18" s="32">
        <v>56607</v>
      </c>
      <c r="EY18" s="32">
        <v>53929.55</v>
      </c>
      <c r="EZ18" s="32">
        <v>48200.62</v>
      </c>
      <c r="FA18" s="32">
        <v>43954.45</v>
      </c>
      <c r="FB18" s="32">
        <f>53462.9+672.4</f>
        <v>54135.3</v>
      </c>
      <c r="FC18" s="32">
        <f>48675.73+137.8</f>
        <v>48813.530000000006</v>
      </c>
      <c r="FD18" s="32">
        <v>48618.47</v>
      </c>
      <c r="FE18" s="123">
        <v>40294.720000000001</v>
      </c>
      <c r="FF18" s="32">
        <f>41811.3+352.65</f>
        <v>42163.950000000004</v>
      </c>
      <c r="FG18" s="32">
        <v>52382.71</v>
      </c>
      <c r="FH18" s="32">
        <v>52987.29</v>
      </c>
      <c r="FI18" s="123">
        <v>45918.51</v>
      </c>
      <c r="FJ18" s="32">
        <v>41395.51</v>
      </c>
      <c r="FK18" s="32">
        <v>30772.13</v>
      </c>
      <c r="FL18" s="74">
        <v>54058.45</v>
      </c>
      <c r="FM18" s="32">
        <v>26031.82</v>
      </c>
      <c r="FN18" s="32">
        <v>60660.41</v>
      </c>
      <c r="FO18" s="32">
        <v>814.15</v>
      </c>
      <c r="FP18" s="32">
        <v>60751.59</v>
      </c>
      <c r="FQ18" s="32">
        <v>46451.1</v>
      </c>
      <c r="FR18" s="32">
        <v>42763.95</v>
      </c>
      <c r="FS18" s="32">
        <v>43934.36</v>
      </c>
      <c r="FT18" s="32">
        <v>18920.14</v>
      </c>
      <c r="FU18" s="32">
        <v>44124.7</v>
      </c>
      <c r="FV18" s="32">
        <v>47136.94</v>
      </c>
      <c r="FW18" s="32">
        <v>47455.39</v>
      </c>
      <c r="FX18" s="32">
        <v>42532.06</v>
      </c>
      <c r="FY18" s="32">
        <v>62858.61</v>
      </c>
      <c r="FZ18" s="123">
        <v>52263.6</v>
      </c>
      <c r="GA18" s="32">
        <f>47266.37+135.85</f>
        <v>47402.22</v>
      </c>
      <c r="GB18" s="32">
        <f>46659.51+657.4</f>
        <v>47316.91</v>
      </c>
      <c r="GC18" s="32">
        <v>47578.86</v>
      </c>
      <c r="GD18" s="32">
        <v>35749.94</v>
      </c>
      <c r="GE18" s="32">
        <v>48529.87</v>
      </c>
      <c r="GF18" s="32">
        <v>49032.72</v>
      </c>
      <c r="GG18" s="32">
        <v>42940.45</v>
      </c>
      <c r="GH18" s="32">
        <v>43936.41</v>
      </c>
      <c r="GI18" s="32">
        <v>39626.699999999997</v>
      </c>
      <c r="GJ18" s="32">
        <v>49190.73</v>
      </c>
      <c r="GK18" s="32">
        <v>44184.56</v>
      </c>
      <c r="GL18" s="32">
        <v>73653.81</v>
      </c>
      <c r="GM18" s="32">
        <v>39239.629999999997</v>
      </c>
      <c r="GN18" s="32">
        <v>40119.129999999997</v>
      </c>
      <c r="GO18" s="32">
        <v>48232.7</v>
      </c>
      <c r="GP18" s="32">
        <v>46718</v>
      </c>
      <c r="GQ18" s="32">
        <f>43306.5+237.2</f>
        <v>43543.7</v>
      </c>
      <c r="GR18" s="32">
        <v>44651.02</v>
      </c>
      <c r="GS18" s="32">
        <v>90250.45</v>
      </c>
      <c r="GT18" s="32">
        <v>47492.37</v>
      </c>
      <c r="GU18" s="123">
        <v>40296.32</v>
      </c>
      <c r="GV18" s="32">
        <v>48190.03</v>
      </c>
      <c r="GW18" s="32">
        <v>43095.86</v>
      </c>
      <c r="GX18" s="32">
        <v>48104.31</v>
      </c>
      <c r="GY18" s="32">
        <v>47694.29</v>
      </c>
      <c r="GZ18" s="32">
        <v>42064.46</v>
      </c>
      <c r="HA18" s="32">
        <f>37729.43+6</f>
        <v>37735.43</v>
      </c>
      <c r="HB18" s="32">
        <v>26977.62</v>
      </c>
      <c r="HC18" s="32">
        <v>209</v>
      </c>
      <c r="HD18" s="32"/>
      <c r="HE18" s="32">
        <v>489</v>
      </c>
      <c r="HF18" s="32">
        <v>37082.92</v>
      </c>
      <c r="HG18" s="32">
        <v>48266.29</v>
      </c>
      <c r="HH18" s="32">
        <v>47106.23</v>
      </c>
      <c r="HI18" s="32">
        <v>41414.519999999997</v>
      </c>
      <c r="HJ18" s="32">
        <v>42209.599999999999</v>
      </c>
      <c r="HK18" s="32">
        <f>37830.49+349.25</f>
        <v>38179.74</v>
      </c>
      <c r="HL18" s="32">
        <v>45933.8</v>
      </c>
      <c r="HM18" s="32">
        <f>42417.31+390.6</f>
        <v>42807.909999999996</v>
      </c>
      <c r="HN18" s="141">
        <v>38850.61</v>
      </c>
      <c r="HO18" s="123">
        <v>35763.17</v>
      </c>
      <c r="HP18" s="32">
        <v>36422.71</v>
      </c>
      <c r="HQ18" s="32">
        <v>46430.1</v>
      </c>
      <c r="HR18" s="32">
        <v>51610.79</v>
      </c>
      <c r="HS18" s="32">
        <f>37819.13+473.7</f>
        <v>38292.829999999994</v>
      </c>
      <c r="HT18" s="32">
        <f>37443.3</f>
        <v>37443.300000000003</v>
      </c>
      <c r="HU18" s="32">
        <v>1489.25</v>
      </c>
      <c r="HV18" s="32"/>
      <c r="HW18" s="32"/>
      <c r="HX18" s="32"/>
      <c r="HY18" s="32">
        <v>141.19999999999999</v>
      </c>
      <c r="HZ18" s="32">
        <v>59.75</v>
      </c>
      <c r="IA18" s="32">
        <v>200.05</v>
      </c>
      <c r="IB18" s="32">
        <v>491</v>
      </c>
      <c r="IC18" s="32">
        <v>945.2</v>
      </c>
      <c r="ID18" s="32">
        <v>25607.91</v>
      </c>
      <c r="IE18" s="32">
        <v>53296.43</v>
      </c>
      <c r="IF18" s="32">
        <v>37498.92</v>
      </c>
      <c r="IG18" s="32">
        <v>55091.839999999997</v>
      </c>
      <c r="IH18" s="102">
        <v>41550.160000000003</v>
      </c>
      <c r="II18" s="32">
        <v>43252.160000000003</v>
      </c>
      <c r="IJ18" s="32">
        <v>28048.5</v>
      </c>
      <c r="IK18" s="32"/>
      <c r="IL18" s="32">
        <v>25335.46</v>
      </c>
      <c r="IM18" s="32">
        <v>5163.3</v>
      </c>
      <c r="IN18" s="32"/>
      <c r="IO18" s="32">
        <v>41467.21</v>
      </c>
      <c r="IP18" s="32">
        <v>44132.25</v>
      </c>
      <c r="IQ18" s="32">
        <f>2849.55+681.75</f>
        <v>3531.3</v>
      </c>
      <c r="IR18" s="32">
        <v>39622.639999999999</v>
      </c>
      <c r="IS18" s="32">
        <v>1789.15</v>
      </c>
      <c r="IT18" s="32">
        <v>101461.89</v>
      </c>
      <c r="IU18" s="32">
        <f>SUM(C18:IT18)</f>
        <v>7976941.8199999994</v>
      </c>
    </row>
    <row r="19" spans="1:255" s="38" customFormat="1" ht="14.1" customHeight="1" thickBot="1">
      <c r="A19" s="32" t="s">
        <v>29</v>
      </c>
      <c r="B19" s="32"/>
      <c r="C19" s="37"/>
      <c r="D19" s="37"/>
      <c r="E19" s="37">
        <f>1772408.5+193808.33</f>
        <v>1966216.83</v>
      </c>
      <c r="F19" s="37"/>
      <c r="G19" s="37"/>
      <c r="H19" s="37"/>
      <c r="I19" s="37"/>
      <c r="J19" s="37">
        <v>541305.9</v>
      </c>
      <c r="K19" s="37"/>
      <c r="L19" s="37"/>
      <c r="M19" s="37"/>
      <c r="N19" s="195"/>
      <c r="O19" s="37">
        <v>5360567.99</v>
      </c>
      <c r="P19" s="37"/>
      <c r="Q19" s="37"/>
      <c r="R19" s="37"/>
      <c r="S19" s="37"/>
      <c r="T19" s="37"/>
      <c r="U19" s="37"/>
      <c r="V19" s="37"/>
      <c r="W19" s="37"/>
      <c r="X19" s="37">
        <v>2246976.81</v>
      </c>
      <c r="Y19" s="37"/>
      <c r="Z19" s="37"/>
      <c r="AA19" s="37"/>
      <c r="AB19" s="37"/>
      <c r="AC19" s="37">
        <v>371714</v>
      </c>
      <c r="AD19" s="37"/>
      <c r="AE19" s="37"/>
      <c r="AF19" s="195"/>
      <c r="AG19" s="37"/>
      <c r="AH19" s="37"/>
      <c r="AI19" s="37"/>
      <c r="AJ19" s="37"/>
      <c r="AK19" s="37"/>
      <c r="AL19" s="37"/>
      <c r="AM19" s="37">
        <v>1356417.38</v>
      </c>
      <c r="AN19" s="37"/>
      <c r="AO19" s="37"/>
      <c r="AP19" s="37"/>
      <c r="AQ19" s="37"/>
      <c r="AR19" s="37"/>
      <c r="AS19" s="37"/>
      <c r="AT19" s="37">
        <v>3789440.5</v>
      </c>
      <c r="AU19" s="37"/>
      <c r="AV19" s="195"/>
      <c r="AW19" s="37">
        <v>2688689.52</v>
      </c>
      <c r="AX19" s="37"/>
      <c r="AY19" s="37"/>
      <c r="AZ19" s="37"/>
      <c r="BA19" s="37"/>
      <c r="BB19" s="37">
        <v>4949756.63</v>
      </c>
      <c r="BC19" s="37"/>
      <c r="BD19" s="37">
        <v>156597.13</v>
      </c>
      <c r="BE19" s="37"/>
      <c r="BF19" s="37"/>
      <c r="BG19" s="37">
        <v>3709449.16</v>
      </c>
      <c r="BH19" s="37"/>
      <c r="BI19" s="37"/>
      <c r="BJ19" s="37"/>
      <c r="BK19" s="37"/>
      <c r="BL19" s="37"/>
      <c r="BM19" s="37">
        <v>2059091.15</v>
      </c>
      <c r="BN19" s="37"/>
      <c r="BO19" s="37">
        <v>250000</v>
      </c>
      <c r="BP19" s="37"/>
      <c r="BQ19" s="37">
        <f>346491.59+557068.62</f>
        <v>903560.21</v>
      </c>
      <c r="BR19" s="37"/>
      <c r="BS19" s="37"/>
      <c r="BT19" s="37"/>
      <c r="BU19" s="37"/>
      <c r="BV19" s="37">
        <f>369155.99</f>
        <v>369155.99</v>
      </c>
      <c r="BW19" s="37"/>
      <c r="BX19" s="37"/>
      <c r="BY19" s="37"/>
      <c r="BZ19" s="37"/>
      <c r="CA19" s="37">
        <v>975192.34</v>
      </c>
      <c r="CB19" s="37"/>
      <c r="CC19" s="37"/>
      <c r="CD19" s="37"/>
      <c r="CE19" s="37"/>
      <c r="CF19" s="37">
        <v>2622539.16</v>
      </c>
      <c r="CG19" s="37"/>
      <c r="CH19" s="37"/>
      <c r="CI19" s="37"/>
      <c r="CJ19" s="37">
        <v>1983630.36</v>
      </c>
      <c r="CK19" s="37"/>
      <c r="CL19" s="37"/>
      <c r="CM19" s="37"/>
      <c r="CN19" s="37"/>
      <c r="CO19" s="37">
        <v>158212.14000000001</v>
      </c>
      <c r="CP19" s="37"/>
      <c r="CQ19" s="37"/>
      <c r="CR19" s="37"/>
      <c r="CS19" s="37"/>
      <c r="CT19" s="37">
        <v>98532.38</v>
      </c>
      <c r="CU19" s="37"/>
      <c r="CV19" s="37"/>
      <c r="CW19" s="37"/>
      <c r="CX19" s="37"/>
      <c r="CY19" s="37"/>
      <c r="CZ19" s="37">
        <v>1929231.49</v>
      </c>
      <c r="DA19" s="37"/>
      <c r="DB19" s="37"/>
      <c r="DC19" s="37"/>
      <c r="DD19" s="37">
        <v>2357159.25</v>
      </c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>
        <v>896997.15</v>
      </c>
      <c r="DS19" s="37"/>
      <c r="DT19" s="37"/>
      <c r="DU19" s="37"/>
      <c r="DV19" s="37"/>
      <c r="DW19" s="37">
        <f>263124.38+500000</f>
        <v>763124.38</v>
      </c>
      <c r="DX19" s="37"/>
      <c r="DY19" s="37"/>
      <c r="DZ19" s="37"/>
      <c r="EA19" s="37"/>
      <c r="EB19" s="37"/>
      <c r="EC19" s="37">
        <f>799438.63</f>
        <v>799438.63</v>
      </c>
      <c r="ED19" s="37"/>
      <c r="EE19" s="37"/>
      <c r="EF19" s="37"/>
      <c r="EG19" s="194">
        <f>125341750-125341750</f>
        <v>0</v>
      </c>
      <c r="EH19" s="37"/>
      <c r="EI19" s="37"/>
      <c r="EJ19" s="37"/>
      <c r="EK19" s="195"/>
      <c r="EL19" s="37">
        <v>1404227.94</v>
      </c>
      <c r="EM19" s="37"/>
      <c r="EN19" s="37"/>
      <c r="EO19" s="37"/>
      <c r="EP19" s="37"/>
      <c r="EQ19" s="37"/>
      <c r="ER19" s="37"/>
      <c r="ES19" s="37">
        <v>120312.77</v>
      </c>
      <c r="ET19" s="37"/>
      <c r="EU19" s="37">
        <v>1300000</v>
      </c>
      <c r="EV19" s="37"/>
      <c r="EW19" s="37"/>
      <c r="EX19" s="37">
        <v>1196754.83</v>
      </c>
      <c r="EY19" s="37"/>
      <c r="EZ19" s="37"/>
      <c r="FA19" s="37"/>
      <c r="FB19" s="37">
        <v>1396524.06</v>
      </c>
      <c r="FC19" s="37"/>
      <c r="FD19" s="37"/>
      <c r="FE19" s="195"/>
      <c r="FF19" s="37">
        <v>1036527.92</v>
      </c>
      <c r="FG19" s="37"/>
      <c r="FH19" s="37"/>
      <c r="FI19" s="195"/>
      <c r="FJ19" s="37"/>
      <c r="FK19" s="37"/>
      <c r="FL19" s="75">
        <f>68000.26+17149063</f>
        <v>17217063.260000002</v>
      </c>
      <c r="FM19" s="37">
        <v>28579</v>
      </c>
      <c r="FN19" s="37"/>
      <c r="FO19" s="37"/>
      <c r="FP19" s="37">
        <v>261642.45</v>
      </c>
      <c r="FQ19" s="37"/>
      <c r="FR19" s="37"/>
      <c r="FS19" s="37"/>
      <c r="FT19" s="37">
        <f>6698998.8+142953.7+250000</f>
        <v>7091952.5</v>
      </c>
      <c r="FU19" s="37">
        <v>747292.93</v>
      </c>
      <c r="FV19" s="37"/>
      <c r="FW19" s="37">
        <v>52895.37</v>
      </c>
      <c r="FX19" s="37"/>
      <c r="FY19" s="37"/>
      <c r="FZ19" s="195">
        <f>308.04+6916+69081.36</f>
        <v>76305.399999999994</v>
      </c>
      <c r="GA19" s="37"/>
      <c r="GB19" s="37"/>
      <c r="GC19" s="37"/>
      <c r="GD19" s="37">
        <v>284750.18</v>
      </c>
      <c r="GE19" s="37"/>
      <c r="GF19" s="37"/>
      <c r="GG19" s="37"/>
      <c r="GH19" s="37"/>
      <c r="GI19" s="37">
        <f>154610.9+75000000</f>
        <v>75154610.900000006</v>
      </c>
      <c r="GJ19" s="37"/>
      <c r="GK19" s="37">
        <v>99607.37</v>
      </c>
      <c r="GL19" s="37">
        <f>62742.58+164.31</f>
        <v>62906.89</v>
      </c>
      <c r="GM19" s="37"/>
      <c r="GN19" s="37">
        <v>497906.83</v>
      </c>
      <c r="GO19" s="37"/>
      <c r="GP19" s="37"/>
      <c r="GQ19" s="37"/>
      <c r="GR19" s="37"/>
      <c r="GS19" s="37">
        <v>165086.37</v>
      </c>
      <c r="GT19" s="37"/>
      <c r="GU19" s="195">
        <v>75203125</v>
      </c>
      <c r="GV19" s="37">
        <f>1476.52+4.5</f>
        <v>1481.02</v>
      </c>
      <c r="GW19" s="37">
        <v>79837.490000000005</v>
      </c>
      <c r="GX19" s="37"/>
      <c r="GY19" s="37"/>
      <c r="GZ19" s="37"/>
      <c r="HA19" s="37"/>
      <c r="HB19" s="37"/>
      <c r="HC19" s="37"/>
      <c r="HD19" s="37"/>
      <c r="HE19" s="37"/>
      <c r="HF19" s="37"/>
      <c r="HG19" s="37">
        <f>386293.34+189288.33</f>
        <v>575581.67000000004</v>
      </c>
      <c r="HH19" s="37"/>
      <c r="HI19" s="37"/>
      <c r="HJ19" s="37"/>
      <c r="HK19" s="37">
        <v>260899.37</v>
      </c>
      <c r="HL19" s="37"/>
      <c r="HM19" s="37"/>
      <c r="HN19" s="196"/>
      <c r="HO19" s="195"/>
      <c r="HP19" s="37">
        <v>80951.72</v>
      </c>
      <c r="HQ19" s="37"/>
      <c r="HR19" s="37"/>
      <c r="HS19" s="37"/>
      <c r="HT19" s="37">
        <v>93487.67</v>
      </c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>
        <v>1593827.38</v>
      </c>
      <c r="IF19" s="37"/>
      <c r="IG19" s="37"/>
      <c r="IH19" s="103">
        <v>743207.15</v>
      </c>
      <c r="II19" s="37"/>
      <c r="IJ19" s="37"/>
      <c r="IK19" s="37"/>
      <c r="IL19" s="37"/>
      <c r="IM19" s="37">
        <v>66247.460000000006</v>
      </c>
      <c r="IN19" s="37"/>
      <c r="IO19" s="37"/>
      <c r="IP19" s="37"/>
      <c r="IQ19" s="37">
        <v>181403.22</v>
      </c>
      <c r="IR19" s="37"/>
      <c r="IS19" s="37"/>
      <c r="IT19" s="37"/>
      <c r="IU19" s="32"/>
    </row>
    <row r="20" spans="1:255" s="38" customFormat="1" ht="14.1" customHeight="1">
      <c r="A20" s="32" t="s">
        <v>31</v>
      </c>
      <c r="B20" s="32"/>
      <c r="C20" s="32"/>
      <c r="D20" s="32"/>
      <c r="E20" s="32"/>
      <c r="F20" s="32"/>
      <c r="G20" s="32"/>
      <c r="H20" s="32">
        <v>350000000</v>
      </c>
      <c r="I20" s="32"/>
      <c r="J20" s="32">
        <v>800000.4</v>
      </c>
      <c r="K20" s="32">
        <v>1000000</v>
      </c>
      <c r="L20" s="32"/>
      <c r="M20" s="32">
        <v>400000</v>
      </c>
      <c r="N20" s="123">
        <v>58900000</v>
      </c>
      <c r="O20" s="32"/>
      <c r="P20" s="32"/>
      <c r="Q20" s="32">
        <v>6700000</v>
      </c>
      <c r="R20" s="32"/>
      <c r="S20" s="32">
        <v>5600000</v>
      </c>
      <c r="T20" s="32">
        <v>1359081.08</v>
      </c>
      <c r="U20" s="32"/>
      <c r="V20" s="32"/>
      <c r="W20" s="32"/>
      <c r="X20" s="32"/>
      <c r="Y20" s="32"/>
      <c r="Z20" s="32">
        <v>3200000</v>
      </c>
      <c r="AA20" s="32">
        <v>14000000</v>
      </c>
      <c r="AB20" s="32">
        <v>3000000</v>
      </c>
      <c r="AC20" s="32">
        <v>2600000</v>
      </c>
      <c r="AD20" s="32">
        <v>1700000</v>
      </c>
      <c r="AE20" s="32">
        <v>700000</v>
      </c>
      <c r="AF20" s="123">
        <v>58900000</v>
      </c>
      <c r="AG20" s="32">
        <v>9500000</v>
      </c>
      <c r="AH20" s="32">
        <v>300000</v>
      </c>
      <c r="AI20" s="32">
        <v>500000</v>
      </c>
      <c r="AJ20" s="32">
        <v>1900000</v>
      </c>
      <c r="AK20" s="32">
        <v>8000000</v>
      </c>
      <c r="AL20" s="32"/>
      <c r="AM20" s="32"/>
      <c r="AN20" s="32"/>
      <c r="AO20" s="32">
        <v>2700000</v>
      </c>
      <c r="AP20" s="32"/>
      <c r="AQ20" s="32">
        <v>1900000</v>
      </c>
      <c r="AR20" s="32">
        <v>1800000</v>
      </c>
      <c r="AS20" s="32">
        <v>750000</v>
      </c>
      <c r="AT20" s="32">
        <v>1500000</v>
      </c>
      <c r="AU20" s="32"/>
      <c r="AV20" s="123">
        <v>20700000</v>
      </c>
      <c r="AW20" s="32"/>
      <c r="AX20" s="32"/>
      <c r="AY20" s="32">
        <v>1600000</v>
      </c>
      <c r="AZ20" s="32"/>
      <c r="BA20" s="32">
        <v>4100000</v>
      </c>
      <c r="BB20" s="32"/>
      <c r="BC20" s="32">
        <v>8800000</v>
      </c>
      <c r="BD20" s="32">
        <v>16000000</v>
      </c>
      <c r="BE20" s="32">
        <v>2200000</v>
      </c>
      <c r="BF20" s="32">
        <v>4200000</v>
      </c>
      <c r="BG20" s="32"/>
      <c r="BH20" s="32">
        <v>1200000</v>
      </c>
      <c r="BI20" s="32"/>
      <c r="BJ20" s="32">
        <v>1800000</v>
      </c>
      <c r="BK20" s="32"/>
      <c r="BL20" s="32">
        <v>4500000</v>
      </c>
      <c r="BM20" s="32"/>
      <c r="BN20" s="32">
        <v>900000</v>
      </c>
      <c r="BO20" s="32"/>
      <c r="BP20" s="32">
        <v>1400000</v>
      </c>
      <c r="BQ20" s="32">
        <v>1900000</v>
      </c>
      <c r="BR20" s="32">
        <v>14500000</v>
      </c>
      <c r="BS20" s="32">
        <v>500000</v>
      </c>
      <c r="BT20" s="32"/>
      <c r="BU20" s="32"/>
      <c r="BV20" s="32"/>
      <c r="BW20" s="32"/>
      <c r="BX20" s="32">
        <v>400000</v>
      </c>
      <c r="BY20" s="32">
        <v>60900000</v>
      </c>
      <c r="BZ20" s="32">
        <v>16500000</v>
      </c>
      <c r="CA20" s="32">
        <v>6500000</v>
      </c>
      <c r="CB20" s="32">
        <v>1200000</v>
      </c>
      <c r="CC20" s="32">
        <v>2300000</v>
      </c>
      <c r="CD20" s="32">
        <v>500000</v>
      </c>
      <c r="CE20" s="32">
        <v>600000</v>
      </c>
      <c r="CF20" s="32"/>
      <c r="CG20" s="32">
        <v>1400000</v>
      </c>
      <c r="CH20" s="32">
        <v>1150000</v>
      </c>
      <c r="CI20" s="32">
        <v>4000000</v>
      </c>
      <c r="CJ20" s="32">
        <v>1200000</v>
      </c>
      <c r="CK20" s="32">
        <v>3000000</v>
      </c>
      <c r="CL20" s="32"/>
      <c r="CM20" s="32">
        <v>2000000</v>
      </c>
      <c r="CN20" s="32"/>
      <c r="CO20" s="32"/>
      <c r="CP20" s="32">
        <v>1750000</v>
      </c>
      <c r="CQ20" s="32">
        <v>700000</v>
      </c>
      <c r="CR20" s="32"/>
      <c r="CS20" s="32"/>
      <c r="CT20" s="32">
        <v>10600000</v>
      </c>
      <c r="CU20" s="32">
        <v>1600000</v>
      </c>
      <c r="CV20" s="32">
        <v>2600000</v>
      </c>
      <c r="CW20" s="32">
        <v>1700000</v>
      </c>
      <c r="CX20" s="32">
        <v>2300000</v>
      </c>
      <c r="CY20" s="32">
        <v>2300000</v>
      </c>
      <c r="CZ20" s="32"/>
      <c r="DA20" s="32"/>
      <c r="DB20" s="32"/>
      <c r="DC20" s="32"/>
      <c r="DD20" s="32">
        <v>800000</v>
      </c>
      <c r="DE20" s="32">
        <v>8200000</v>
      </c>
      <c r="DF20" s="32">
        <v>1100000</v>
      </c>
      <c r="DG20" s="32">
        <v>6800000</v>
      </c>
      <c r="DH20" s="32">
        <v>1500000</v>
      </c>
      <c r="DI20" s="32"/>
      <c r="DJ20" s="32">
        <v>200000</v>
      </c>
      <c r="DK20" s="32"/>
      <c r="DL20" s="32">
        <v>2000000</v>
      </c>
      <c r="DM20" s="32"/>
      <c r="DN20" s="32">
        <v>62000000</v>
      </c>
      <c r="DO20" s="32"/>
      <c r="DP20" s="32"/>
      <c r="DQ20" s="32">
        <v>1900000</v>
      </c>
      <c r="DR20" s="32"/>
      <c r="DS20" s="32"/>
      <c r="DT20" s="32">
        <v>600000</v>
      </c>
      <c r="DU20" s="32"/>
      <c r="DV20" s="32"/>
      <c r="DW20" s="32"/>
      <c r="DX20" s="32"/>
      <c r="DY20" s="32">
        <v>600000</v>
      </c>
      <c r="DZ20" s="32">
        <v>1400000</v>
      </c>
      <c r="EA20" s="32">
        <v>1400000</v>
      </c>
      <c r="EB20" s="32">
        <v>300000</v>
      </c>
      <c r="EC20" s="32">
        <f>250000+5000000</f>
        <v>5250000</v>
      </c>
      <c r="ED20" s="32">
        <v>15400000</v>
      </c>
      <c r="EE20" s="32">
        <v>800000</v>
      </c>
      <c r="EF20" s="32">
        <v>1100000</v>
      </c>
      <c r="EG20" s="35">
        <v>0</v>
      </c>
      <c r="EH20" s="32"/>
      <c r="EI20" s="32">
        <v>500000</v>
      </c>
      <c r="EJ20" s="32">
        <v>1500000</v>
      </c>
      <c r="EK20" s="123">
        <v>60500000</v>
      </c>
      <c r="EL20" s="32">
        <v>11600000</v>
      </c>
      <c r="EM20" s="32"/>
      <c r="EN20" s="32"/>
      <c r="EO20" s="32">
        <v>1000000</v>
      </c>
      <c r="EP20" s="32">
        <v>3000000</v>
      </c>
      <c r="EQ20" s="32"/>
      <c r="ER20" s="32">
        <v>100000</v>
      </c>
      <c r="ES20" s="32">
        <v>2400000</v>
      </c>
      <c r="ET20" s="32">
        <v>250000</v>
      </c>
      <c r="EU20" s="32"/>
      <c r="EV20" s="32">
        <v>2100000</v>
      </c>
      <c r="EW20" s="32">
        <v>1600000</v>
      </c>
      <c r="EX20" s="32"/>
      <c r="EY20" s="32">
        <v>16300000</v>
      </c>
      <c r="EZ20" s="32">
        <v>450000</v>
      </c>
      <c r="FA20" s="32">
        <v>0</v>
      </c>
      <c r="FB20" s="32"/>
      <c r="FC20" s="32">
        <v>750000</v>
      </c>
      <c r="FD20" s="32"/>
      <c r="FE20" s="123">
        <v>60200000</v>
      </c>
      <c r="FF20" s="32">
        <v>9150000</v>
      </c>
      <c r="FG20" s="32"/>
      <c r="FH20" s="32">
        <v>1800000</v>
      </c>
      <c r="FI20" s="123">
        <v>4500000</v>
      </c>
      <c r="FJ20" s="32"/>
      <c r="FK20" s="32"/>
      <c r="FL20" s="74"/>
      <c r="FM20" s="32"/>
      <c r="FN20" s="32">
        <v>700000</v>
      </c>
      <c r="FO20" s="32">
        <v>2800000</v>
      </c>
      <c r="FP20" s="32">
        <v>2200000</v>
      </c>
      <c r="FQ20" s="32">
        <v>700000</v>
      </c>
      <c r="FR20" s="32">
        <v>1850000</v>
      </c>
      <c r="FS20" s="32">
        <v>4300000</v>
      </c>
      <c r="FT20" s="32">
        <v>4800000</v>
      </c>
      <c r="FU20" s="32">
        <v>2700000</v>
      </c>
      <c r="FV20" s="32">
        <v>700000</v>
      </c>
      <c r="FW20" s="32"/>
      <c r="FX20" s="32">
        <v>1300000</v>
      </c>
      <c r="FY20" s="32">
        <v>2500000</v>
      </c>
      <c r="FZ20" s="123">
        <f>70400000+75000000</f>
        <v>145400000</v>
      </c>
      <c r="GA20" s="32">
        <v>1000000</v>
      </c>
      <c r="GB20" s="32">
        <v>5000000</v>
      </c>
      <c r="GC20" s="32">
        <v>3750000</v>
      </c>
      <c r="GD20" s="32">
        <v>1200000</v>
      </c>
      <c r="GE20" s="32">
        <v>1000000</v>
      </c>
      <c r="GF20" s="32">
        <v>750000</v>
      </c>
      <c r="GG20" s="32">
        <v>800000</v>
      </c>
      <c r="GH20" s="32"/>
      <c r="GI20" s="32"/>
      <c r="GJ20" s="32">
        <v>1700000</v>
      </c>
      <c r="GK20" s="32">
        <v>150000</v>
      </c>
      <c r="GL20" s="32">
        <v>3500000</v>
      </c>
      <c r="GM20" s="32">
        <v>2300000</v>
      </c>
      <c r="GN20" s="32">
        <v>200000</v>
      </c>
      <c r="GO20" s="32"/>
      <c r="GP20" s="32"/>
      <c r="GQ20" s="32">
        <v>7200000</v>
      </c>
      <c r="GR20" s="32"/>
      <c r="GS20" s="32">
        <v>500000</v>
      </c>
      <c r="GT20" s="32"/>
      <c r="GU20" s="123"/>
      <c r="GV20" s="32">
        <v>1300000</v>
      </c>
      <c r="GW20" s="32"/>
      <c r="GX20" s="32"/>
      <c r="GY20" s="32"/>
      <c r="GZ20" s="32">
        <v>100000</v>
      </c>
      <c r="HA20" s="32">
        <v>7700000</v>
      </c>
      <c r="HB20" s="32"/>
      <c r="HC20" s="32">
        <v>2800000</v>
      </c>
      <c r="HD20" s="32">
        <v>750000</v>
      </c>
      <c r="HE20" s="32"/>
      <c r="HF20" s="32"/>
      <c r="HG20" s="32"/>
      <c r="HH20" s="32"/>
      <c r="HI20" s="32">
        <v>13200000</v>
      </c>
      <c r="HJ20" s="32">
        <v>3500000</v>
      </c>
      <c r="HK20" s="32"/>
      <c r="HL20" s="32"/>
      <c r="HM20" s="32"/>
      <c r="HN20" s="141"/>
      <c r="HO20" s="123">
        <v>73300000</v>
      </c>
      <c r="HP20" s="32"/>
      <c r="HQ20" s="32"/>
      <c r="HR20" s="32"/>
      <c r="HS20" s="32"/>
      <c r="HT20" s="32"/>
      <c r="HU20" s="32"/>
      <c r="HV20" s="32"/>
      <c r="HW20" s="32">
        <v>281.35000000000002</v>
      </c>
      <c r="HX20" s="32">
        <v>1700000</v>
      </c>
      <c r="HY20" s="32"/>
      <c r="HZ20" s="32"/>
      <c r="IA20" s="32"/>
      <c r="IB20" s="32">
        <v>800000</v>
      </c>
      <c r="IC20" s="32"/>
      <c r="ID20" s="32"/>
      <c r="IE20" s="32"/>
      <c r="IF20" s="32"/>
      <c r="IG20" s="32">
        <v>88800000</v>
      </c>
      <c r="IH20" s="102"/>
      <c r="II20" s="32"/>
      <c r="IJ20" s="32">
        <v>49800000</v>
      </c>
      <c r="IK20" s="32">
        <v>24805.82</v>
      </c>
      <c r="IL20" s="32">
        <v>46000000</v>
      </c>
      <c r="IM20" s="32"/>
      <c r="IN20" s="32">
        <v>24735.91</v>
      </c>
      <c r="IO20" s="32"/>
      <c r="IP20" s="32"/>
      <c r="IQ20" s="32"/>
      <c r="IR20" s="32"/>
      <c r="IS20" s="32">
        <v>1000000</v>
      </c>
      <c r="IT20" s="32"/>
      <c r="IU20" s="32"/>
    </row>
    <row r="21" spans="1:255" s="38" customFormat="1" ht="14.1" customHeight="1">
      <c r="A21" s="32" t="s">
        <v>57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2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123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123"/>
      <c r="AW21" s="32"/>
      <c r="AX21" s="32"/>
      <c r="AY21" s="32"/>
      <c r="AZ21" s="32"/>
      <c r="BA21" s="32"/>
      <c r="BB21" s="32"/>
      <c r="BC21" s="32">
        <v>50000000</v>
      </c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>
        <v>25000000</v>
      </c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>
        <v>10000000</v>
      </c>
      <c r="CP21" s="32"/>
      <c r="CQ21" s="32"/>
      <c r="CR21" s="32"/>
      <c r="CS21" s="32">
        <v>5000000</v>
      </c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>
        <v>10000000</v>
      </c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123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123"/>
      <c r="FF21" s="32"/>
      <c r="FG21" s="32"/>
      <c r="FH21" s="32"/>
      <c r="FI21" s="123"/>
      <c r="FJ21" s="32"/>
      <c r="FK21" s="32"/>
      <c r="FL21" s="74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123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123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141"/>
      <c r="HO21" s="123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10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</row>
    <row r="22" spans="1:255" s="38" customFormat="1" ht="14.1" customHeight="1">
      <c r="A22" s="32" t="s">
        <v>35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12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123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123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>
        <v>25000000</v>
      </c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>
        <v>10000000</v>
      </c>
      <c r="CP22" s="32"/>
      <c r="CQ22" s="32"/>
      <c r="CR22" s="32"/>
      <c r="CS22" s="32">
        <v>5000000</v>
      </c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>
        <v>10000000</v>
      </c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123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123"/>
      <c r="FF22" s="32">
        <v>472440</v>
      </c>
      <c r="FG22" s="32"/>
      <c r="FH22" s="32"/>
      <c r="FI22" s="123"/>
      <c r="FJ22" s="32"/>
      <c r="FK22" s="32"/>
      <c r="FL22" s="74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123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123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141"/>
      <c r="HO22" s="123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10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</row>
    <row r="23" spans="1:255" s="38" customFormat="1" ht="14.1" customHeight="1">
      <c r="A23" s="32" t="s">
        <v>32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2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123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123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>
        <v>10000000</v>
      </c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>
        <v>10000000</v>
      </c>
      <c r="CP23" s="32"/>
      <c r="CQ23" s="32"/>
      <c r="CR23" s="32"/>
      <c r="CS23" s="32">
        <v>40000000</v>
      </c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>
        <v>10000000</v>
      </c>
      <c r="DN23" s="32"/>
      <c r="DO23" s="32">
        <v>10000000</v>
      </c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123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123"/>
      <c r="FF23" s="32"/>
      <c r="FG23" s="32"/>
      <c r="FH23" s="32"/>
      <c r="FI23" s="123"/>
      <c r="FJ23" s="32"/>
      <c r="FK23" s="32"/>
      <c r="FL23" s="74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123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123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141"/>
      <c r="HO23" s="123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10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</row>
    <row r="24" spans="1:255" s="38" customFormat="1" ht="14.1" customHeight="1">
      <c r="A24" s="32" t="s">
        <v>33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2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123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123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>
        <v>25000000</v>
      </c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>
        <v>10000000</v>
      </c>
      <c r="CO24" s="32"/>
      <c r="CP24" s="32"/>
      <c r="CQ24" s="32"/>
      <c r="CR24" s="32"/>
      <c r="CS24" s="32">
        <v>20000000</v>
      </c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>
        <v>10000000</v>
      </c>
      <c r="DN24" s="32"/>
      <c r="DO24" s="32">
        <v>10000000</v>
      </c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123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123"/>
      <c r="FF24" s="32"/>
      <c r="FG24" s="32"/>
      <c r="FH24" s="32"/>
      <c r="FI24" s="123"/>
      <c r="FJ24" s="32"/>
      <c r="FK24" s="32"/>
      <c r="FL24" s="74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123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123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141"/>
      <c r="HO24" s="123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10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</row>
    <row r="25" spans="1:255" s="38" customFormat="1" ht="14.1" customHeight="1">
      <c r="A25" s="33" t="s">
        <v>34</v>
      </c>
      <c r="B25" s="53"/>
      <c r="C25" s="33"/>
      <c r="D25" s="33"/>
      <c r="E25" s="33"/>
      <c r="F25" s="33"/>
      <c r="G25" s="33"/>
      <c r="H25" s="33">
        <v>50000000</v>
      </c>
      <c r="I25" s="33"/>
      <c r="J25" s="33"/>
      <c r="K25" s="33"/>
      <c r="L25" s="33"/>
      <c r="M25" s="33"/>
      <c r="N25" s="197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197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197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>
        <v>15000000</v>
      </c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>
        <v>10000000</v>
      </c>
      <c r="CO25" s="33"/>
      <c r="CP25" s="33"/>
      <c r="CQ25" s="33"/>
      <c r="CR25" s="33"/>
      <c r="CS25" s="33">
        <v>5000000</v>
      </c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>
        <v>10000000</v>
      </c>
      <c r="DN25" s="33"/>
      <c r="DO25" s="33">
        <v>10000000</v>
      </c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197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197"/>
      <c r="FF25" s="33"/>
      <c r="FG25" s="33"/>
      <c r="FH25" s="33"/>
      <c r="FI25" s="197"/>
      <c r="FJ25" s="33"/>
      <c r="FK25" s="33"/>
      <c r="FL25" s="76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197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197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198"/>
      <c r="HO25" s="197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104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2"/>
    </row>
    <row r="26" spans="1:255" s="42" customFormat="1" ht="13.5" customHeight="1" thickBot="1">
      <c r="A26" s="43" t="s">
        <v>8</v>
      </c>
      <c r="B26" s="43"/>
      <c r="C26" s="43">
        <f t="shared" ref="C26:BN26" si="5">SUM(C8:C25)</f>
        <v>17928418.240000002</v>
      </c>
      <c r="D26" s="43">
        <f t="shared" si="5"/>
        <v>56193953.500000007</v>
      </c>
      <c r="E26" s="43">
        <f t="shared" si="5"/>
        <v>8038554.4900000002</v>
      </c>
      <c r="F26" s="43">
        <f t="shared" si="5"/>
        <v>37830360.369999997</v>
      </c>
      <c r="G26" s="43">
        <f t="shared" si="5"/>
        <v>56496906.990000002</v>
      </c>
      <c r="H26" s="43">
        <f t="shared" si="5"/>
        <v>426972862.12</v>
      </c>
      <c r="I26" s="43">
        <f t="shared" si="5"/>
        <v>22665055.18</v>
      </c>
      <c r="J26" s="43">
        <f t="shared" si="5"/>
        <v>1818177.09</v>
      </c>
      <c r="K26" s="43">
        <f t="shared" si="5"/>
        <v>3912755.74</v>
      </c>
      <c r="L26" s="43">
        <f t="shared" si="5"/>
        <v>52764541.670000002</v>
      </c>
      <c r="M26" s="43">
        <f t="shared" si="5"/>
        <v>1385297.46</v>
      </c>
      <c r="N26" s="65">
        <f t="shared" si="5"/>
        <v>67927747.819999993</v>
      </c>
      <c r="O26" s="43">
        <f t="shared" si="5"/>
        <v>5930384.3700000001</v>
      </c>
      <c r="P26" s="43">
        <f t="shared" si="5"/>
        <v>6408213.0600000005</v>
      </c>
      <c r="Q26" s="43">
        <f t="shared" si="5"/>
        <v>7684665.3799999999</v>
      </c>
      <c r="R26" s="43">
        <f t="shared" si="5"/>
        <v>6497303.5200000005</v>
      </c>
      <c r="S26" s="43">
        <f t="shared" si="5"/>
        <v>6851300.3399999999</v>
      </c>
      <c r="T26" s="43">
        <f t="shared" si="5"/>
        <v>1924992.37</v>
      </c>
      <c r="U26" s="43">
        <f t="shared" si="5"/>
        <v>6253578.6799999997</v>
      </c>
      <c r="V26" s="43">
        <f t="shared" si="5"/>
        <v>4365596.49</v>
      </c>
      <c r="W26" s="43">
        <f t="shared" si="5"/>
        <v>3282280.21</v>
      </c>
      <c r="X26" s="43">
        <f t="shared" si="5"/>
        <v>3512702.8</v>
      </c>
      <c r="Y26" s="43">
        <f t="shared" si="5"/>
        <v>10563061.949999999</v>
      </c>
      <c r="Z26" s="43">
        <f t="shared" si="5"/>
        <v>4559525.79</v>
      </c>
      <c r="AA26" s="43">
        <f t="shared" si="5"/>
        <v>14974087.84</v>
      </c>
      <c r="AB26" s="43">
        <f t="shared" si="5"/>
        <v>3949424.83</v>
      </c>
      <c r="AC26" s="43">
        <f t="shared" si="5"/>
        <v>5295580</v>
      </c>
      <c r="AD26" s="43">
        <f t="shared" si="5"/>
        <v>1979828.06</v>
      </c>
      <c r="AE26" s="43">
        <f t="shared" si="5"/>
        <v>1252853.24</v>
      </c>
      <c r="AF26" s="65">
        <f t="shared" si="5"/>
        <v>59340440.43</v>
      </c>
      <c r="AG26" s="43">
        <f t="shared" si="5"/>
        <v>11144014.039999999</v>
      </c>
      <c r="AH26" s="43">
        <f t="shared" si="5"/>
        <v>812987.28</v>
      </c>
      <c r="AI26" s="43">
        <f t="shared" si="5"/>
        <v>1169595.04</v>
      </c>
      <c r="AJ26" s="43">
        <f t="shared" si="5"/>
        <v>2372466.42</v>
      </c>
      <c r="AK26" s="43">
        <f t="shared" si="5"/>
        <v>8509066.0899999999</v>
      </c>
      <c r="AL26" s="43">
        <f t="shared" si="5"/>
        <v>8949801.8099999987</v>
      </c>
      <c r="AM26" s="43">
        <f t="shared" si="5"/>
        <v>7435444.4399999995</v>
      </c>
      <c r="AN26" s="43">
        <f t="shared" si="5"/>
        <v>7095171.1600000001</v>
      </c>
      <c r="AO26" s="43">
        <f t="shared" si="5"/>
        <v>3871557.3899999997</v>
      </c>
      <c r="AP26" s="43">
        <f t="shared" si="5"/>
        <v>3611656.8</v>
      </c>
      <c r="AQ26" s="43">
        <f t="shared" si="5"/>
        <v>2424611.77</v>
      </c>
      <c r="AR26" s="43">
        <f t="shared" si="5"/>
        <v>2373850.41</v>
      </c>
      <c r="AS26" s="43">
        <f t="shared" si="5"/>
        <v>1861371.8199999998</v>
      </c>
      <c r="AT26" s="43">
        <f t="shared" si="5"/>
        <v>14671262.810000001</v>
      </c>
      <c r="AU26" s="43">
        <f t="shared" si="5"/>
        <v>4505549.5600000005</v>
      </c>
      <c r="AV26" s="65">
        <f t="shared" si="5"/>
        <v>21597196.68</v>
      </c>
      <c r="AW26" s="43">
        <f t="shared" si="5"/>
        <v>4816197.95</v>
      </c>
      <c r="AX26" s="43">
        <f t="shared" si="5"/>
        <v>798728.05</v>
      </c>
      <c r="AY26" s="43">
        <f t="shared" si="5"/>
        <v>2233271.33</v>
      </c>
      <c r="AZ26" s="43">
        <f t="shared" si="5"/>
        <v>1300420.01</v>
      </c>
      <c r="BA26" s="43">
        <f t="shared" si="5"/>
        <v>4774454.7300000004</v>
      </c>
      <c r="BB26" s="43">
        <f t="shared" si="5"/>
        <v>5491262.9699999997</v>
      </c>
      <c r="BC26" s="43">
        <f t="shared" si="5"/>
        <v>59358892.939999998</v>
      </c>
      <c r="BD26" s="43">
        <f t="shared" si="5"/>
        <v>16768261.08</v>
      </c>
      <c r="BE26" s="43">
        <f t="shared" si="5"/>
        <v>2753046.08</v>
      </c>
      <c r="BF26" s="43">
        <f t="shared" si="5"/>
        <v>4530047.8899999997</v>
      </c>
      <c r="BG26" s="43">
        <f t="shared" si="5"/>
        <v>4037823.3800000004</v>
      </c>
      <c r="BH26" s="43">
        <f t="shared" si="5"/>
        <v>1662662.57</v>
      </c>
      <c r="BI26" s="43">
        <f t="shared" si="5"/>
        <v>6475358.4099999992</v>
      </c>
      <c r="BJ26" s="43">
        <f t="shared" si="5"/>
        <v>3863601.92</v>
      </c>
      <c r="BK26" s="43">
        <f t="shared" si="5"/>
        <v>5074349.8999999994</v>
      </c>
      <c r="BL26" s="43">
        <f t="shared" si="5"/>
        <v>5505139</v>
      </c>
      <c r="BM26" s="43">
        <f t="shared" si="5"/>
        <v>2463828.02</v>
      </c>
      <c r="BN26" s="43">
        <f t="shared" si="5"/>
        <v>28649462.449999999</v>
      </c>
      <c r="BO26" s="43">
        <f t="shared" ref="BO26:DZ26" si="6">SUM(BO8:BO25)</f>
        <v>847599.16</v>
      </c>
      <c r="BP26" s="43">
        <f t="shared" si="6"/>
        <v>4198199.88</v>
      </c>
      <c r="BQ26" s="43">
        <f t="shared" si="6"/>
        <v>3508045.04</v>
      </c>
      <c r="BR26" s="43">
        <f t="shared" si="6"/>
        <v>14950572.58</v>
      </c>
      <c r="BS26" s="43">
        <f t="shared" si="6"/>
        <v>1371725.13</v>
      </c>
      <c r="BT26" s="43">
        <f t="shared" si="6"/>
        <v>1415867.89</v>
      </c>
      <c r="BU26" s="43">
        <f t="shared" si="6"/>
        <v>979946.42999999993</v>
      </c>
      <c r="BV26" s="43">
        <f t="shared" si="6"/>
        <v>65832152.359999999</v>
      </c>
      <c r="BW26" s="43">
        <f t="shared" si="6"/>
        <v>35537398.010000005</v>
      </c>
      <c r="BX26" s="43">
        <f t="shared" si="6"/>
        <v>1016917.2200000001</v>
      </c>
      <c r="BY26" s="43">
        <f t="shared" si="6"/>
        <v>61347729.030000001</v>
      </c>
      <c r="BZ26" s="43">
        <f t="shared" si="6"/>
        <v>17043379.609999999</v>
      </c>
      <c r="CA26" s="43">
        <f t="shared" si="6"/>
        <v>7786557.7999999998</v>
      </c>
      <c r="CB26" s="43">
        <f t="shared" si="6"/>
        <v>1917089.5</v>
      </c>
      <c r="CC26" s="43">
        <f t="shared" si="6"/>
        <v>2769251.8200000003</v>
      </c>
      <c r="CD26" s="43">
        <f t="shared" si="6"/>
        <v>963698.86</v>
      </c>
      <c r="CE26" s="43">
        <f t="shared" si="6"/>
        <v>1061776.72</v>
      </c>
      <c r="CF26" s="43">
        <f t="shared" si="6"/>
        <v>15228223.950000001</v>
      </c>
      <c r="CG26" s="43">
        <f t="shared" si="6"/>
        <v>1763532.02</v>
      </c>
      <c r="CH26" s="43">
        <f t="shared" si="6"/>
        <v>1407134.29</v>
      </c>
      <c r="CI26" s="43">
        <f t="shared" si="6"/>
        <v>4956172.62</v>
      </c>
      <c r="CJ26" s="43">
        <f t="shared" si="6"/>
        <v>3339694.95</v>
      </c>
      <c r="CK26" s="43">
        <f t="shared" si="6"/>
        <v>3698619.01</v>
      </c>
      <c r="CL26" s="43">
        <f t="shared" si="6"/>
        <v>11042366.16</v>
      </c>
      <c r="CM26" s="43">
        <f t="shared" si="6"/>
        <v>5528538.9000000004</v>
      </c>
      <c r="CN26" s="43">
        <f t="shared" si="6"/>
        <v>25130664.84</v>
      </c>
      <c r="CO26" s="43">
        <f t="shared" si="6"/>
        <v>30890234.390000001</v>
      </c>
      <c r="CP26" s="43">
        <f t="shared" si="6"/>
        <v>2376639.86</v>
      </c>
      <c r="CQ26" s="43">
        <f t="shared" si="6"/>
        <v>1371965.5</v>
      </c>
      <c r="CR26" s="43">
        <f t="shared" si="6"/>
        <v>1631134.42</v>
      </c>
      <c r="CS26" s="43">
        <f t="shared" si="6"/>
        <v>75200394.060000002</v>
      </c>
      <c r="CT26" s="43">
        <f t="shared" si="6"/>
        <v>11296552.189999999</v>
      </c>
      <c r="CU26" s="43">
        <f t="shared" si="6"/>
        <v>1840024.02</v>
      </c>
      <c r="CV26" s="43">
        <f t="shared" si="6"/>
        <v>2838460.14</v>
      </c>
      <c r="CW26" s="43">
        <f t="shared" si="6"/>
        <v>2839492.29</v>
      </c>
      <c r="CX26" s="43">
        <f t="shared" si="6"/>
        <v>2573680.66</v>
      </c>
      <c r="CY26" s="43">
        <f t="shared" si="6"/>
        <v>5199451.18</v>
      </c>
      <c r="CZ26" s="43">
        <f t="shared" si="6"/>
        <v>3122726.6500000004</v>
      </c>
      <c r="DA26" s="43">
        <f t="shared" si="6"/>
        <v>5220842.1499999994</v>
      </c>
      <c r="DB26" s="43">
        <f t="shared" si="6"/>
        <v>6142613.8000000007</v>
      </c>
      <c r="DC26" s="43">
        <f t="shared" si="6"/>
        <v>8673250.1999999993</v>
      </c>
      <c r="DD26" s="43">
        <f t="shared" si="6"/>
        <v>4370206.0999999996</v>
      </c>
      <c r="DE26" s="43">
        <f t="shared" si="6"/>
        <v>9405271.6500000004</v>
      </c>
      <c r="DF26" s="43">
        <f t="shared" si="6"/>
        <v>2040012</v>
      </c>
      <c r="DG26" s="43">
        <f t="shared" si="6"/>
        <v>8022693.4199999999</v>
      </c>
      <c r="DH26" s="43">
        <f t="shared" si="6"/>
        <v>2430226.44</v>
      </c>
      <c r="DI26" s="43">
        <f t="shared" si="6"/>
        <v>2014301.79</v>
      </c>
      <c r="DJ26" s="43">
        <f t="shared" si="6"/>
        <v>376383.57</v>
      </c>
      <c r="DK26" s="43">
        <f t="shared" si="6"/>
        <v>1107942.79</v>
      </c>
      <c r="DL26" s="43">
        <f t="shared" si="6"/>
        <v>2123774.66</v>
      </c>
      <c r="DM26" s="43">
        <f t="shared" si="6"/>
        <v>50167296.210000001</v>
      </c>
      <c r="DN26" s="43">
        <f t="shared" si="6"/>
        <v>62238522.229999997</v>
      </c>
      <c r="DO26" s="43">
        <f t="shared" si="6"/>
        <v>31848000.460000001</v>
      </c>
      <c r="DP26" s="43">
        <f t="shared" si="6"/>
        <v>504247.25</v>
      </c>
      <c r="DQ26" s="43">
        <f t="shared" si="6"/>
        <v>2104552.59</v>
      </c>
      <c r="DR26" s="43">
        <f t="shared" si="6"/>
        <v>1168224.18</v>
      </c>
      <c r="DS26" s="43">
        <f t="shared" si="6"/>
        <v>1112310.25</v>
      </c>
      <c r="DT26" s="43">
        <f t="shared" si="6"/>
        <v>874831.35</v>
      </c>
      <c r="DU26" s="43">
        <f t="shared" si="6"/>
        <v>3211165.6599999997</v>
      </c>
      <c r="DV26" s="43">
        <f t="shared" si="6"/>
        <v>5715418.5499999998</v>
      </c>
      <c r="DW26" s="43">
        <f t="shared" si="6"/>
        <v>5684698.79</v>
      </c>
      <c r="DX26" s="43">
        <f t="shared" si="6"/>
        <v>7840734.1399999997</v>
      </c>
      <c r="DY26" s="43">
        <f t="shared" si="6"/>
        <v>807136.48</v>
      </c>
      <c r="DZ26" s="43">
        <f t="shared" si="6"/>
        <v>5184813.71</v>
      </c>
      <c r="EA26" s="43">
        <f t="shared" ref="EA26:GL26" si="7">SUM(EA8:EA25)</f>
        <v>2419389.02</v>
      </c>
      <c r="EB26" s="43">
        <f t="shared" si="7"/>
        <v>3449492.94</v>
      </c>
      <c r="EC26" s="43">
        <f t="shared" si="7"/>
        <v>8479740.5600000005</v>
      </c>
      <c r="ED26" s="43">
        <f t="shared" si="7"/>
        <v>15981061.93</v>
      </c>
      <c r="EE26" s="43">
        <f t="shared" si="7"/>
        <v>1062666.95</v>
      </c>
      <c r="EF26" s="43">
        <f t="shared" si="7"/>
        <v>4634515.2300000004</v>
      </c>
      <c r="EG26" s="43">
        <f t="shared" si="7"/>
        <v>2142052.1799999997</v>
      </c>
      <c r="EH26" s="43">
        <f t="shared" si="7"/>
        <v>10421234.359999999</v>
      </c>
      <c r="EI26" s="43">
        <f t="shared" si="7"/>
        <v>845330.14999999991</v>
      </c>
      <c r="EJ26" s="43">
        <f t="shared" si="7"/>
        <v>1853660.82</v>
      </c>
      <c r="EK26" s="65">
        <f t="shared" si="7"/>
        <v>60653416.049999997</v>
      </c>
      <c r="EL26" s="43">
        <f t="shared" si="7"/>
        <v>15525739.859999999</v>
      </c>
      <c r="EM26" s="43">
        <f t="shared" si="7"/>
        <v>3933596.25</v>
      </c>
      <c r="EN26" s="43">
        <f t="shared" si="7"/>
        <v>5228430.04</v>
      </c>
      <c r="EO26" s="43">
        <f t="shared" si="7"/>
        <v>1366049.14</v>
      </c>
      <c r="EP26" s="43">
        <f t="shared" si="7"/>
        <v>3250987.23</v>
      </c>
      <c r="EQ26" s="43">
        <f t="shared" si="7"/>
        <v>7279868.3999999994</v>
      </c>
      <c r="ER26" s="43">
        <f t="shared" si="7"/>
        <v>431707.66</v>
      </c>
      <c r="ES26" s="43">
        <f t="shared" si="7"/>
        <v>2778934.02</v>
      </c>
      <c r="ET26" s="43">
        <f t="shared" si="7"/>
        <v>651381.86300000001</v>
      </c>
      <c r="EU26" s="43">
        <f t="shared" si="7"/>
        <v>1864976.79</v>
      </c>
      <c r="EV26" s="43">
        <f t="shared" si="7"/>
        <v>2631520.58</v>
      </c>
      <c r="EW26" s="43">
        <f t="shared" si="7"/>
        <v>1967133.48</v>
      </c>
      <c r="EX26" s="43">
        <f t="shared" si="7"/>
        <v>1849407</v>
      </c>
      <c r="EY26" s="43">
        <f t="shared" si="7"/>
        <v>16681707.85</v>
      </c>
      <c r="EZ26" s="43">
        <f t="shared" si="7"/>
        <v>812088.22</v>
      </c>
      <c r="FA26" s="43">
        <f t="shared" si="7"/>
        <v>70040712.5</v>
      </c>
      <c r="FB26" s="43">
        <f t="shared" si="7"/>
        <v>1629355.8</v>
      </c>
      <c r="FC26" s="43">
        <f t="shared" si="7"/>
        <v>1085024.9100000001</v>
      </c>
      <c r="FD26" s="43">
        <f t="shared" si="7"/>
        <v>633207.37</v>
      </c>
      <c r="FE26" s="65">
        <f t="shared" si="7"/>
        <v>60583335.829999998</v>
      </c>
      <c r="FF26" s="43">
        <f t="shared" si="7"/>
        <v>11141505.390000001</v>
      </c>
      <c r="FG26" s="43">
        <f t="shared" si="7"/>
        <v>9307111.1400000006</v>
      </c>
      <c r="FH26" s="43">
        <f t="shared" si="7"/>
        <v>2091613.8399999999</v>
      </c>
      <c r="FI26" s="65">
        <f t="shared" si="7"/>
        <v>4770952.74</v>
      </c>
      <c r="FJ26" s="43">
        <f t="shared" si="7"/>
        <v>7161887.3300000001</v>
      </c>
      <c r="FK26" s="43">
        <f t="shared" si="7"/>
        <v>9647596.0700000022</v>
      </c>
      <c r="FL26" s="276">
        <f t="shared" si="7"/>
        <v>17675152.770000003</v>
      </c>
      <c r="FM26" s="43">
        <f t="shared" si="7"/>
        <v>121081266.55999999</v>
      </c>
      <c r="FN26" s="43">
        <f t="shared" si="7"/>
        <v>937840.26</v>
      </c>
      <c r="FO26" s="43">
        <f t="shared" si="7"/>
        <v>3054229.04</v>
      </c>
      <c r="FP26" s="43">
        <f t="shared" si="7"/>
        <v>3724495.34</v>
      </c>
      <c r="FQ26" s="43">
        <f t="shared" si="7"/>
        <v>1344868.8900000001</v>
      </c>
      <c r="FR26" s="43">
        <f t="shared" si="7"/>
        <v>1896277.1</v>
      </c>
      <c r="FS26" s="43">
        <f t="shared" si="7"/>
        <v>5569113.5899999999</v>
      </c>
      <c r="FT26" s="43">
        <f t="shared" si="7"/>
        <v>16489235.460000001</v>
      </c>
      <c r="FU26" s="43">
        <f t="shared" si="7"/>
        <v>4098382.96</v>
      </c>
      <c r="FV26" s="43">
        <f t="shared" si="7"/>
        <v>978405.47</v>
      </c>
      <c r="FW26" s="43">
        <f t="shared" si="7"/>
        <v>551475.88</v>
      </c>
      <c r="FX26" s="43">
        <f t="shared" si="7"/>
        <v>1556798.9</v>
      </c>
      <c r="FY26" s="43">
        <f t="shared" si="7"/>
        <v>3038821.07</v>
      </c>
      <c r="FZ26" s="65">
        <f t="shared" si="7"/>
        <v>148125852.72999999</v>
      </c>
      <c r="GA26" s="43">
        <f t="shared" si="7"/>
        <v>1998146.26</v>
      </c>
      <c r="GB26" s="43">
        <f t="shared" si="7"/>
        <v>5432557.3200000003</v>
      </c>
      <c r="GC26" s="43">
        <f t="shared" si="7"/>
        <v>7123522.2200000007</v>
      </c>
      <c r="GD26" s="43">
        <f t="shared" si="7"/>
        <v>2122524.67</v>
      </c>
      <c r="GE26" s="43">
        <f t="shared" si="7"/>
        <v>2063195.65</v>
      </c>
      <c r="GF26" s="43">
        <f t="shared" si="7"/>
        <v>1358360.6099999999</v>
      </c>
      <c r="GG26" s="43">
        <f t="shared" si="7"/>
        <v>1350990.83</v>
      </c>
      <c r="GH26" s="43">
        <f t="shared" si="7"/>
        <v>89489673.810000002</v>
      </c>
      <c r="GI26" s="43">
        <f t="shared" si="7"/>
        <v>85799551.760000005</v>
      </c>
      <c r="GJ26" s="43">
        <f t="shared" si="7"/>
        <v>1965712.46</v>
      </c>
      <c r="GK26" s="43">
        <f t="shared" si="7"/>
        <v>1823533.2799999998</v>
      </c>
      <c r="GL26" s="43">
        <f t="shared" si="7"/>
        <v>5062567.68</v>
      </c>
      <c r="GM26" s="43">
        <f t="shared" ref="GM26:IU26" si="8">SUM(GM8:GM25)</f>
        <v>2875192.06</v>
      </c>
      <c r="GN26" s="43">
        <f t="shared" si="8"/>
        <v>1217369.49</v>
      </c>
      <c r="GO26" s="43">
        <f t="shared" si="8"/>
        <v>2019067.45</v>
      </c>
      <c r="GP26" s="43">
        <f t="shared" si="8"/>
        <v>1611791.6800000002</v>
      </c>
      <c r="GQ26" s="43">
        <f t="shared" si="8"/>
        <v>14840975.199999999</v>
      </c>
      <c r="GR26" s="43">
        <f t="shared" si="8"/>
        <v>4345961.7899999991</v>
      </c>
      <c r="GS26" s="43">
        <f t="shared" si="8"/>
        <v>2016113.5</v>
      </c>
      <c r="GT26" s="43">
        <f t="shared" si="8"/>
        <v>2795653.31</v>
      </c>
      <c r="GU26" s="65">
        <f t="shared" si="8"/>
        <v>76903756.049999997</v>
      </c>
      <c r="GV26" s="43">
        <f t="shared" si="8"/>
        <v>3802719.0299999993</v>
      </c>
      <c r="GW26" s="43">
        <f t="shared" si="8"/>
        <v>2243055.37</v>
      </c>
      <c r="GX26" s="43">
        <f t="shared" si="8"/>
        <v>6052372.0399999991</v>
      </c>
      <c r="GY26" s="43">
        <f t="shared" si="8"/>
        <v>2497954.1300000004</v>
      </c>
      <c r="GZ26" s="43">
        <f t="shared" si="8"/>
        <v>1447123.1499999997</v>
      </c>
      <c r="HA26" s="43">
        <f t="shared" si="8"/>
        <v>8912978.3200000003</v>
      </c>
      <c r="HB26" s="43">
        <f t="shared" si="8"/>
        <v>3090512.9400000004</v>
      </c>
      <c r="HC26" s="43">
        <f t="shared" si="8"/>
        <v>4198925.83</v>
      </c>
      <c r="HD26" s="43">
        <f t="shared" si="8"/>
        <v>1179944.6400000001</v>
      </c>
      <c r="HE26" s="43">
        <f t="shared" si="8"/>
        <v>8083235.9299999997</v>
      </c>
      <c r="HF26" s="43">
        <f t="shared" si="8"/>
        <v>5080416.8600000003</v>
      </c>
      <c r="HG26" s="43">
        <f t="shared" si="8"/>
        <v>6307076.5699999994</v>
      </c>
      <c r="HH26" s="43">
        <f t="shared" si="8"/>
        <v>3086262.5</v>
      </c>
      <c r="HI26" s="43">
        <f t="shared" si="8"/>
        <v>15702589.939999999</v>
      </c>
      <c r="HJ26" s="43">
        <f t="shared" si="8"/>
        <v>4918296.18</v>
      </c>
      <c r="HK26" s="43">
        <f t="shared" si="8"/>
        <v>6407746.5</v>
      </c>
      <c r="HL26" s="43">
        <f t="shared" si="8"/>
        <v>2127733.62</v>
      </c>
      <c r="HM26" s="43">
        <f t="shared" si="8"/>
        <v>8138435.5</v>
      </c>
      <c r="HN26" s="144">
        <f t="shared" si="8"/>
        <v>4332501.8500000006</v>
      </c>
      <c r="HO26" s="65">
        <f t="shared" si="8"/>
        <v>76440498.760000005</v>
      </c>
      <c r="HP26" s="43">
        <f t="shared" si="8"/>
        <v>4817567.76</v>
      </c>
      <c r="HQ26" s="43">
        <f t="shared" si="8"/>
        <v>1602712.31</v>
      </c>
      <c r="HR26" s="43">
        <f t="shared" si="8"/>
        <v>2527400.7999999998</v>
      </c>
      <c r="HS26" s="43">
        <f t="shared" si="8"/>
        <v>2754739.62</v>
      </c>
      <c r="HT26" s="43">
        <f t="shared" si="8"/>
        <v>20503381.370000001</v>
      </c>
      <c r="HU26" s="43">
        <f t="shared" si="8"/>
        <v>10292909.830000002</v>
      </c>
      <c r="HV26" s="43">
        <f t="shared" si="8"/>
        <v>18741191.960000001</v>
      </c>
      <c r="HW26" s="43">
        <f t="shared" si="8"/>
        <v>8947341.2999999989</v>
      </c>
      <c r="HX26" s="43">
        <f t="shared" si="8"/>
        <v>1810812.96</v>
      </c>
      <c r="HY26" s="43">
        <f t="shared" si="8"/>
        <v>16162649.189999999</v>
      </c>
      <c r="HZ26" s="43">
        <f t="shared" si="8"/>
        <v>7715544.1799999997</v>
      </c>
      <c r="IA26" s="43">
        <f t="shared" si="8"/>
        <v>19269933.260000002</v>
      </c>
      <c r="IB26" s="43">
        <f t="shared" si="8"/>
        <v>1109298.49</v>
      </c>
      <c r="IC26" s="43">
        <f t="shared" si="8"/>
        <v>32026890.510000002</v>
      </c>
      <c r="ID26" s="43">
        <f t="shared" si="8"/>
        <v>842785.35000000009</v>
      </c>
      <c r="IE26" s="43">
        <f t="shared" si="8"/>
        <v>12845507.719999999</v>
      </c>
      <c r="IF26" s="43">
        <f t="shared" si="8"/>
        <v>17376465.890000004</v>
      </c>
      <c r="IG26" s="43">
        <f t="shared" si="8"/>
        <v>102513267.36</v>
      </c>
      <c r="IH26" s="105">
        <f t="shared" si="8"/>
        <v>53290921.859999992</v>
      </c>
      <c r="II26" s="43">
        <f t="shared" si="8"/>
        <v>21931432.110000003</v>
      </c>
      <c r="IJ26" s="43">
        <f t="shared" si="8"/>
        <v>70536471.859999999</v>
      </c>
      <c r="IK26" s="43">
        <f t="shared" si="8"/>
        <v>9898232.9700000007</v>
      </c>
      <c r="IL26" s="43">
        <f t="shared" si="8"/>
        <v>51749763.869999997</v>
      </c>
      <c r="IM26" s="43">
        <f t="shared" si="8"/>
        <v>7529726.1799999997</v>
      </c>
      <c r="IN26" s="43">
        <f t="shared" si="8"/>
        <v>7898483.2800000003</v>
      </c>
      <c r="IO26" s="43">
        <f t="shared" si="8"/>
        <v>4430109.18</v>
      </c>
      <c r="IP26" s="43">
        <f t="shared" si="8"/>
        <v>11141807.1</v>
      </c>
      <c r="IQ26" s="43">
        <f t="shared" si="8"/>
        <v>23747608.259999998</v>
      </c>
      <c r="IR26" s="43">
        <f t="shared" si="8"/>
        <v>29054467.240000002</v>
      </c>
      <c r="IS26" s="43">
        <f t="shared" si="8"/>
        <v>1689935.86</v>
      </c>
      <c r="IT26" s="43">
        <f t="shared" si="8"/>
        <v>18566011.800000001</v>
      </c>
      <c r="IU26" s="43">
        <f t="shared" si="8"/>
        <v>1398022046.9429996</v>
      </c>
    </row>
    <row r="27" spans="1:255" ht="14.1" customHeight="1" thickTop="1">
      <c r="A27" s="14"/>
      <c r="B27" s="14"/>
      <c r="E27" s="8"/>
      <c r="F27" s="8"/>
      <c r="G27" s="8"/>
      <c r="H27" s="8"/>
      <c r="I27" s="8"/>
      <c r="J27" s="8"/>
      <c r="K27" s="8"/>
      <c r="L27" s="8"/>
      <c r="M27" s="8"/>
      <c r="N27" s="213"/>
      <c r="O27" s="8"/>
      <c r="P27" s="8"/>
      <c r="Q27" s="8"/>
      <c r="R27" s="8"/>
      <c r="S27" s="8"/>
      <c r="T27" s="8"/>
      <c r="U27" s="8"/>
      <c r="V27" s="8"/>
      <c r="X27" s="8"/>
      <c r="Y27" s="8"/>
      <c r="Z27" s="8"/>
      <c r="AA27" s="8"/>
      <c r="AB27" s="8"/>
      <c r="AC27" s="8"/>
      <c r="AD27" s="8"/>
      <c r="AE27" s="8"/>
      <c r="AF27" s="213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S27" s="8"/>
      <c r="AT27" s="8"/>
      <c r="AU27" s="8"/>
      <c r="AV27" s="213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F27" s="8"/>
      <c r="DG27" s="8"/>
      <c r="DH27" s="8"/>
      <c r="DI27" s="8"/>
      <c r="DJ27" s="8"/>
      <c r="DK27" s="8"/>
      <c r="DL27" s="8"/>
      <c r="DM27" s="8"/>
      <c r="DO27" s="8"/>
      <c r="DP27" s="8"/>
      <c r="DQ27" s="8"/>
      <c r="DS27" s="8"/>
      <c r="DT27" s="8"/>
      <c r="DU27" s="8"/>
      <c r="DV27" s="8"/>
      <c r="DW27" s="8"/>
      <c r="DX27" s="8"/>
      <c r="DY27" s="8"/>
      <c r="EA27" s="8"/>
      <c r="EB27" s="8"/>
      <c r="EC27" s="8"/>
      <c r="ED27" s="8"/>
      <c r="EE27" s="8"/>
      <c r="EF27" s="8"/>
      <c r="EH27" s="124"/>
      <c r="EI27" s="8"/>
      <c r="EJ27" s="8"/>
      <c r="EK27" s="71"/>
      <c r="EL27" s="8"/>
      <c r="EM27" s="8"/>
      <c r="EN27" s="8"/>
      <c r="EO27" s="8"/>
      <c r="EP27" s="8"/>
      <c r="EQ27" s="8"/>
      <c r="ER27" s="8"/>
      <c r="ES27" s="8"/>
      <c r="ET27" s="8"/>
      <c r="EV27" s="8"/>
      <c r="EW27" s="8"/>
      <c r="EX27" s="8"/>
      <c r="EY27" s="8"/>
      <c r="EZ27" s="8"/>
      <c r="FA27" s="8"/>
      <c r="FB27" s="8"/>
      <c r="FC27" s="8"/>
      <c r="FD27" s="8"/>
      <c r="FE27" s="213"/>
      <c r="FG27" s="8"/>
      <c r="FH27" s="8"/>
      <c r="FI27" s="213"/>
      <c r="FJ27" s="8"/>
      <c r="FK27" s="8"/>
      <c r="FL27" s="71"/>
      <c r="FM27" s="8"/>
      <c r="FN27" s="8"/>
      <c r="FO27" s="8"/>
      <c r="FQ27" s="8"/>
      <c r="FR27" s="8"/>
      <c r="FS27" s="8"/>
      <c r="FT27" s="8"/>
      <c r="FU27" s="8"/>
      <c r="FV27" s="8"/>
      <c r="FW27" s="8"/>
      <c r="FX27" s="8"/>
      <c r="FY27" s="8"/>
      <c r="FZ27" s="213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M27" s="8"/>
      <c r="GN27" s="8"/>
      <c r="GO27" s="8"/>
      <c r="GP27" s="8"/>
      <c r="GQ27" s="8"/>
      <c r="GR27" s="8"/>
      <c r="GS27" s="8"/>
      <c r="GT27" s="8"/>
      <c r="GU27" s="240"/>
      <c r="GV27" s="8"/>
      <c r="GW27" s="8"/>
      <c r="GX27" s="8"/>
      <c r="GY27" s="8"/>
      <c r="GZ27" s="8"/>
      <c r="HA27" s="8"/>
      <c r="HB27" s="8"/>
      <c r="HC27" s="8"/>
      <c r="HE27" s="8"/>
      <c r="HF27" s="8"/>
      <c r="HG27" s="8"/>
      <c r="HH27" s="8"/>
      <c r="HI27" s="8"/>
      <c r="HJ27" s="8"/>
      <c r="HK27" s="8"/>
      <c r="HL27" s="8"/>
      <c r="HM27" s="140"/>
      <c r="HN27" s="127"/>
      <c r="HO27" s="71"/>
      <c r="HP27" s="8"/>
      <c r="HQ27" s="8"/>
      <c r="HR27" s="8"/>
      <c r="HS27" s="8"/>
      <c r="HT27" s="8"/>
      <c r="HU27" s="8"/>
      <c r="HV27" s="8"/>
      <c r="HW27" s="8"/>
      <c r="HX27" s="8"/>
      <c r="HY27" s="8"/>
      <c r="IA27" s="8"/>
      <c r="IB27" s="8"/>
      <c r="IC27" s="8"/>
      <c r="ID27" s="8"/>
      <c r="IE27" s="8"/>
      <c r="IF27" s="8"/>
      <c r="IG27" s="8"/>
      <c r="IH27" s="9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5" ht="14.1" customHeight="1">
      <c r="A28" s="20" t="s">
        <v>9</v>
      </c>
      <c r="B28" s="20"/>
      <c r="C28" s="158"/>
      <c r="D28" s="3"/>
      <c r="E28" s="3"/>
      <c r="F28" s="3"/>
      <c r="G28" s="3"/>
      <c r="H28" s="3"/>
      <c r="I28" s="3"/>
      <c r="J28" s="3"/>
      <c r="K28" s="3"/>
      <c r="L28" s="3"/>
      <c r="M28" s="3"/>
      <c r="N28" s="191"/>
      <c r="O28" s="3"/>
      <c r="P28" s="3"/>
      <c r="Q28" s="3"/>
      <c r="R28" s="3"/>
      <c r="S28" s="3"/>
      <c r="T28" s="3"/>
      <c r="U28" s="3"/>
      <c r="V28" s="3"/>
      <c r="W28" s="158"/>
      <c r="X28" s="3"/>
      <c r="Y28" s="3"/>
      <c r="Z28" s="3"/>
      <c r="AA28" s="3"/>
      <c r="AB28" s="3"/>
      <c r="AC28" s="3"/>
      <c r="AD28" s="3"/>
      <c r="AE28" s="3"/>
      <c r="AF28" s="1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158"/>
      <c r="AS28" s="3"/>
      <c r="AT28" s="3"/>
      <c r="AU28" s="3"/>
      <c r="AV28" s="191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158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158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158"/>
      <c r="DE28" s="90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90"/>
      <c r="DS28" s="3"/>
      <c r="DT28" s="3"/>
      <c r="DU28" s="3"/>
      <c r="DV28" s="3"/>
      <c r="DW28" s="3"/>
      <c r="DX28" s="3"/>
      <c r="DY28" s="3"/>
      <c r="DZ28" s="158"/>
      <c r="EA28" s="3"/>
      <c r="EB28" s="3"/>
      <c r="EC28" s="3"/>
      <c r="ED28" s="3"/>
      <c r="EE28" s="3"/>
      <c r="EF28" s="3"/>
      <c r="EG28" s="35"/>
      <c r="EH28" s="3"/>
      <c r="EI28" s="3"/>
      <c r="EJ28" s="3"/>
      <c r="EK28" s="77"/>
      <c r="EL28" s="3"/>
      <c r="EM28" s="3"/>
      <c r="EN28" s="3"/>
      <c r="EO28" s="3"/>
      <c r="EP28" s="3"/>
      <c r="EQ28" s="3"/>
      <c r="ER28" s="3"/>
      <c r="ES28" s="3"/>
      <c r="ET28" s="3"/>
      <c r="EU28" s="158"/>
      <c r="EV28" s="3"/>
      <c r="EW28" s="3"/>
      <c r="EX28" s="3"/>
      <c r="EY28" s="3"/>
      <c r="EZ28" s="3"/>
      <c r="FA28" s="3"/>
      <c r="FB28" s="3"/>
      <c r="FC28" s="3"/>
      <c r="FD28" s="3"/>
      <c r="FE28" s="191"/>
      <c r="FF28" s="3"/>
      <c r="FG28" s="3"/>
      <c r="FH28" s="3"/>
      <c r="FI28" s="191"/>
      <c r="FJ28" s="3"/>
      <c r="FK28" s="3"/>
      <c r="FL28" s="77"/>
      <c r="FM28" s="3"/>
      <c r="FN28" s="3"/>
      <c r="FO28" s="3"/>
      <c r="FP28" s="158"/>
      <c r="FQ28" s="3"/>
      <c r="FR28" s="3"/>
      <c r="FS28" s="3"/>
      <c r="FT28" s="3"/>
      <c r="FU28" s="3"/>
      <c r="FV28" s="3"/>
      <c r="FW28" s="3"/>
      <c r="FX28" s="3"/>
      <c r="FY28" s="3"/>
      <c r="FZ28" s="191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58"/>
      <c r="GM28" s="3"/>
      <c r="GN28" s="3"/>
      <c r="GO28" s="3"/>
      <c r="GP28" s="3"/>
      <c r="GQ28" s="3"/>
      <c r="GR28" s="3"/>
      <c r="GS28" s="3"/>
      <c r="GT28" s="3"/>
      <c r="GU28" s="241"/>
      <c r="GV28" s="3"/>
      <c r="GW28" s="3"/>
      <c r="GX28" s="3"/>
      <c r="GY28" s="3"/>
      <c r="GZ28" s="3"/>
      <c r="HA28" s="3"/>
      <c r="HB28" s="3"/>
      <c r="HC28" s="3"/>
      <c r="HD28" s="158"/>
      <c r="HE28" s="3"/>
      <c r="HF28" s="3"/>
      <c r="HG28" s="3"/>
      <c r="HH28" s="3"/>
      <c r="HI28" s="3"/>
      <c r="HJ28" s="3"/>
      <c r="HK28" s="3"/>
      <c r="HL28" s="3"/>
      <c r="HM28" s="3"/>
      <c r="HN28" s="133"/>
      <c r="HO28" s="77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158"/>
      <c r="IA28" s="3"/>
      <c r="IB28" s="3"/>
      <c r="IC28" s="3"/>
      <c r="ID28" s="3"/>
      <c r="IE28" s="3"/>
      <c r="IF28" s="3"/>
      <c r="IG28" s="3"/>
      <c r="IH28" s="106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158"/>
      <c r="IU28" s="3"/>
    </row>
    <row r="29" spans="1:255" ht="14.1" customHeight="1">
      <c r="A29" s="4" t="s">
        <v>13</v>
      </c>
      <c r="B29" s="12"/>
      <c r="C29" s="155"/>
      <c r="D29" s="4"/>
      <c r="E29" s="4"/>
      <c r="F29" s="4"/>
      <c r="G29" s="4"/>
      <c r="H29" s="4"/>
      <c r="I29" s="4"/>
      <c r="J29" s="4"/>
      <c r="K29" s="4"/>
      <c r="L29" s="4"/>
      <c r="M29" s="4"/>
      <c r="N29" s="189">
        <f>8007.43+96.41+3.14</f>
        <v>8106.9800000000005</v>
      </c>
      <c r="O29" s="4"/>
      <c r="P29" s="4"/>
      <c r="Q29" s="4"/>
      <c r="R29" s="4"/>
      <c r="S29" s="4"/>
      <c r="T29" s="4"/>
      <c r="U29" s="4"/>
      <c r="V29" s="4"/>
      <c r="W29" s="155"/>
      <c r="X29" s="4"/>
      <c r="Y29" s="4"/>
      <c r="Z29" s="4"/>
      <c r="AA29" s="4"/>
      <c r="AB29" s="4"/>
      <c r="AC29" s="4"/>
      <c r="AD29" s="4"/>
      <c r="AE29" s="4"/>
      <c r="AF29" s="189"/>
      <c r="AG29" s="4"/>
      <c r="AH29" s="4">
        <f>16269.84+654.2+96.42</f>
        <v>17020.46</v>
      </c>
      <c r="AI29" s="4"/>
      <c r="AJ29" s="4"/>
      <c r="AK29" s="4"/>
      <c r="AL29" s="4"/>
      <c r="AM29" s="4"/>
      <c r="AN29" s="4"/>
      <c r="AO29" s="4"/>
      <c r="AP29" s="4"/>
      <c r="AQ29" s="4"/>
      <c r="AR29" s="155"/>
      <c r="AS29" s="4"/>
      <c r="AT29" s="4"/>
      <c r="AU29" s="4"/>
      <c r="AV29" s="189"/>
      <c r="AW29" s="4"/>
      <c r="AX29" s="4"/>
      <c r="AY29" s="4"/>
      <c r="AZ29" s="4"/>
      <c r="BA29" s="4"/>
      <c r="BB29" s="4"/>
      <c r="BC29" s="4">
        <f>9068.19</f>
        <v>9068.19</v>
      </c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155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>
        <f>9676.89+1855.21+107.45</f>
        <v>11639.55</v>
      </c>
      <c r="BZ29" s="4"/>
      <c r="CA29" s="4"/>
      <c r="CB29" s="4"/>
      <c r="CC29" s="4"/>
      <c r="CD29" s="4"/>
      <c r="CE29" s="4"/>
      <c r="CF29" s="4"/>
      <c r="CG29" s="4"/>
      <c r="CH29" s="4"/>
      <c r="CI29" s="155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>
        <v>10802.86</v>
      </c>
      <c r="CU29" s="4"/>
      <c r="CV29" s="4"/>
      <c r="CW29" s="4"/>
      <c r="CX29" s="4"/>
      <c r="CY29" s="4"/>
      <c r="CZ29" s="4"/>
      <c r="DA29" s="4"/>
      <c r="DB29" s="4"/>
      <c r="DC29" s="4"/>
      <c r="DD29" s="155"/>
      <c r="DE29" s="87"/>
      <c r="DF29" s="4"/>
      <c r="DG29" s="4"/>
      <c r="DH29" s="4"/>
      <c r="DI29" s="4"/>
      <c r="DJ29" s="4"/>
      <c r="DK29" s="4"/>
      <c r="DL29" s="4"/>
      <c r="DM29" s="4"/>
      <c r="DN29" s="4">
        <v>9857.0300000000007</v>
      </c>
      <c r="DO29" s="4"/>
      <c r="DP29" s="4"/>
      <c r="DQ29" s="4"/>
      <c r="DR29" s="87"/>
      <c r="DS29" s="4"/>
      <c r="DT29" s="4"/>
      <c r="DU29" s="4"/>
      <c r="DV29" s="4"/>
      <c r="DW29" s="4"/>
      <c r="DX29" s="4"/>
      <c r="DY29" s="4"/>
      <c r="DZ29" s="155"/>
      <c r="EA29" s="4"/>
      <c r="EB29" s="4"/>
      <c r="EC29" s="4"/>
      <c r="ED29" s="4"/>
      <c r="EE29" s="4"/>
      <c r="EF29" s="4"/>
      <c r="EG29" s="32"/>
      <c r="EH29" s="4"/>
      <c r="EI29" s="4"/>
      <c r="EJ29" s="4"/>
      <c r="EK29" s="74">
        <v>8533.27</v>
      </c>
      <c r="EL29" s="4"/>
      <c r="EM29" s="4"/>
      <c r="EN29" s="4"/>
      <c r="EO29" s="4"/>
      <c r="EP29" s="4"/>
      <c r="EQ29" s="4"/>
      <c r="ER29" s="4"/>
      <c r="ES29" s="4"/>
      <c r="ET29" s="4"/>
      <c r="EU29" s="155"/>
      <c r="EV29" s="4"/>
      <c r="EW29" s="4"/>
      <c r="EX29" s="4"/>
      <c r="EY29" s="4"/>
      <c r="EZ29" s="4"/>
      <c r="FA29" s="4"/>
      <c r="FB29" s="4"/>
      <c r="FC29" s="4"/>
      <c r="FD29" s="4"/>
      <c r="FE29" s="189">
        <v>8158.43</v>
      </c>
      <c r="FF29" s="4"/>
      <c r="FG29" s="4"/>
      <c r="FH29" s="4"/>
      <c r="FI29" s="189"/>
      <c r="FJ29" s="4"/>
      <c r="FK29" s="4"/>
      <c r="FL29" s="74"/>
      <c r="FM29" s="4"/>
      <c r="FN29" s="4"/>
      <c r="FO29" s="4"/>
      <c r="FP29" s="155"/>
      <c r="FQ29" s="4"/>
      <c r="FR29" s="4"/>
      <c r="FS29" s="4"/>
      <c r="FT29" s="4"/>
      <c r="FU29" s="4"/>
      <c r="FV29" s="4"/>
      <c r="FW29" s="4"/>
      <c r="FX29" s="4"/>
      <c r="FY29" s="4"/>
      <c r="FZ29" s="189">
        <v>10596.02</v>
      </c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155"/>
      <c r="GM29" s="4"/>
      <c r="GN29" s="4"/>
      <c r="GO29" s="4"/>
      <c r="GP29" s="4"/>
      <c r="GQ29" s="4"/>
      <c r="GR29" s="4"/>
      <c r="GS29" s="4"/>
      <c r="GT29" s="4"/>
      <c r="GU29" s="123"/>
      <c r="GV29" s="4">
        <v>11727.14</v>
      </c>
      <c r="GW29" s="4"/>
      <c r="GX29" s="4"/>
      <c r="GY29" s="4"/>
      <c r="GZ29" s="4"/>
      <c r="HA29" s="4"/>
      <c r="HB29" s="4"/>
      <c r="HC29" s="4"/>
      <c r="HD29" s="155"/>
      <c r="HE29" s="4"/>
      <c r="HF29" s="4"/>
      <c r="HG29" s="4"/>
      <c r="HH29" s="4"/>
      <c r="HI29" s="4"/>
      <c r="HJ29" s="4"/>
      <c r="HK29" s="4"/>
      <c r="HL29" s="4"/>
      <c r="HM29" s="4"/>
      <c r="HN29" s="130"/>
      <c r="HO29" s="74">
        <v>14612.11</v>
      </c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155"/>
      <c r="IA29" s="4"/>
      <c r="IB29" s="4"/>
      <c r="IC29" s="4"/>
      <c r="ID29" s="4"/>
      <c r="IE29" s="4"/>
      <c r="IF29" s="4"/>
      <c r="IG29" s="4"/>
      <c r="IH29" s="102"/>
      <c r="II29" s="4"/>
      <c r="IJ29" s="4">
        <f>9346.75+2588.45+111.27</f>
        <v>12046.470000000001</v>
      </c>
      <c r="IK29" s="4"/>
      <c r="IL29" s="4"/>
      <c r="IM29" s="4"/>
      <c r="IN29" s="4"/>
      <c r="IO29" s="4"/>
      <c r="IP29" s="4"/>
      <c r="IQ29" s="4"/>
      <c r="IR29" s="4"/>
      <c r="IS29" s="4"/>
      <c r="IT29" s="155"/>
      <c r="IU29" s="4">
        <f t="shared" ref="IU29:IU46" si="9">SUM(D29:IT29)</f>
        <v>132168.51</v>
      </c>
    </row>
    <row r="30" spans="1:255" ht="14.1" customHeight="1">
      <c r="A30" s="4" t="s">
        <v>51</v>
      </c>
      <c r="B30" s="12"/>
      <c r="C30" s="155"/>
      <c r="D30" s="4"/>
      <c r="E30" s="4"/>
      <c r="F30" s="4"/>
      <c r="G30" s="4"/>
      <c r="H30" s="4"/>
      <c r="I30" s="4"/>
      <c r="J30" s="4"/>
      <c r="K30" s="4"/>
      <c r="L30" s="4"/>
      <c r="M30" s="4"/>
      <c r="N30" s="189"/>
      <c r="O30" s="4"/>
      <c r="P30" s="4"/>
      <c r="Q30" s="4">
        <f>160355.31+1821.63</f>
        <v>162176.94</v>
      </c>
      <c r="R30" s="4"/>
      <c r="S30" s="4"/>
      <c r="T30" s="4"/>
      <c r="U30" s="4"/>
      <c r="V30" s="4"/>
      <c r="W30" s="155"/>
      <c r="X30" s="4"/>
      <c r="Y30" s="4"/>
      <c r="Z30" s="4"/>
      <c r="AA30" s="4">
        <v>1875.22</v>
      </c>
      <c r="AB30" s="4"/>
      <c r="AC30" s="4"/>
      <c r="AD30" s="4">
        <f>151671.81+1807.62</f>
        <v>153479.43</v>
      </c>
      <c r="AE30" s="4"/>
      <c r="AF30" s="189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155"/>
      <c r="AS30" s="4">
        <v>1882.62</v>
      </c>
      <c r="AT30" s="4">
        <v>1818.16</v>
      </c>
      <c r="AU30" s="4"/>
      <c r="AV30" s="189"/>
      <c r="AW30" s="4">
        <v>150070.57</v>
      </c>
      <c r="AX30" s="4"/>
      <c r="AY30" s="4"/>
      <c r="AZ30" s="4"/>
      <c r="BA30" s="4"/>
      <c r="BB30" s="4">
        <v>1880.22</v>
      </c>
      <c r="BC30" s="4"/>
      <c r="BD30" s="4"/>
      <c r="BE30" s="4"/>
      <c r="BF30" s="4"/>
      <c r="BG30" s="4"/>
      <c r="BH30" s="4"/>
      <c r="BI30" s="4"/>
      <c r="BJ30" s="4"/>
      <c r="BK30" s="4">
        <v>1867.62</v>
      </c>
      <c r="BL30" s="4"/>
      <c r="BM30" s="4"/>
      <c r="BN30" s="155"/>
      <c r="BO30" s="4"/>
      <c r="BP30" s="4"/>
      <c r="BQ30" s="4"/>
      <c r="BR30" s="4"/>
      <c r="BS30" s="4">
        <v>153036.35999999999</v>
      </c>
      <c r="BT30" s="4"/>
      <c r="BU30" s="4"/>
      <c r="BV30" s="4"/>
      <c r="BW30" s="4"/>
      <c r="BX30" s="4"/>
      <c r="BY30" s="4"/>
      <c r="BZ30" s="4"/>
      <c r="CA30" s="4"/>
      <c r="CB30" s="4"/>
      <c r="CC30" s="4">
        <v>1882.62</v>
      </c>
      <c r="CD30" s="4"/>
      <c r="CE30" s="4"/>
      <c r="CF30" s="4"/>
      <c r="CG30" s="4">
        <v>1862.62</v>
      </c>
      <c r="CH30" s="4"/>
      <c r="CI30" s="155"/>
      <c r="CJ30" s="4"/>
      <c r="CK30" s="4"/>
      <c r="CL30" s="4"/>
      <c r="CM30" s="4"/>
      <c r="CN30" s="4">
        <v>149762.49</v>
      </c>
      <c r="CO30" s="4"/>
      <c r="CP30" s="4"/>
      <c r="CQ30" s="4"/>
      <c r="CR30" s="4"/>
      <c r="CS30" s="4"/>
      <c r="CT30" s="4"/>
      <c r="CU30" s="4"/>
      <c r="CV30" s="4"/>
      <c r="CW30" s="4"/>
      <c r="CX30" s="4">
        <v>1910</v>
      </c>
      <c r="CY30" s="4"/>
      <c r="CZ30" s="4"/>
      <c r="DA30" s="4"/>
      <c r="DB30" s="4"/>
      <c r="DC30" s="4"/>
      <c r="DD30" s="155"/>
      <c r="DE30" s="87"/>
      <c r="DF30" s="4"/>
      <c r="DG30" s="4"/>
      <c r="DH30" s="4"/>
      <c r="DI30" s="4"/>
      <c r="DJ30" s="4"/>
      <c r="DK30" s="4"/>
      <c r="DL30" s="4"/>
      <c r="DM30" s="4"/>
      <c r="DN30" s="4"/>
      <c r="DO30" s="4">
        <f>148174.96+1406.11</f>
        <v>149581.06999999998</v>
      </c>
      <c r="DP30" s="4"/>
      <c r="DQ30" s="4"/>
      <c r="DR30" s="87">
        <v>1409.11</v>
      </c>
      <c r="DS30" s="4"/>
      <c r="DT30" s="4"/>
      <c r="DU30" s="4"/>
      <c r="DV30" s="4"/>
      <c r="DW30" s="4"/>
      <c r="DX30" s="4"/>
      <c r="DY30" s="4"/>
      <c r="DZ30" s="155"/>
      <c r="EA30" s="4">
        <v>1409.11</v>
      </c>
      <c r="EB30" s="4"/>
      <c r="EC30" s="4"/>
      <c r="ED30" s="4"/>
      <c r="EE30" s="4"/>
      <c r="EF30" s="4"/>
      <c r="EG30" s="32"/>
      <c r="EH30" s="4"/>
      <c r="EI30" s="4"/>
      <c r="EJ30" s="4"/>
      <c r="EK30" s="74">
        <v>147194.12</v>
      </c>
      <c r="EL30" s="4"/>
      <c r="EM30" s="4"/>
      <c r="EN30" s="4"/>
      <c r="EO30" s="4"/>
      <c r="EP30" s="4"/>
      <c r="EQ30" s="4"/>
      <c r="ER30" s="4"/>
      <c r="ES30" s="4"/>
      <c r="ET30" s="4"/>
      <c r="EU30" s="155"/>
      <c r="EV30" s="4"/>
      <c r="EW30" s="4"/>
      <c r="EX30" s="4"/>
      <c r="EY30" s="4">
        <f>138133.69+1504.11+1504.11</f>
        <v>141141.90999999997</v>
      </c>
      <c r="EZ30" s="4"/>
      <c r="FA30" s="4"/>
      <c r="FB30" s="4"/>
      <c r="FC30" s="4"/>
      <c r="FD30" s="4"/>
      <c r="FE30" s="189"/>
      <c r="FF30" s="4"/>
      <c r="FG30" s="4"/>
      <c r="FH30" s="4">
        <v>1755.73</v>
      </c>
      <c r="FI30" s="189"/>
      <c r="FJ30" s="4"/>
      <c r="FK30" s="4"/>
      <c r="FL30" s="74"/>
      <c r="FM30" s="4"/>
      <c r="FN30" s="4"/>
      <c r="FO30" s="4"/>
      <c r="FP30" s="155"/>
      <c r="FQ30" s="4"/>
      <c r="FR30" s="4"/>
      <c r="FS30" s="4"/>
      <c r="FT30" s="4"/>
      <c r="FU30" s="4">
        <v>1892.31</v>
      </c>
      <c r="FV30" s="4">
        <v>127213.74</v>
      </c>
      <c r="FW30" s="4"/>
      <c r="FX30" s="4"/>
      <c r="FY30" s="4"/>
      <c r="FZ30" s="189">
        <v>1985.1</v>
      </c>
      <c r="GA30" s="4"/>
      <c r="GB30" s="4"/>
      <c r="GC30" s="4"/>
      <c r="GD30" s="4"/>
      <c r="GE30" s="4"/>
      <c r="GF30" s="4"/>
      <c r="GG30" s="4"/>
      <c r="GH30" s="4">
        <v>2055.1</v>
      </c>
      <c r="GI30" s="4"/>
      <c r="GJ30" s="4"/>
      <c r="GK30" s="4"/>
      <c r="GL30" s="155"/>
      <c r="GM30" s="4"/>
      <c r="GN30" s="4"/>
      <c r="GO30" s="4"/>
      <c r="GP30" s="4"/>
      <c r="GQ30" s="4"/>
      <c r="GR30" s="4">
        <v>128815.84</v>
      </c>
      <c r="GS30" s="4"/>
      <c r="GT30" s="4"/>
      <c r="GU30" s="123"/>
      <c r="GV30" s="4"/>
      <c r="GW30" s="4"/>
      <c r="GX30" s="4"/>
      <c r="GY30" s="4"/>
      <c r="GZ30" s="4"/>
      <c r="HA30" s="4">
        <v>1685.1</v>
      </c>
      <c r="HB30" s="4"/>
      <c r="HC30" s="4"/>
      <c r="HD30" s="155"/>
      <c r="HE30" s="4"/>
      <c r="HF30" s="4"/>
      <c r="HG30" s="4"/>
      <c r="HH30" s="4"/>
      <c r="HI30" s="4">
        <v>120771.77</v>
      </c>
      <c r="HJ30" s="4"/>
      <c r="HK30" s="4">
        <v>1669.79</v>
      </c>
      <c r="HL30" s="4"/>
      <c r="HM30" s="4"/>
      <c r="HN30" s="130"/>
      <c r="HO30" s="74"/>
      <c r="HP30" s="4"/>
      <c r="HQ30" s="4"/>
      <c r="HR30" s="4"/>
      <c r="HS30" s="4">
        <v>1644.54</v>
      </c>
      <c r="HT30" s="4"/>
      <c r="HU30" s="4"/>
      <c r="HV30" s="4"/>
      <c r="HW30" s="4"/>
      <c r="HX30" s="4"/>
      <c r="HY30" s="4"/>
      <c r="HZ30" s="155"/>
      <c r="IA30" s="4"/>
      <c r="IB30" s="4"/>
      <c r="IC30" s="4"/>
      <c r="ID30" s="4"/>
      <c r="IE30" s="4">
        <f>115319.93+1644.11</f>
        <v>116964.04</v>
      </c>
      <c r="IF30" s="4"/>
      <c r="IG30" s="4"/>
      <c r="IH30" s="102"/>
      <c r="II30" s="4"/>
      <c r="IJ30" s="4"/>
      <c r="IK30" s="4"/>
      <c r="IL30" s="4"/>
      <c r="IM30" s="4"/>
      <c r="IN30" s="4">
        <v>1296.24</v>
      </c>
      <c r="IO30" s="4"/>
      <c r="IP30" s="4"/>
      <c r="IQ30" s="4"/>
      <c r="IR30" s="4"/>
      <c r="IS30" s="4"/>
      <c r="IT30" s="155"/>
      <c r="IU30" s="4">
        <f t="shared" si="9"/>
        <v>1731989.4900000002</v>
      </c>
    </row>
    <row r="31" spans="1:255" ht="14.1" customHeight="1">
      <c r="A31" s="4" t="s">
        <v>48</v>
      </c>
      <c r="B31" s="12"/>
      <c r="C31" s="155"/>
      <c r="D31" s="4"/>
      <c r="E31" s="4"/>
      <c r="F31" s="4"/>
      <c r="G31" s="4">
        <v>14080935.539999999</v>
      </c>
      <c r="H31" s="4"/>
      <c r="I31" s="4"/>
      <c r="J31" s="4"/>
      <c r="K31" s="4"/>
      <c r="L31" s="4"/>
      <c r="M31" s="4"/>
      <c r="N31" s="189"/>
      <c r="O31" s="4"/>
      <c r="P31" s="4"/>
      <c r="Q31" s="4"/>
      <c r="R31" s="4"/>
      <c r="S31" s="4"/>
      <c r="T31" s="4"/>
      <c r="U31" s="4"/>
      <c r="V31" s="4"/>
      <c r="W31" s="155"/>
      <c r="X31" s="4"/>
      <c r="Y31" s="4"/>
      <c r="Z31" s="4"/>
      <c r="AA31" s="4">
        <v>14165643.859999999</v>
      </c>
      <c r="AB31" s="4"/>
      <c r="AC31" s="4"/>
      <c r="AD31" s="4"/>
      <c r="AE31" s="4"/>
      <c r="AF31" s="189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155"/>
      <c r="AS31" s="4"/>
      <c r="AT31" s="4"/>
      <c r="AU31" s="4"/>
      <c r="AV31" s="189">
        <v>14046276.84</v>
      </c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155"/>
      <c r="BO31" s="4"/>
      <c r="BP31" s="4"/>
      <c r="BQ31" s="4"/>
      <c r="BR31" s="4">
        <v>14059442.060000001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155"/>
      <c r="CJ31" s="4"/>
      <c r="CK31" s="4"/>
      <c r="CL31" s="4"/>
      <c r="CM31" s="4"/>
      <c r="CN31" s="4">
        <v>14273803.99</v>
      </c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155"/>
      <c r="DE31" s="87">
        <v>7828121.7000000002</v>
      </c>
      <c r="DF31" s="4"/>
      <c r="DG31" s="4">
        <v>6846757.4900000002</v>
      </c>
      <c r="DH31" s="4"/>
      <c r="DI31" s="4"/>
      <c r="DJ31" s="4"/>
      <c r="DK31" s="4"/>
      <c r="DL31" s="4"/>
      <c r="DM31" s="4"/>
      <c r="DN31" s="4"/>
      <c r="DO31" s="4">
        <v>2070.25</v>
      </c>
      <c r="DP31" s="4"/>
      <c r="DQ31" s="4"/>
      <c r="DR31" s="87"/>
      <c r="DS31" s="4"/>
      <c r="DT31" s="4"/>
      <c r="DU31" s="4"/>
      <c r="DV31" s="4"/>
      <c r="DW31" s="4"/>
      <c r="DX31" s="4"/>
      <c r="DY31" s="4"/>
      <c r="DZ31" s="155"/>
      <c r="EA31" s="4"/>
      <c r="EB31" s="4"/>
      <c r="EC31" s="4">
        <v>5603735.71</v>
      </c>
      <c r="ED31" s="4">
        <v>14405307.76</v>
      </c>
      <c r="EE31" s="4"/>
      <c r="EF31" s="4">
        <v>8348.7900000000009</v>
      </c>
      <c r="EG31" s="32"/>
      <c r="EH31" s="4"/>
      <c r="EI31" s="4"/>
      <c r="EJ31" s="4"/>
      <c r="EK31" s="74"/>
      <c r="EL31" s="4">
        <v>2500000</v>
      </c>
      <c r="EM31" s="4"/>
      <c r="EN31" s="4"/>
      <c r="EO31" s="4"/>
      <c r="EP31" s="4"/>
      <c r="EQ31" s="4"/>
      <c r="ER31" s="4"/>
      <c r="ES31" s="4"/>
      <c r="ET31" s="4"/>
      <c r="EU31" s="155"/>
      <c r="EV31" s="4"/>
      <c r="EW31" s="4"/>
      <c r="EX31" s="4"/>
      <c r="EY31" s="4">
        <v>11962199.52</v>
      </c>
      <c r="EZ31" s="4"/>
      <c r="FA31" s="4"/>
      <c r="FB31" s="4"/>
      <c r="FC31" s="4"/>
      <c r="FD31" s="4"/>
      <c r="FE31" s="189"/>
      <c r="FF31" s="4"/>
      <c r="FG31" s="4"/>
      <c r="FH31" s="4"/>
      <c r="FI31" s="189"/>
      <c r="FJ31" s="4"/>
      <c r="FK31" s="4"/>
      <c r="FL31" s="74"/>
      <c r="FM31" s="4"/>
      <c r="FN31" s="4"/>
      <c r="FO31" s="4"/>
      <c r="FP31" s="155"/>
      <c r="FQ31" s="4"/>
      <c r="FR31" s="4"/>
      <c r="FS31" s="4"/>
      <c r="FT31" s="4">
        <v>14062252.43</v>
      </c>
      <c r="FU31" s="4"/>
      <c r="FV31" s="4"/>
      <c r="FW31" s="4"/>
      <c r="FX31" s="4"/>
      <c r="FY31" s="4"/>
      <c r="FZ31" s="189"/>
      <c r="GA31" s="4"/>
      <c r="GB31" s="4"/>
      <c r="GC31" s="4">
        <v>2834.73</v>
      </c>
      <c r="GD31" s="4"/>
      <c r="GE31" s="4"/>
      <c r="GF31" s="4"/>
      <c r="GG31" s="4"/>
      <c r="GH31" s="4"/>
      <c r="GI31" s="4"/>
      <c r="GJ31" s="4"/>
      <c r="GK31" s="4"/>
      <c r="GL31" s="155"/>
      <c r="GM31" s="4"/>
      <c r="GN31" s="4"/>
      <c r="GO31" s="4"/>
      <c r="GP31" s="4">
        <v>14573912.390000001</v>
      </c>
      <c r="GQ31" s="4"/>
      <c r="GR31" s="4"/>
      <c r="GS31" s="4"/>
      <c r="GT31" s="4"/>
      <c r="GU31" s="123"/>
      <c r="GV31" s="4">
        <v>10699.42</v>
      </c>
      <c r="GW31" s="4"/>
      <c r="GX31" s="4"/>
      <c r="GY31" s="4"/>
      <c r="GZ31" s="4"/>
      <c r="HA31" s="4"/>
      <c r="HB31" s="4"/>
      <c r="HC31" s="4"/>
      <c r="HD31" s="155">
        <v>236456.75</v>
      </c>
      <c r="HE31" s="4"/>
      <c r="HF31" s="4"/>
      <c r="HG31" s="4"/>
      <c r="HH31" s="4"/>
      <c r="HI31" s="4">
        <v>15202803.970000001</v>
      </c>
      <c r="HJ31" s="4"/>
      <c r="HK31" s="4"/>
      <c r="HL31" s="4"/>
      <c r="HM31" s="4"/>
      <c r="HN31" s="130"/>
      <c r="HO31" s="74"/>
      <c r="HP31" s="4"/>
      <c r="HQ31" s="4"/>
      <c r="HR31" s="4"/>
      <c r="HS31" s="4"/>
      <c r="HT31" s="4">
        <v>8465013</v>
      </c>
      <c r="HU31" s="4"/>
      <c r="HV31" s="4"/>
      <c r="HW31" s="4"/>
      <c r="HX31" s="4"/>
      <c r="HY31" s="4"/>
      <c r="HZ31" s="155"/>
      <c r="IA31" s="4"/>
      <c r="IB31" s="4"/>
      <c r="IC31" s="4">
        <v>14373003.359999999</v>
      </c>
      <c r="ID31" s="4"/>
      <c r="IE31" s="4"/>
      <c r="IF31" s="4"/>
      <c r="IG31" s="4"/>
      <c r="IH31" s="102"/>
      <c r="II31" s="4"/>
      <c r="IJ31" s="4"/>
      <c r="IK31" s="4">
        <v>13707.73</v>
      </c>
      <c r="IL31" s="4"/>
      <c r="IM31" s="4"/>
      <c r="IN31" s="4"/>
      <c r="IO31" s="4"/>
      <c r="IP31" s="4"/>
      <c r="IQ31" s="4"/>
      <c r="IR31" s="4"/>
      <c r="IS31" s="4"/>
      <c r="IT31" s="155"/>
      <c r="IU31" s="4">
        <f t="shared" si="9"/>
        <v>186723327.28999999</v>
      </c>
    </row>
    <row r="32" spans="1:255" ht="14.1" customHeight="1">
      <c r="A32" s="4" t="s">
        <v>27</v>
      </c>
      <c r="B32" s="12"/>
      <c r="C32" s="155"/>
      <c r="D32" s="4"/>
      <c r="E32" s="4"/>
      <c r="F32" s="4"/>
      <c r="G32" s="4"/>
      <c r="H32" s="4">
        <v>320.35000000000002</v>
      </c>
      <c r="I32" s="4">
        <v>120203.64</v>
      </c>
      <c r="J32" s="4"/>
      <c r="K32" s="4">
        <v>280</v>
      </c>
      <c r="L32" s="4"/>
      <c r="M32" s="4"/>
      <c r="N32" s="189">
        <v>1716403.25</v>
      </c>
      <c r="O32" s="4"/>
      <c r="P32" s="4"/>
      <c r="Q32" s="4"/>
      <c r="R32" s="4">
        <f>116243.83+978.24</f>
        <v>117222.07</v>
      </c>
      <c r="S32" s="4"/>
      <c r="T32" s="4"/>
      <c r="U32" s="4"/>
      <c r="V32" s="4"/>
      <c r="W32" s="155"/>
      <c r="X32" s="4"/>
      <c r="Y32" s="4"/>
      <c r="Z32" s="4"/>
      <c r="AA32" s="4"/>
      <c r="AB32" s="4">
        <v>116623.31</v>
      </c>
      <c r="AC32" s="4"/>
      <c r="AD32" s="4"/>
      <c r="AE32" s="4"/>
      <c r="AF32" s="189">
        <v>1708338.5</v>
      </c>
      <c r="AG32" s="4"/>
      <c r="AH32" s="4"/>
      <c r="AI32" s="4">
        <v>150</v>
      </c>
      <c r="AJ32" s="4"/>
      <c r="AK32" s="4"/>
      <c r="AL32" s="4">
        <f>115920.73+130</f>
        <v>116050.73</v>
      </c>
      <c r="AM32" s="4"/>
      <c r="AN32" s="4"/>
      <c r="AO32" s="4"/>
      <c r="AP32" s="4"/>
      <c r="AQ32" s="4"/>
      <c r="AR32" s="155"/>
      <c r="AS32" s="4"/>
      <c r="AT32" s="4">
        <v>529.28</v>
      </c>
      <c r="AU32" s="4"/>
      <c r="AV32" s="189">
        <v>116954.86</v>
      </c>
      <c r="AW32" s="4"/>
      <c r="AX32" s="4"/>
      <c r="AY32" s="4"/>
      <c r="AZ32" s="4"/>
      <c r="BA32" s="4"/>
      <c r="BB32" s="4"/>
      <c r="BC32" s="4">
        <v>1710424.05</v>
      </c>
      <c r="BD32" s="4"/>
      <c r="BE32" s="4"/>
      <c r="BF32" s="4">
        <f>116379.86+400</f>
        <v>116779.86</v>
      </c>
      <c r="BG32" s="4"/>
      <c r="BH32" s="4"/>
      <c r="BI32" s="4"/>
      <c r="BJ32" s="4"/>
      <c r="BK32" s="4"/>
      <c r="BL32" s="4"/>
      <c r="BM32" s="4"/>
      <c r="BN32" s="155"/>
      <c r="BO32" s="4"/>
      <c r="BP32" s="4">
        <v>116196.27</v>
      </c>
      <c r="BQ32" s="4"/>
      <c r="BR32" s="4"/>
      <c r="BS32" s="4"/>
      <c r="BT32" s="4"/>
      <c r="BU32" s="4"/>
      <c r="BV32" s="4"/>
      <c r="BW32" s="4"/>
      <c r="BX32" s="4"/>
      <c r="BY32" s="4">
        <v>1701377.5</v>
      </c>
      <c r="BZ32" s="4">
        <v>117085.8</v>
      </c>
      <c r="CA32" s="4"/>
      <c r="CB32" s="4"/>
      <c r="CC32" s="4"/>
      <c r="CD32" s="4">
        <v>475</v>
      </c>
      <c r="CE32" s="4"/>
      <c r="CF32" s="4"/>
      <c r="CG32" s="4"/>
      <c r="CH32" s="4"/>
      <c r="CI32" s="155"/>
      <c r="CJ32" s="4"/>
      <c r="CK32" s="4"/>
      <c r="CL32" s="4"/>
      <c r="CM32" s="4"/>
      <c r="CN32" s="4"/>
      <c r="CO32" s="4"/>
      <c r="CP32" s="4"/>
      <c r="CQ32" s="4"/>
      <c r="CR32" s="4"/>
      <c r="CS32" s="4">
        <f>1809356.86+776.93</f>
        <v>1810133.79</v>
      </c>
      <c r="CT32" s="4"/>
      <c r="CU32" s="4">
        <v>3099.24</v>
      </c>
      <c r="CV32" s="4"/>
      <c r="CW32" s="4">
        <v>148.56</v>
      </c>
      <c r="CX32" s="4"/>
      <c r="CY32" s="4"/>
      <c r="CZ32" s="4"/>
      <c r="DA32" s="4"/>
      <c r="DB32" s="4"/>
      <c r="DC32" s="4">
        <v>100439.98</v>
      </c>
      <c r="DD32" s="155"/>
      <c r="DE32" s="87"/>
      <c r="DF32" s="4"/>
      <c r="DG32" s="4"/>
      <c r="DH32" s="4"/>
      <c r="DI32" s="4"/>
      <c r="DJ32" s="4"/>
      <c r="DK32" s="4"/>
      <c r="DL32" s="4">
        <v>98450.17</v>
      </c>
      <c r="DM32" s="4"/>
      <c r="DN32" s="4">
        <f>1704688.21+5034.86</f>
        <v>1709723.07</v>
      </c>
      <c r="DO32" s="4">
        <v>175</v>
      </c>
      <c r="DP32" s="4">
        <v>400</v>
      </c>
      <c r="DQ32" s="4"/>
      <c r="DR32" s="87"/>
      <c r="DS32" s="4"/>
      <c r="DT32" s="4"/>
      <c r="DU32" s="4"/>
      <c r="DV32" s="4">
        <v>96390.75</v>
      </c>
      <c r="DW32" s="4"/>
      <c r="DX32" s="4"/>
      <c r="DY32" s="4"/>
      <c r="DZ32" s="155"/>
      <c r="EA32" s="4"/>
      <c r="EB32" s="4"/>
      <c r="EC32" s="4"/>
      <c r="ED32" s="4"/>
      <c r="EE32" s="4"/>
      <c r="EF32" s="4">
        <v>95455.679999999993</v>
      </c>
      <c r="EG32" s="32"/>
      <c r="EH32" s="4">
        <v>146.74</v>
      </c>
      <c r="EI32" s="4"/>
      <c r="EJ32" s="4">
        <v>291</v>
      </c>
      <c r="EK32" s="74">
        <v>1702030.79</v>
      </c>
      <c r="EL32" s="4"/>
      <c r="EM32" s="4"/>
      <c r="EN32" s="4"/>
      <c r="EO32" s="4"/>
      <c r="EP32" s="4">
        <v>96510.720000000001</v>
      </c>
      <c r="EQ32" s="4"/>
      <c r="ER32" s="4"/>
      <c r="ES32" s="4"/>
      <c r="ET32" s="4"/>
      <c r="EU32" s="155"/>
      <c r="EV32" s="4"/>
      <c r="EW32" s="4"/>
      <c r="EX32" s="4"/>
      <c r="EY32" s="4">
        <f>112612.06+3103.96+449.09</f>
        <v>116165.11</v>
      </c>
      <c r="EZ32" s="4"/>
      <c r="FA32" s="4"/>
      <c r="FB32" s="4">
        <v>1117</v>
      </c>
      <c r="FC32" s="4"/>
      <c r="FD32" s="4"/>
      <c r="FE32" s="189">
        <v>1603131.91</v>
      </c>
      <c r="FF32" s="4">
        <v>1649.32</v>
      </c>
      <c r="FG32" s="4"/>
      <c r="FH32" s="4"/>
      <c r="FI32" s="189">
        <v>111247.88</v>
      </c>
      <c r="FJ32" s="4"/>
      <c r="FK32" s="4">
        <f>1678.51+432.53</f>
        <v>2111.04</v>
      </c>
      <c r="FL32" s="74"/>
      <c r="FM32" s="4">
        <v>661.96</v>
      </c>
      <c r="FN32" s="4"/>
      <c r="FO32" s="4"/>
      <c r="FP32" s="155"/>
      <c r="FQ32" s="4"/>
      <c r="FR32" s="4"/>
      <c r="FS32" s="4">
        <v>113034.14</v>
      </c>
      <c r="FT32" s="4"/>
      <c r="FU32" s="4">
        <v>225</v>
      </c>
      <c r="FV32" s="4"/>
      <c r="FW32" s="4"/>
      <c r="FX32" s="4"/>
      <c r="FY32" s="4">
        <v>1605210.76</v>
      </c>
      <c r="FZ32" s="189">
        <v>600</v>
      </c>
      <c r="GA32" s="4"/>
      <c r="GB32" s="4">
        <f>1286.68+113971.43+861.96</f>
        <v>116120.06999999999</v>
      </c>
      <c r="GC32" s="4"/>
      <c r="GD32" s="4"/>
      <c r="GE32" s="4">
        <v>50</v>
      </c>
      <c r="GF32" s="4"/>
      <c r="GG32" s="4"/>
      <c r="GH32" s="4"/>
      <c r="GI32" s="4"/>
      <c r="GJ32" s="4"/>
      <c r="GK32" s="4">
        <v>291.20999999999998</v>
      </c>
      <c r="GL32" s="155"/>
      <c r="GM32" s="4"/>
      <c r="GN32" s="4"/>
      <c r="GO32" s="4"/>
      <c r="GP32" s="4"/>
      <c r="GQ32" s="4"/>
      <c r="GR32" s="4"/>
      <c r="GS32" s="4"/>
      <c r="GT32" s="4"/>
      <c r="GU32" s="123">
        <v>1707074.11</v>
      </c>
      <c r="GV32" s="4"/>
      <c r="GW32" s="4"/>
      <c r="GX32" s="4">
        <v>100</v>
      </c>
      <c r="GY32" s="4"/>
      <c r="GZ32" s="4"/>
      <c r="HA32" s="4"/>
      <c r="HB32" s="4"/>
      <c r="HC32" s="4">
        <v>112883.01</v>
      </c>
      <c r="HD32" s="155"/>
      <c r="HE32" s="4">
        <v>130</v>
      </c>
      <c r="HF32" s="4"/>
      <c r="HG32" s="4"/>
      <c r="HH32" s="4"/>
      <c r="HI32" s="4"/>
      <c r="HJ32" s="4"/>
      <c r="HK32" s="4"/>
      <c r="HL32" s="4"/>
      <c r="HM32" s="4">
        <v>425</v>
      </c>
      <c r="HN32" s="130">
        <v>109522.99</v>
      </c>
      <c r="HO32" s="74">
        <v>1595397.52</v>
      </c>
      <c r="HP32" s="4">
        <v>1924.82</v>
      </c>
      <c r="HQ32" s="4"/>
      <c r="HR32" s="4"/>
      <c r="HS32" s="4">
        <v>2205</v>
      </c>
      <c r="HT32" s="4"/>
      <c r="HU32" s="4">
        <v>112888.01</v>
      </c>
      <c r="HV32" s="4"/>
      <c r="HW32" s="4"/>
      <c r="HX32" s="4"/>
      <c r="HY32" s="4"/>
      <c r="HZ32" s="155"/>
      <c r="IA32" s="4"/>
      <c r="IB32" s="4"/>
      <c r="IC32" s="4"/>
      <c r="ID32" s="4"/>
      <c r="IE32" s="4"/>
      <c r="IF32" s="4">
        <v>93029.51</v>
      </c>
      <c r="IG32" s="4"/>
      <c r="IH32" s="102">
        <f>130+155</f>
        <v>285</v>
      </c>
      <c r="II32" s="4"/>
      <c r="IJ32" s="4">
        <v>1591665.95</v>
      </c>
      <c r="IK32" s="4"/>
      <c r="IL32" s="4"/>
      <c r="IM32" s="4"/>
      <c r="IN32" s="4"/>
      <c r="IO32" s="4">
        <f>111095.15+1854.89</f>
        <v>112950.04</v>
      </c>
      <c r="IP32" s="4"/>
      <c r="IQ32" s="4"/>
      <c r="IR32" s="4"/>
      <c r="IS32" s="4"/>
      <c r="IT32" s="155"/>
      <c r="IU32" s="4">
        <f t="shared" si="9"/>
        <v>22600906.320000008</v>
      </c>
    </row>
    <row r="33" spans="1:256" s="8" customFormat="1" ht="14.1" customHeight="1">
      <c r="A33" s="4" t="s">
        <v>78</v>
      </c>
      <c r="B33" s="12"/>
      <c r="C33" s="155"/>
      <c r="D33" s="4"/>
      <c r="E33" s="4"/>
      <c r="F33" s="4"/>
      <c r="G33" s="4"/>
      <c r="H33" s="4"/>
      <c r="I33" s="4"/>
      <c r="J33" s="4"/>
      <c r="K33" s="4"/>
      <c r="L33" s="4"/>
      <c r="M33" s="4">
        <v>5600</v>
      </c>
      <c r="N33" s="189"/>
      <c r="O33" s="4"/>
      <c r="P33" s="4"/>
      <c r="Q33" s="4"/>
      <c r="R33" s="4"/>
      <c r="S33" s="4"/>
      <c r="T33" s="4"/>
      <c r="U33" s="4"/>
      <c r="V33" s="4"/>
      <c r="W33" s="155">
        <f>604162.01+604188.92</f>
        <v>1208350.9300000002</v>
      </c>
      <c r="X33" s="4"/>
      <c r="Y33" s="4"/>
      <c r="Z33" s="4"/>
      <c r="AA33" s="4"/>
      <c r="AB33" s="4"/>
      <c r="AC33" s="4"/>
      <c r="AD33" s="4"/>
      <c r="AE33" s="4"/>
      <c r="AF33" s="189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155"/>
      <c r="AS33" s="4"/>
      <c r="AT33" s="4"/>
      <c r="AU33" s="4"/>
      <c r="AV33" s="189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155">
        <v>344321</v>
      </c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155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155"/>
      <c r="DE33" s="87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87"/>
      <c r="DS33" s="4"/>
      <c r="DT33" s="4"/>
      <c r="DU33" s="4"/>
      <c r="DV33" s="4"/>
      <c r="DW33" s="4"/>
      <c r="DX33" s="4"/>
      <c r="DY33" s="4"/>
      <c r="DZ33" s="155"/>
      <c r="EA33" s="4"/>
      <c r="EB33" s="4"/>
      <c r="EC33" s="4"/>
      <c r="ED33" s="4"/>
      <c r="EE33" s="4"/>
      <c r="EF33" s="4"/>
      <c r="EG33" s="32"/>
      <c r="EH33" s="4"/>
      <c r="EI33" s="4"/>
      <c r="EJ33" s="4">
        <v>5600</v>
      </c>
      <c r="EK33" s="74"/>
      <c r="EL33" s="4"/>
      <c r="EM33" s="4"/>
      <c r="EN33" s="4"/>
      <c r="EO33" s="4"/>
      <c r="EP33" s="4"/>
      <c r="EQ33" s="4"/>
      <c r="ER33" s="4"/>
      <c r="ES33" s="4"/>
      <c r="ET33" s="4"/>
      <c r="EU33" s="155"/>
      <c r="EV33" s="4"/>
      <c r="EW33" s="4"/>
      <c r="EX33" s="4"/>
      <c r="EY33" s="4"/>
      <c r="EZ33" s="4"/>
      <c r="FA33" s="4"/>
      <c r="FB33" s="4"/>
      <c r="FC33" s="4"/>
      <c r="FD33" s="4"/>
      <c r="FE33" s="189"/>
      <c r="FF33" s="4"/>
      <c r="FG33" s="4"/>
      <c r="FH33" s="4"/>
      <c r="FI33" s="189"/>
      <c r="FJ33" s="4"/>
      <c r="FK33" s="4"/>
      <c r="FL33" s="74"/>
      <c r="FM33" s="4"/>
      <c r="FN33" s="4"/>
      <c r="FO33" s="4"/>
      <c r="FP33" s="155"/>
      <c r="FQ33" s="4"/>
      <c r="FR33" s="4"/>
      <c r="FS33" s="4"/>
      <c r="FT33" s="4"/>
      <c r="FU33" s="4"/>
      <c r="FV33" s="4"/>
      <c r="FW33" s="4"/>
      <c r="FX33" s="4"/>
      <c r="FY33" s="4"/>
      <c r="FZ33" s="189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155"/>
      <c r="GM33" s="4"/>
      <c r="GN33" s="4"/>
      <c r="GO33" s="4"/>
      <c r="GP33" s="4"/>
      <c r="GQ33" s="4"/>
      <c r="GR33" s="4"/>
      <c r="GS33" s="4"/>
      <c r="GT33" s="4"/>
      <c r="GU33" s="123"/>
      <c r="GV33" s="4"/>
      <c r="GW33" s="4"/>
      <c r="GX33" s="4"/>
      <c r="GY33" s="4"/>
      <c r="GZ33" s="4"/>
      <c r="HA33" s="4"/>
      <c r="HB33" s="4"/>
      <c r="HC33" s="4"/>
      <c r="HD33" s="155"/>
      <c r="HE33" s="4"/>
      <c r="HF33" s="4"/>
      <c r="HG33" s="4"/>
      <c r="HH33" s="4"/>
      <c r="HI33" s="4"/>
      <c r="HJ33" s="4"/>
      <c r="HK33" s="4"/>
      <c r="HL33" s="4"/>
      <c r="HM33" s="4"/>
      <c r="HN33" s="130"/>
      <c r="HO33" s="7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155"/>
      <c r="IA33" s="4"/>
      <c r="IB33" s="4"/>
      <c r="IC33" s="4"/>
      <c r="ID33" s="4"/>
      <c r="IE33" s="4"/>
      <c r="IF33" s="4"/>
      <c r="IG33" s="4"/>
      <c r="IH33" s="102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155"/>
      <c r="IU33" s="4">
        <f t="shared" si="9"/>
        <v>1563871.9300000002</v>
      </c>
    </row>
    <row r="34" spans="1:256" ht="14.1" customHeight="1">
      <c r="A34" s="4" t="s">
        <v>54</v>
      </c>
      <c r="B34" s="12"/>
      <c r="C34" s="155"/>
      <c r="D34" s="4"/>
      <c r="E34" s="4"/>
      <c r="F34" s="4"/>
      <c r="G34" s="4"/>
      <c r="H34" s="4"/>
      <c r="I34" s="4"/>
      <c r="J34" s="4"/>
      <c r="K34" s="4"/>
      <c r="L34" s="4">
        <v>8809.43</v>
      </c>
      <c r="M34" s="4"/>
      <c r="N34" s="189"/>
      <c r="O34" s="4"/>
      <c r="P34" s="4"/>
      <c r="Q34" s="4"/>
      <c r="R34" s="4"/>
      <c r="S34" s="4"/>
      <c r="T34" s="4"/>
      <c r="U34" s="4"/>
      <c r="V34" s="4"/>
      <c r="W34" s="155"/>
      <c r="X34" s="4"/>
      <c r="Y34" s="4"/>
      <c r="Z34" s="4"/>
      <c r="AA34" s="4"/>
      <c r="AB34" s="4"/>
      <c r="AC34" s="4"/>
      <c r="AD34" s="4"/>
      <c r="AE34" s="4"/>
      <c r="AF34" s="189">
        <v>4826.68</v>
      </c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155"/>
      <c r="AS34" s="4"/>
      <c r="AT34" s="4"/>
      <c r="AU34" s="4"/>
      <c r="AV34" s="189"/>
      <c r="AW34" s="4"/>
      <c r="AX34" s="4"/>
      <c r="AY34" s="4"/>
      <c r="AZ34" s="4"/>
      <c r="BA34" s="4"/>
      <c r="BB34" s="4"/>
      <c r="BC34" s="4"/>
      <c r="BD34" s="4"/>
      <c r="BE34" s="4">
        <v>3656.58</v>
      </c>
      <c r="BF34" s="4"/>
      <c r="BG34" s="4"/>
      <c r="BH34" s="4"/>
      <c r="BI34" s="4"/>
      <c r="BJ34" s="4"/>
      <c r="BK34" s="4"/>
      <c r="BL34" s="4"/>
      <c r="BM34" s="4"/>
      <c r="BN34" s="155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>
        <v>3008.81</v>
      </c>
      <c r="CI34" s="155"/>
      <c r="CJ34" s="4"/>
      <c r="CK34" s="4"/>
      <c r="CL34" s="4"/>
      <c r="CM34" s="4"/>
      <c r="CN34" s="4"/>
      <c r="CO34" s="4"/>
      <c r="CP34" s="4"/>
      <c r="CQ34" s="4"/>
      <c r="CR34" s="4">
        <v>4592.2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155"/>
      <c r="DE34" s="87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87">
        <v>1906.82</v>
      </c>
      <c r="DS34" s="4"/>
      <c r="DT34" s="4"/>
      <c r="DU34" s="4"/>
      <c r="DV34" s="4"/>
      <c r="DW34" s="4"/>
      <c r="DX34" s="4"/>
      <c r="DY34" s="4"/>
      <c r="DZ34" s="155"/>
      <c r="EA34" s="4"/>
      <c r="EB34" s="4"/>
      <c r="EC34" s="4"/>
      <c r="ED34" s="4"/>
      <c r="EE34" s="4"/>
      <c r="EF34" s="4"/>
      <c r="EG34" s="32"/>
      <c r="EH34" s="4"/>
      <c r="EI34" s="4"/>
      <c r="EJ34" s="4"/>
      <c r="EK34" s="74"/>
      <c r="EL34" s="4">
        <v>12635.76</v>
      </c>
      <c r="EM34" s="4"/>
      <c r="EN34" s="4"/>
      <c r="EO34" s="4"/>
      <c r="EP34" s="4"/>
      <c r="EQ34" s="4"/>
      <c r="ER34" s="4"/>
      <c r="ES34" s="4"/>
      <c r="ET34" s="4"/>
      <c r="EU34" s="155"/>
      <c r="EV34" s="4"/>
      <c r="EW34" s="4"/>
      <c r="EX34" s="4"/>
      <c r="EY34" s="4"/>
      <c r="EZ34" s="4"/>
      <c r="FA34" s="4"/>
      <c r="FB34" s="4"/>
      <c r="FC34" s="4"/>
      <c r="FD34" s="4"/>
      <c r="FE34" s="189"/>
      <c r="FF34" s="4">
        <v>16158.5</v>
      </c>
      <c r="FG34" s="4"/>
      <c r="FH34" s="4"/>
      <c r="FI34" s="189"/>
      <c r="FJ34" s="4"/>
      <c r="FK34" s="4"/>
      <c r="FL34" s="74"/>
      <c r="FM34" s="4"/>
      <c r="FN34" s="4"/>
      <c r="FO34" s="4"/>
      <c r="FP34" s="155"/>
      <c r="FQ34" s="4"/>
      <c r="FR34" s="4"/>
      <c r="FS34" s="4"/>
      <c r="FT34" s="4"/>
      <c r="FU34" s="4"/>
      <c r="FV34" s="4"/>
      <c r="FW34" s="4"/>
      <c r="FX34" s="4"/>
      <c r="FY34" s="4"/>
      <c r="FZ34" s="189"/>
      <c r="GA34" s="4"/>
      <c r="GB34" s="4"/>
      <c r="GC34" s="4"/>
      <c r="GD34" s="4"/>
      <c r="GE34" s="4"/>
      <c r="GF34" s="4"/>
      <c r="GG34" s="4"/>
      <c r="GH34" s="4"/>
      <c r="GI34" s="4"/>
      <c r="GJ34" s="4">
        <v>3714.56</v>
      </c>
      <c r="GK34" s="4"/>
      <c r="GL34" s="155"/>
      <c r="GM34" s="4"/>
      <c r="GN34" s="4"/>
      <c r="GO34" s="4"/>
      <c r="GP34" s="4"/>
      <c r="GQ34" s="4"/>
      <c r="GR34" s="4"/>
      <c r="GS34" s="4"/>
      <c r="GT34" s="4"/>
      <c r="GU34" s="123"/>
      <c r="GV34" s="4"/>
      <c r="GW34" s="4"/>
      <c r="GX34" s="4"/>
      <c r="GY34" s="4"/>
      <c r="GZ34" s="4"/>
      <c r="HA34" s="4"/>
      <c r="HB34" s="4"/>
      <c r="HC34" s="4"/>
      <c r="HD34" s="155"/>
      <c r="HE34" s="4"/>
      <c r="HF34" s="4"/>
      <c r="HG34" s="4"/>
      <c r="HH34" s="4"/>
      <c r="HI34" s="4"/>
      <c r="HJ34" s="4"/>
      <c r="HK34" s="4"/>
      <c r="HL34" s="4"/>
      <c r="HM34" s="4"/>
      <c r="HN34" s="130"/>
      <c r="HO34" s="74"/>
      <c r="HP34" s="4"/>
      <c r="HQ34" s="4"/>
      <c r="HR34" s="4">
        <v>10390.64</v>
      </c>
      <c r="HS34" s="4"/>
      <c r="HT34" s="4"/>
      <c r="HU34" s="4"/>
      <c r="HV34" s="4"/>
      <c r="HW34" s="4"/>
      <c r="HX34" s="4"/>
      <c r="HY34" s="4"/>
      <c r="HZ34" s="155"/>
      <c r="IA34" s="4"/>
      <c r="IB34" s="4"/>
      <c r="IC34" s="4"/>
      <c r="ID34" s="4"/>
      <c r="IE34" s="4"/>
      <c r="IF34" s="4">
        <v>30000</v>
      </c>
      <c r="IG34" s="4"/>
      <c r="IH34" s="102"/>
      <c r="II34" s="4"/>
      <c r="IJ34" s="4"/>
      <c r="IK34" s="4"/>
      <c r="IL34" s="4">
        <v>1001.98</v>
      </c>
      <c r="IM34" s="4"/>
      <c r="IN34" s="4"/>
      <c r="IO34" s="4"/>
      <c r="IP34" s="4"/>
      <c r="IQ34" s="4"/>
      <c r="IR34" s="4"/>
      <c r="IS34" s="4"/>
      <c r="IT34" s="155"/>
      <c r="IU34" s="4">
        <f t="shared" si="9"/>
        <v>100701.96</v>
      </c>
    </row>
    <row r="35" spans="1:256" ht="14.1" customHeight="1">
      <c r="A35" s="4" t="s">
        <v>10</v>
      </c>
      <c r="B35" s="12"/>
      <c r="C35" s="155"/>
      <c r="D35" s="4"/>
      <c r="E35" s="4">
        <v>1635.83</v>
      </c>
      <c r="F35" s="4"/>
      <c r="G35" s="4"/>
      <c r="H35" s="4"/>
      <c r="I35" s="4"/>
      <c r="J35" s="4">
        <v>395621.01</v>
      </c>
      <c r="K35" s="4"/>
      <c r="L35" s="4">
        <v>4743.74</v>
      </c>
      <c r="M35" s="4"/>
      <c r="N35" s="189">
        <v>9782836.5999999996</v>
      </c>
      <c r="O35" s="4"/>
      <c r="P35" s="4">
        <v>12181.75</v>
      </c>
      <c r="Q35" s="4"/>
      <c r="R35" s="4"/>
      <c r="S35" s="4">
        <f>444584.81+7267.67</f>
        <v>451852.48</v>
      </c>
      <c r="T35" s="4"/>
      <c r="U35" s="4">
        <v>13640.28</v>
      </c>
      <c r="V35" s="4"/>
      <c r="W35" s="155">
        <v>26040.67</v>
      </c>
      <c r="X35" s="4"/>
      <c r="Y35" s="4"/>
      <c r="Z35" s="4">
        <v>1106.69</v>
      </c>
      <c r="AA35" s="4"/>
      <c r="AB35" s="4"/>
      <c r="AC35" s="4">
        <v>453881.75</v>
      </c>
      <c r="AD35" s="4"/>
      <c r="AE35" s="4"/>
      <c r="AF35" s="189"/>
      <c r="AG35" s="4">
        <v>10054123.619999999</v>
      </c>
      <c r="AH35" s="4"/>
      <c r="AI35" s="4"/>
      <c r="AJ35" s="4">
        <v>2115.06</v>
      </c>
      <c r="AK35" s="4"/>
      <c r="AL35" s="4">
        <v>18753.740000000002</v>
      </c>
      <c r="AM35" s="4">
        <v>353391.19</v>
      </c>
      <c r="AN35" s="4"/>
      <c r="AO35" s="4">
        <v>5030.9399999999996</v>
      </c>
      <c r="AP35" s="4"/>
      <c r="AQ35" s="4">
        <v>18024.84</v>
      </c>
      <c r="AR35" s="155"/>
      <c r="AS35" s="4"/>
      <c r="AT35" s="4">
        <v>5889.62</v>
      </c>
      <c r="AU35" s="4"/>
      <c r="AV35" s="189">
        <v>383489.16</v>
      </c>
      <c r="AW35" s="4"/>
      <c r="AX35" s="4">
        <v>1747.54</v>
      </c>
      <c r="AY35" s="4">
        <v>1392.34</v>
      </c>
      <c r="AZ35" s="4"/>
      <c r="BA35" s="4"/>
      <c r="BB35" s="4"/>
      <c r="BC35" s="4"/>
      <c r="BD35" s="4">
        <f>9629753.46+3938.37</f>
        <v>9633691.8300000001</v>
      </c>
      <c r="BE35" s="4"/>
      <c r="BF35" s="4">
        <v>14900.45</v>
      </c>
      <c r="BG35" s="4">
        <v>462689.82</v>
      </c>
      <c r="BH35" s="4"/>
      <c r="BI35" s="4">
        <v>17015.52</v>
      </c>
      <c r="BJ35" s="4"/>
      <c r="BK35" s="4"/>
      <c r="BL35" s="4">
        <v>4310.49</v>
      </c>
      <c r="BM35" s="4"/>
      <c r="BN35" s="155">
        <f>533.59+5102.89</f>
        <v>5636.4800000000005</v>
      </c>
      <c r="BO35" s="4"/>
      <c r="BP35" s="4">
        <v>2997.61</v>
      </c>
      <c r="BQ35" s="4">
        <v>484126.41</v>
      </c>
      <c r="BR35" s="4"/>
      <c r="BS35" s="4"/>
      <c r="BT35" s="4"/>
      <c r="BU35" s="4">
        <v>6001.75</v>
      </c>
      <c r="BV35" s="4"/>
      <c r="BW35" s="4">
        <v>391.88</v>
      </c>
      <c r="BX35" s="4"/>
      <c r="BY35" s="4"/>
      <c r="BZ35" s="4">
        <v>10501667.369999999</v>
      </c>
      <c r="CA35" s="4">
        <v>471526.99</v>
      </c>
      <c r="CB35" s="4">
        <v>11043.21</v>
      </c>
      <c r="CC35" s="4"/>
      <c r="CD35" s="4">
        <f>3473.1+738.65</f>
        <v>4211.75</v>
      </c>
      <c r="CE35" s="4"/>
      <c r="CF35" s="4"/>
      <c r="CG35" s="4">
        <v>132.1</v>
      </c>
      <c r="CH35" s="4">
        <f>5651.33+2135.14</f>
        <v>7786.4699999999993</v>
      </c>
      <c r="CI35" s="155">
        <v>493119.1</v>
      </c>
      <c r="CJ35" s="4"/>
      <c r="CK35" s="4">
        <v>8963.59</v>
      </c>
      <c r="CL35" s="4"/>
      <c r="CM35" s="4"/>
      <c r="CN35" s="4">
        <v>563.48</v>
      </c>
      <c r="CO35" s="4"/>
      <c r="CP35" s="4"/>
      <c r="CQ35" s="4">
        <v>1825.18</v>
      </c>
      <c r="CR35" s="4"/>
      <c r="CS35" s="4">
        <v>9839.57</v>
      </c>
      <c r="CT35" s="4">
        <v>10157055.369999999</v>
      </c>
      <c r="CU35" s="4"/>
      <c r="CV35" s="4">
        <v>40427.040000000001</v>
      </c>
      <c r="CW35" s="4"/>
      <c r="CX35" s="4">
        <v>44712.98</v>
      </c>
      <c r="CY35" s="4"/>
      <c r="CZ35" s="4"/>
      <c r="DA35" s="4"/>
      <c r="DB35" s="4">
        <v>116130.46</v>
      </c>
      <c r="DC35" s="4"/>
      <c r="DD35" s="155">
        <v>286160.49</v>
      </c>
      <c r="DE35" s="87"/>
      <c r="DF35" s="4"/>
      <c r="DG35" s="4"/>
      <c r="DH35" s="4"/>
      <c r="DI35" s="4"/>
      <c r="DJ35" s="4"/>
      <c r="DK35" s="4"/>
      <c r="DL35" s="4"/>
      <c r="DM35" s="4">
        <v>274276.19</v>
      </c>
      <c r="DN35" s="4"/>
      <c r="DO35" s="4">
        <v>10938962.18</v>
      </c>
      <c r="DP35" s="4">
        <f>27342.67+5717.98</f>
        <v>33060.649999999994</v>
      </c>
      <c r="DQ35" s="4" t="s">
        <v>49</v>
      </c>
      <c r="DR35" s="87"/>
      <c r="DS35" s="4">
        <v>1155.8900000000001</v>
      </c>
      <c r="DT35" s="4"/>
      <c r="DU35" s="4"/>
      <c r="DV35" s="4">
        <v>9181.49</v>
      </c>
      <c r="DW35" s="4">
        <v>269564.51</v>
      </c>
      <c r="DX35" s="4">
        <v>755.42</v>
      </c>
      <c r="DY35" s="4">
        <v>8199.91</v>
      </c>
      <c r="DZ35" s="155"/>
      <c r="EA35" s="4"/>
      <c r="EB35" s="4">
        <v>300000</v>
      </c>
      <c r="EC35" s="4"/>
      <c r="ED35" s="4"/>
      <c r="EE35" s="4"/>
      <c r="EF35" s="4"/>
      <c r="EG35" s="32">
        <v>315113.43</v>
      </c>
      <c r="EH35" s="4"/>
      <c r="EI35" s="4">
        <v>1653.81</v>
      </c>
      <c r="EJ35" s="4"/>
      <c r="EK35" s="74"/>
      <c r="EL35" s="4">
        <v>9828062.4199999999</v>
      </c>
      <c r="EM35" s="4"/>
      <c r="EN35" s="4">
        <v>54484.68</v>
      </c>
      <c r="EO35" s="4"/>
      <c r="EP35" s="4"/>
      <c r="EQ35" s="4">
        <v>334666.40999999997</v>
      </c>
      <c r="ER35" s="4"/>
      <c r="ES35" s="4">
        <v>107415.13</v>
      </c>
      <c r="ET35" s="4"/>
      <c r="EU35" s="155">
        <v>18204.900000000001</v>
      </c>
      <c r="EV35" s="4"/>
      <c r="EW35" s="4"/>
      <c r="EX35" s="4"/>
      <c r="EY35" s="4"/>
      <c r="EZ35" s="4">
        <v>413821.72</v>
      </c>
      <c r="FA35" s="4"/>
      <c r="FB35" s="4">
        <v>7218.69</v>
      </c>
      <c r="FC35" s="4"/>
      <c r="FD35" s="4">
        <v>1631.23</v>
      </c>
      <c r="FE35" s="189"/>
      <c r="FF35" s="4">
        <f>10171324.2+3943.44</f>
        <v>10175267.639999999</v>
      </c>
      <c r="FG35" s="4">
        <v>29443.34</v>
      </c>
      <c r="FH35" s="4"/>
      <c r="FI35" s="189">
        <f>386972.85+6748.12</f>
        <v>393720.97</v>
      </c>
      <c r="FJ35" s="4"/>
      <c r="FK35" s="4">
        <v>15792.61</v>
      </c>
      <c r="FL35" s="74"/>
      <c r="FM35" s="4">
        <v>133448.54999999999</v>
      </c>
      <c r="FN35" s="4">
        <v>13689.01</v>
      </c>
      <c r="FO35" s="4"/>
      <c r="FP35" s="155"/>
      <c r="FQ35" s="4"/>
      <c r="FR35" s="4"/>
      <c r="FS35" s="4">
        <v>4019.74</v>
      </c>
      <c r="FT35" s="4">
        <v>408730.07</v>
      </c>
      <c r="FU35" s="4">
        <v>2213.52</v>
      </c>
      <c r="FV35" s="4"/>
      <c r="FW35" s="4"/>
      <c r="FX35" s="4"/>
      <c r="FY35" s="4">
        <v>1339.2</v>
      </c>
      <c r="FZ35" s="189">
        <v>11012757.84</v>
      </c>
      <c r="GA35" s="4"/>
      <c r="GB35" s="4">
        <v>27441.66</v>
      </c>
      <c r="GC35" s="4">
        <v>409219.69</v>
      </c>
      <c r="GD35" s="4"/>
      <c r="GE35" s="4">
        <v>5879.16</v>
      </c>
      <c r="GF35" s="4"/>
      <c r="GG35" s="4">
        <v>2747.39</v>
      </c>
      <c r="GH35" s="4"/>
      <c r="GI35" s="4"/>
      <c r="GJ35" s="4">
        <v>5905.16</v>
      </c>
      <c r="GK35" s="4"/>
      <c r="GL35" s="155">
        <v>414841.48</v>
      </c>
      <c r="GM35" s="4"/>
      <c r="GN35" s="4"/>
      <c r="GO35" s="4"/>
      <c r="GP35" s="4">
        <v>5517.76</v>
      </c>
      <c r="GQ35" s="4">
        <v>1366.64</v>
      </c>
      <c r="GR35" s="4"/>
      <c r="GS35" s="4"/>
      <c r="GT35" s="4"/>
      <c r="GU35" s="123">
        <v>10846498.59</v>
      </c>
      <c r="GV35" s="4"/>
      <c r="GW35" s="4"/>
      <c r="GX35" s="4">
        <v>27548.77</v>
      </c>
      <c r="GY35" s="4">
        <v>130967.49</v>
      </c>
      <c r="GZ35" s="4"/>
      <c r="HA35" s="4">
        <v>12909.33</v>
      </c>
      <c r="HB35" s="4"/>
      <c r="HC35" s="4"/>
      <c r="HD35" s="155">
        <v>415748.79</v>
      </c>
      <c r="HE35" s="4"/>
      <c r="HF35" s="4"/>
      <c r="HG35" s="4"/>
      <c r="HH35" s="4"/>
      <c r="HI35" s="4"/>
      <c r="HJ35" s="4"/>
      <c r="HK35" s="4"/>
      <c r="HL35" s="4"/>
      <c r="HM35" s="4"/>
      <c r="HN35" s="130">
        <v>303940.03000000003</v>
      </c>
      <c r="HO35" s="74">
        <v>10892310.529999999</v>
      </c>
      <c r="HP35" s="4"/>
      <c r="HQ35" s="4">
        <v>50957</v>
      </c>
      <c r="HR35" s="4"/>
      <c r="HS35" s="4"/>
      <c r="HT35" s="4">
        <f>146077.02+49197.54</f>
        <v>195274.56</v>
      </c>
      <c r="HU35" s="4"/>
      <c r="HV35" s="4"/>
      <c r="HW35" s="4">
        <v>316801.78000000003</v>
      </c>
      <c r="HX35" s="4"/>
      <c r="HY35" s="4"/>
      <c r="HZ35" s="155"/>
      <c r="IA35" s="4"/>
      <c r="IB35" s="4"/>
      <c r="IC35" s="4"/>
      <c r="ID35" s="4">
        <v>435.76</v>
      </c>
      <c r="IE35" s="4"/>
      <c r="IF35" s="4"/>
      <c r="IG35" s="4">
        <v>242903.78</v>
      </c>
      <c r="IH35" s="102">
        <v>1797.77</v>
      </c>
      <c r="II35" s="4"/>
      <c r="IJ35" s="4">
        <v>10121238.060000001</v>
      </c>
      <c r="IK35" s="4">
        <v>23115.5</v>
      </c>
      <c r="IL35" s="4"/>
      <c r="IM35" s="4">
        <v>21633.69</v>
      </c>
      <c r="IN35" s="4"/>
      <c r="IO35" s="4">
        <v>5467.94</v>
      </c>
      <c r="IP35" s="4">
        <v>339787.51</v>
      </c>
      <c r="IQ35" s="4">
        <v>18855.39</v>
      </c>
      <c r="IR35" s="4"/>
      <c r="IS35" s="4"/>
      <c r="IT35" s="155">
        <v>5486.14</v>
      </c>
      <c r="IU35" s="4">
        <f t="shared" si="9"/>
        <v>134728874.73999995</v>
      </c>
    </row>
    <row r="36" spans="1:256" ht="14.1" customHeight="1">
      <c r="A36" s="4" t="s">
        <v>25</v>
      </c>
      <c r="B36" s="12"/>
      <c r="C36" s="155"/>
      <c r="D36" s="4"/>
      <c r="E36" s="4"/>
      <c r="F36" s="4"/>
      <c r="G36" s="4"/>
      <c r="H36" s="4"/>
      <c r="I36" s="4"/>
      <c r="J36" s="4"/>
      <c r="K36" s="4"/>
      <c r="L36" s="4"/>
      <c r="M36" s="4"/>
      <c r="N36" s="189"/>
      <c r="O36" s="4"/>
      <c r="P36" s="4"/>
      <c r="Q36" s="4"/>
      <c r="R36" s="4"/>
      <c r="S36" s="4"/>
      <c r="T36" s="4"/>
      <c r="U36" s="4"/>
      <c r="V36" s="4"/>
      <c r="W36" s="155"/>
      <c r="X36" s="4"/>
      <c r="Y36" s="4"/>
      <c r="Z36" s="4"/>
      <c r="AA36" s="4"/>
      <c r="AB36" s="4"/>
      <c r="AC36" s="4"/>
      <c r="AD36" s="4"/>
      <c r="AE36" s="4"/>
      <c r="AF36" s="189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155"/>
      <c r="AS36" s="4"/>
      <c r="AT36" s="4"/>
      <c r="AU36" s="4"/>
      <c r="AV36" s="189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155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155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155"/>
      <c r="DE36" s="87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87"/>
      <c r="DS36" s="4"/>
      <c r="DT36" s="4"/>
      <c r="DU36" s="4"/>
      <c r="DV36" s="4"/>
      <c r="DW36" s="4"/>
      <c r="DX36" s="4"/>
      <c r="DY36" s="4"/>
      <c r="DZ36" s="155"/>
      <c r="EA36" s="4"/>
      <c r="EB36" s="4"/>
      <c r="EC36" s="4"/>
      <c r="ED36" s="4"/>
      <c r="EE36" s="4"/>
      <c r="EF36" s="4"/>
      <c r="EG36" s="32"/>
      <c r="EH36" s="4"/>
      <c r="EI36" s="4"/>
      <c r="EJ36" s="4"/>
      <c r="EK36" s="74"/>
      <c r="EL36" s="4"/>
      <c r="EM36" s="4"/>
      <c r="EN36" s="4"/>
      <c r="EO36" s="4"/>
      <c r="EP36" s="4"/>
      <c r="EQ36" s="4"/>
      <c r="ER36" s="4"/>
      <c r="ES36" s="4"/>
      <c r="ET36" s="4"/>
      <c r="EU36" s="155"/>
      <c r="EV36" s="4"/>
      <c r="EW36" s="4"/>
      <c r="EX36" s="4"/>
      <c r="EY36" s="4"/>
      <c r="EZ36" s="4"/>
      <c r="FA36" s="4"/>
      <c r="FB36" s="4"/>
      <c r="FC36" s="4"/>
      <c r="FD36" s="4"/>
      <c r="FE36" s="189"/>
      <c r="FF36" s="4"/>
      <c r="FG36" s="4"/>
      <c r="FH36" s="4"/>
      <c r="FI36" s="189"/>
      <c r="FJ36" s="4"/>
      <c r="FK36" s="4"/>
      <c r="FL36" s="74"/>
      <c r="FM36" s="4"/>
      <c r="FN36" s="4"/>
      <c r="FO36" s="4"/>
      <c r="FP36" s="155"/>
      <c r="FQ36" s="4"/>
      <c r="FR36" s="4"/>
      <c r="FS36" s="4"/>
      <c r="FT36" s="4"/>
      <c r="FU36" s="4"/>
      <c r="FV36" s="4"/>
      <c r="FW36" s="4"/>
      <c r="FX36" s="4"/>
      <c r="FY36" s="4"/>
      <c r="FZ36" s="189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155"/>
      <c r="GM36" s="4"/>
      <c r="GN36" s="4"/>
      <c r="GO36" s="4"/>
      <c r="GP36" s="4"/>
      <c r="GQ36" s="4"/>
      <c r="GR36" s="4"/>
      <c r="GS36" s="4"/>
      <c r="GT36" s="4"/>
      <c r="GU36" s="123"/>
      <c r="GV36" s="4"/>
      <c r="GW36" s="4"/>
      <c r="GX36" s="4"/>
      <c r="GY36" s="4"/>
      <c r="GZ36" s="4"/>
      <c r="HA36" s="4"/>
      <c r="HB36" s="4"/>
      <c r="HC36" s="4"/>
      <c r="HD36" s="155"/>
      <c r="HE36" s="4"/>
      <c r="HF36" s="4"/>
      <c r="HG36" s="4"/>
      <c r="HH36" s="4"/>
      <c r="HI36" s="4"/>
      <c r="HJ36" s="4"/>
      <c r="HK36" s="4"/>
      <c r="HL36" s="4"/>
      <c r="HM36" s="4"/>
      <c r="HN36" s="130"/>
      <c r="HO36" s="7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155"/>
      <c r="IA36" s="4"/>
      <c r="IB36" s="4"/>
      <c r="IC36" s="4"/>
      <c r="ID36" s="4"/>
      <c r="IE36" s="4"/>
      <c r="IF36" s="4"/>
      <c r="IG36" s="4">
        <f>25000000+10000000+20000000+20000000+25000000</f>
        <v>100000000</v>
      </c>
      <c r="IH36" s="102"/>
      <c r="II36" s="4"/>
      <c r="IJ36" s="4"/>
      <c r="IK36" s="4"/>
      <c r="IL36" s="4">
        <f>15000000+10000000+10000000+10000000+5000000</f>
        <v>50000000</v>
      </c>
      <c r="IM36" s="4"/>
      <c r="IN36" s="4"/>
      <c r="IO36" s="4"/>
      <c r="IP36" s="4"/>
      <c r="IQ36" s="4"/>
      <c r="IR36" s="4"/>
      <c r="IS36" s="4"/>
      <c r="IT36" s="155"/>
      <c r="IU36" s="4">
        <f t="shared" si="9"/>
        <v>150000000</v>
      </c>
    </row>
    <row r="37" spans="1:256" ht="14.1" customHeight="1">
      <c r="A37" s="4" t="s">
        <v>26</v>
      </c>
      <c r="B37" s="12"/>
      <c r="C37" s="155"/>
      <c r="D37" s="4"/>
      <c r="E37" s="4">
        <v>14499.84</v>
      </c>
      <c r="F37" s="4"/>
      <c r="G37" s="4"/>
      <c r="H37" s="4">
        <v>200</v>
      </c>
      <c r="I37" s="4"/>
      <c r="J37" s="4"/>
      <c r="K37" s="4"/>
      <c r="L37" s="4"/>
      <c r="M37" s="4"/>
      <c r="N37" s="189"/>
      <c r="O37" s="4">
        <v>200</v>
      </c>
      <c r="P37" s="4"/>
      <c r="Q37" s="4"/>
      <c r="R37" s="4"/>
      <c r="S37" s="4"/>
      <c r="T37" s="4"/>
      <c r="U37" s="4"/>
      <c r="V37" s="4"/>
      <c r="W37" s="155"/>
      <c r="X37" s="4"/>
      <c r="Y37" s="4">
        <v>14499.84</v>
      </c>
      <c r="Z37" s="4"/>
      <c r="AA37" s="4"/>
      <c r="AB37" s="4"/>
      <c r="AC37" s="4"/>
      <c r="AD37" s="4"/>
      <c r="AE37" s="4"/>
      <c r="AF37" s="189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155"/>
      <c r="AS37" s="4"/>
      <c r="AT37" s="4">
        <v>15199.84</v>
      </c>
      <c r="AU37" s="4"/>
      <c r="AV37" s="189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155"/>
      <c r="BO37" s="4"/>
      <c r="BP37" s="4"/>
      <c r="BQ37" s="4">
        <v>15199.84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155"/>
      <c r="CJ37" s="4"/>
      <c r="CK37" s="4">
        <v>13161.5</v>
      </c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155">
        <v>13160.3</v>
      </c>
      <c r="DE37" s="87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87"/>
      <c r="DS37" s="4"/>
      <c r="DT37" s="4"/>
      <c r="DU37" s="4"/>
      <c r="DV37" s="4"/>
      <c r="DW37" s="4"/>
      <c r="DX37" s="4"/>
      <c r="DY37" s="4"/>
      <c r="DZ37" s="155"/>
      <c r="EA37" s="4"/>
      <c r="EB37" s="4"/>
      <c r="EC37" s="4">
        <v>12444.5</v>
      </c>
      <c r="ED37" s="4"/>
      <c r="EE37" s="4"/>
      <c r="EF37" s="4"/>
      <c r="EG37" s="32"/>
      <c r="EH37" s="4"/>
      <c r="EI37" s="4"/>
      <c r="EJ37" s="4"/>
      <c r="EK37" s="74"/>
      <c r="EL37" s="4"/>
      <c r="EM37" s="4"/>
      <c r="EN37" s="4"/>
      <c r="EO37" s="4"/>
      <c r="EP37" s="4"/>
      <c r="EQ37" s="4"/>
      <c r="ER37" s="4"/>
      <c r="ES37" s="4"/>
      <c r="ET37" s="4"/>
      <c r="EU37" s="155"/>
      <c r="EV37" s="4"/>
      <c r="EW37" s="4">
        <v>12736.16</v>
      </c>
      <c r="EX37" s="4"/>
      <c r="EY37" s="4"/>
      <c r="EZ37" s="4"/>
      <c r="FA37" s="4"/>
      <c r="FB37" s="4"/>
      <c r="FC37" s="4"/>
      <c r="FD37" s="4"/>
      <c r="FE37" s="189"/>
      <c r="FF37" s="4"/>
      <c r="FG37" s="4"/>
      <c r="FH37" s="4"/>
      <c r="FI37" s="189"/>
      <c r="FJ37" s="4"/>
      <c r="FK37" s="4"/>
      <c r="FL37" s="74"/>
      <c r="FM37" s="4"/>
      <c r="FN37" s="4"/>
      <c r="FO37" s="4"/>
      <c r="FP37" s="155"/>
      <c r="FQ37" s="4"/>
      <c r="FR37" s="4">
        <v>11370.16</v>
      </c>
      <c r="FS37" s="4"/>
      <c r="FT37" s="4"/>
      <c r="FU37" s="4"/>
      <c r="FV37" s="4"/>
      <c r="FW37" s="4"/>
      <c r="FX37" s="4"/>
      <c r="FY37" s="4"/>
      <c r="FZ37" s="189"/>
      <c r="GA37" s="4"/>
      <c r="GB37" s="4"/>
      <c r="GC37" s="4">
        <v>200</v>
      </c>
      <c r="GD37" s="4"/>
      <c r="GE37" s="4"/>
      <c r="GF37" s="4"/>
      <c r="GG37" s="4"/>
      <c r="GH37" s="4"/>
      <c r="GI37" s="4"/>
      <c r="GJ37" s="4"/>
      <c r="GK37" s="4"/>
      <c r="GL37" s="155"/>
      <c r="GM37" s="4"/>
      <c r="GN37" s="4"/>
      <c r="GO37" s="4"/>
      <c r="GP37" s="4"/>
      <c r="GQ37" s="4"/>
      <c r="GR37" s="4"/>
      <c r="GS37" s="4"/>
      <c r="GT37" s="4"/>
      <c r="GU37" s="123"/>
      <c r="GV37" s="4"/>
      <c r="GW37" s="4"/>
      <c r="GX37" s="4"/>
      <c r="GY37" s="4"/>
      <c r="GZ37" s="4"/>
      <c r="HA37" s="4"/>
      <c r="HB37" s="4"/>
      <c r="HC37" s="4"/>
      <c r="HD37" s="155"/>
      <c r="HE37" s="4"/>
      <c r="HF37" s="4"/>
      <c r="HG37" s="4"/>
      <c r="HH37" s="4"/>
      <c r="HI37" s="4"/>
      <c r="HJ37" s="4"/>
      <c r="HK37" s="4"/>
      <c r="HL37" s="4"/>
      <c r="HM37" s="4"/>
      <c r="HN37" s="130"/>
      <c r="HO37" s="7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155"/>
      <c r="IA37" s="4"/>
      <c r="IB37" s="4"/>
      <c r="IC37" s="4"/>
      <c r="ID37" s="4"/>
      <c r="IE37" s="4"/>
      <c r="IF37" s="4"/>
      <c r="IG37" s="4"/>
      <c r="IH37" s="102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155"/>
      <c r="IU37" s="4">
        <f t="shared" si="9"/>
        <v>122871.98000000001</v>
      </c>
    </row>
    <row r="38" spans="1:256" ht="14.1" customHeight="1">
      <c r="A38" s="4" t="s">
        <v>77</v>
      </c>
      <c r="B38" s="4"/>
      <c r="C38" s="155"/>
      <c r="D38" s="4"/>
      <c r="E38" s="4">
        <v>90251.62</v>
      </c>
      <c r="F38" s="4"/>
      <c r="G38" s="4"/>
      <c r="H38" s="4"/>
      <c r="I38" s="4"/>
      <c r="J38" s="4"/>
      <c r="K38" s="4"/>
      <c r="L38" s="4"/>
      <c r="M38" s="4"/>
      <c r="N38" s="189"/>
      <c r="O38" s="4"/>
      <c r="P38" s="4"/>
      <c r="Q38" s="4"/>
      <c r="R38" s="4"/>
      <c r="S38" s="4"/>
      <c r="T38" s="4"/>
      <c r="U38" s="4"/>
      <c r="V38" s="4"/>
      <c r="W38" s="155"/>
      <c r="X38" s="4"/>
      <c r="Y38" s="4">
        <v>85644.5</v>
      </c>
      <c r="Z38" s="4"/>
      <c r="AA38" s="4"/>
      <c r="AB38" s="4"/>
      <c r="AC38" s="4"/>
      <c r="AD38" s="4"/>
      <c r="AE38" s="4"/>
      <c r="AF38" s="189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155"/>
      <c r="AS38" s="4"/>
      <c r="AT38" s="4">
        <v>90291.5</v>
      </c>
      <c r="AU38" s="4"/>
      <c r="AV38" s="189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155"/>
      <c r="BO38" s="4"/>
      <c r="BP38" s="4"/>
      <c r="BQ38" s="4">
        <v>87733.5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155"/>
      <c r="CJ38" s="4"/>
      <c r="CK38" s="4">
        <v>89775</v>
      </c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155">
        <v>89158.5</v>
      </c>
      <c r="DE38" s="87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87"/>
      <c r="DS38" s="4"/>
      <c r="DT38" s="4"/>
      <c r="DU38" s="4"/>
      <c r="DV38" s="4"/>
      <c r="DW38" s="4"/>
      <c r="DX38" s="4"/>
      <c r="DY38" s="4"/>
      <c r="DZ38" s="155"/>
      <c r="EA38" s="4"/>
      <c r="EB38" s="4"/>
      <c r="EC38" s="4">
        <v>88543.5</v>
      </c>
      <c r="ED38" s="4"/>
      <c r="EE38" s="4"/>
      <c r="EF38" s="4"/>
      <c r="EG38" s="32"/>
      <c r="EH38" s="4"/>
      <c r="EI38" s="4"/>
      <c r="EJ38" s="4"/>
      <c r="EK38" s="74"/>
      <c r="EL38" s="4"/>
      <c r="EM38" s="4"/>
      <c r="EN38" s="4"/>
      <c r="EO38" s="4"/>
      <c r="EP38" s="4"/>
      <c r="EQ38" s="4"/>
      <c r="ER38" s="4"/>
      <c r="ES38" s="4"/>
      <c r="ET38" s="4"/>
      <c r="EU38" s="155"/>
      <c r="EV38" s="4"/>
      <c r="EW38" s="4">
        <v>87134.5</v>
      </c>
      <c r="EX38" s="4"/>
      <c r="EY38" s="4"/>
      <c r="EZ38" s="4"/>
      <c r="FA38" s="4"/>
      <c r="FB38" s="4"/>
      <c r="FC38" s="4"/>
      <c r="FD38" s="4"/>
      <c r="FE38" s="189"/>
      <c r="FF38" s="4"/>
      <c r="FG38" s="4"/>
      <c r="FH38" s="4"/>
      <c r="FI38" s="189"/>
      <c r="FJ38" s="4"/>
      <c r="FK38" s="4"/>
      <c r="FL38" s="74"/>
      <c r="FM38" s="4"/>
      <c r="FN38" s="4"/>
      <c r="FO38" s="4"/>
      <c r="FP38" s="155"/>
      <c r="FQ38" s="4"/>
      <c r="FR38" s="4">
        <v>82939.22</v>
      </c>
      <c r="FS38" s="4"/>
      <c r="FT38" s="4"/>
      <c r="FU38" s="4"/>
      <c r="FV38" s="4"/>
      <c r="FW38" s="4"/>
      <c r="FX38" s="4"/>
      <c r="FY38" s="4"/>
      <c r="FZ38" s="189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155"/>
      <c r="GM38" s="4"/>
      <c r="GN38" s="4"/>
      <c r="GO38" s="4"/>
      <c r="GP38" s="4"/>
      <c r="GQ38" s="4"/>
      <c r="GR38" s="4"/>
      <c r="GS38" s="4"/>
      <c r="GT38" s="4"/>
      <c r="GU38" s="123"/>
      <c r="GV38" s="4"/>
      <c r="GW38" s="4"/>
      <c r="GX38" s="4"/>
      <c r="GY38" s="4"/>
      <c r="GZ38" s="4"/>
      <c r="HA38" s="4"/>
      <c r="HB38" s="4"/>
      <c r="HC38" s="4"/>
      <c r="HD38" s="155"/>
      <c r="HE38" s="4"/>
      <c r="HF38" s="4"/>
      <c r="HG38" s="4"/>
      <c r="HH38" s="4"/>
      <c r="HI38" s="4"/>
      <c r="HJ38" s="4"/>
      <c r="HK38" s="4"/>
      <c r="HL38" s="4"/>
      <c r="HM38" s="4"/>
      <c r="HN38" s="130"/>
      <c r="HO38" s="7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155"/>
      <c r="IA38" s="4"/>
      <c r="IB38" s="4"/>
      <c r="IC38" s="4"/>
      <c r="ID38" s="4"/>
      <c r="IE38" s="4"/>
      <c r="IF38" s="4"/>
      <c r="IG38" s="4"/>
      <c r="IH38" s="102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155"/>
      <c r="IU38" s="4">
        <f t="shared" si="9"/>
        <v>791471.84</v>
      </c>
    </row>
    <row r="39" spans="1:256" ht="14.1" customHeight="1">
      <c r="A39" s="4" t="s">
        <v>55</v>
      </c>
      <c r="B39" s="4"/>
      <c r="C39" s="155"/>
      <c r="D39" s="4"/>
      <c r="E39" s="4"/>
      <c r="F39" s="4"/>
      <c r="G39" s="4"/>
      <c r="H39" s="4"/>
      <c r="I39" s="4"/>
      <c r="J39" s="4"/>
      <c r="K39" s="4"/>
      <c r="L39" s="4"/>
      <c r="M39" s="4"/>
      <c r="N39" s="189"/>
      <c r="O39" s="4"/>
      <c r="P39" s="4"/>
      <c r="Q39" s="4"/>
      <c r="R39" s="4"/>
      <c r="S39" s="4"/>
      <c r="T39" s="4"/>
      <c r="U39" s="4"/>
      <c r="V39" s="4"/>
      <c r="W39" s="155"/>
      <c r="X39" s="4"/>
      <c r="Y39" s="4"/>
      <c r="Z39" s="4"/>
      <c r="AA39" s="4"/>
      <c r="AB39" s="4"/>
      <c r="AC39" s="4"/>
      <c r="AD39" s="4"/>
      <c r="AE39" s="4"/>
      <c r="AF39" s="189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155"/>
      <c r="AS39" s="4"/>
      <c r="AT39" s="4"/>
      <c r="AU39" s="4"/>
      <c r="AV39" s="189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155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155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155"/>
      <c r="DE39" s="87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87"/>
      <c r="DS39" s="4"/>
      <c r="DT39" s="4"/>
      <c r="DU39" s="4"/>
      <c r="DV39" s="4"/>
      <c r="DW39" s="4"/>
      <c r="DX39" s="4"/>
      <c r="DY39" s="4"/>
      <c r="DZ39" s="155"/>
      <c r="EA39" s="4"/>
      <c r="EB39" s="4"/>
      <c r="EC39" s="4"/>
      <c r="ED39" s="4"/>
      <c r="EE39" s="4"/>
      <c r="EF39" s="4"/>
      <c r="EG39" s="32"/>
      <c r="EH39" s="4"/>
      <c r="EI39" s="4"/>
      <c r="EJ39" s="4"/>
      <c r="EK39" s="74"/>
      <c r="EL39" s="4"/>
      <c r="EM39" s="4"/>
      <c r="EN39" s="4"/>
      <c r="EO39" s="4"/>
      <c r="EP39" s="4"/>
      <c r="EQ39" s="4"/>
      <c r="ER39" s="4"/>
      <c r="ES39" s="4"/>
      <c r="ET39" s="4"/>
      <c r="EU39" s="155"/>
      <c r="EV39" s="4"/>
      <c r="EW39" s="4"/>
      <c r="EX39" s="4"/>
      <c r="EY39" s="4"/>
      <c r="EZ39" s="4"/>
      <c r="FA39" s="4"/>
      <c r="FB39" s="4"/>
      <c r="FC39" s="4"/>
      <c r="FD39" s="4"/>
      <c r="FE39" s="189"/>
      <c r="FF39" s="4"/>
      <c r="FG39" s="4"/>
      <c r="FH39" s="4"/>
      <c r="FI39" s="189"/>
      <c r="FJ39" s="4"/>
      <c r="FK39" s="4"/>
      <c r="FL39" s="74"/>
      <c r="FM39" s="4"/>
      <c r="FN39" s="4"/>
      <c r="FO39" s="4"/>
      <c r="FP39" s="155"/>
      <c r="FQ39" s="4"/>
      <c r="FR39" s="4"/>
      <c r="FS39" s="4"/>
      <c r="FT39" s="4"/>
      <c r="FU39" s="4"/>
      <c r="FV39" s="4"/>
      <c r="FW39" s="4"/>
      <c r="FX39" s="4"/>
      <c r="FY39" s="4"/>
      <c r="FZ39" s="189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155"/>
      <c r="GM39" s="4"/>
      <c r="GN39" s="4"/>
      <c r="GO39" s="4"/>
      <c r="GP39" s="4"/>
      <c r="GQ39" s="4"/>
      <c r="GR39" s="4"/>
      <c r="GS39" s="4"/>
      <c r="GT39" s="4"/>
      <c r="GU39" s="123"/>
      <c r="GV39" s="4"/>
      <c r="GW39" s="4"/>
      <c r="GX39" s="4"/>
      <c r="GY39" s="4"/>
      <c r="GZ39" s="4"/>
      <c r="HA39" s="4"/>
      <c r="HB39" s="4"/>
      <c r="HC39" s="4"/>
      <c r="HD39" s="155"/>
      <c r="HE39" s="4"/>
      <c r="HF39" s="4"/>
      <c r="HG39" s="4"/>
      <c r="HH39" s="4"/>
      <c r="HI39" s="4"/>
      <c r="HJ39" s="4"/>
      <c r="HK39" s="4"/>
      <c r="HL39" s="4"/>
      <c r="HM39" s="4"/>
      <c r="HN39" s="130"/>
      <c r="HO39" s="7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155"/>
      <c r="IA39" s="4"/>
      <c r="IB39" s="4"/>
      <c r="IC39" s="4"/>
      <c r="ID39" s="4"/>
      <c r="IE39" s="4"/>
      <c r="IF39" s="4"/>
      <c r="IG39" s="4"/>
      <c r="IH39" s="102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155"/>
      <c r="IU39" s="4">
        <f t="shared" si="9"/>
        <v>0</v>
      </c>
    </row>
    <row r="40" spans="1:256" ht="14.1" customHeight="1">
      <c r="A40" s="4" t="s">
        <v>11</v>
      </c>
      <c r="B40" s="4"/>
      <c r="C40" s="155"/>
      <c r="D40" s="4"/>
      <c r="E40" s="4">
        <v>220923.93</v>
      </c>
      <c r="F40" s="4"/>
      <c r="G40" s="4"/>
      <c r="H40" s="4"/>
      <c r="I40" s="4"/>
      <c r="J40" s="4"/>
      <c r="K40" s="4"/>
      <c r="L40" s="4"/>
      <c r="M40" s="4"/>
      <c r="N40" s="189"/>
      <c r="O40" s="4"/>
      <c r="P40" s="4"/>
      <c r="Q40" s="4"/>
      <c r="R40" s="4"/>
      <c r="S40" s="4"/>
      <c r="T40" s="4"/>
      <c r="U40" s="4"/>
      <c r="V40" s="4"/>
      <c r="W40" s="155"/>
      <c r="X40" s="4"/>
      <c r="Y40" s="4">
        <v>191876.99</v>
      </c>
      <c r="Z40" s="4"/>
      <c r="AA40" s="4"/>
      <c r="AB40" s="4"/>
      <c r="AC40" s="4"/>
      <c r="AD40" s="4"/>
      <c r="AE40" s="4"/>
      <c r="AF40" s="189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155"/>
      <c r="AS40" s="4"/>
      <c r="AT40" s="4">
        <v>191484.79</v>
      </c>
      <c r="AU40" s="4"/>
      <c r="AV40" s="189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155"/>
      <c r="BO40" s="4"/>
      <c r="BP40" s="4">
        <v>192457.33</v>
      </c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155"/>
      <c r="CJ40" s="4"/>
      <c r="CK40" s="4">
        <v>192526.94</v>
      </c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155">
        <v>192915.42</v>
      </c>
      <c r="DE40" s="87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87"/>
      <c r="DS40" s="4"/>
      <c r="DT40" s="4"/>
      <c r="DU40" s="4"/>
      <c r="DV40" s="4"/>
      <c r="DW40" s="4"/>
      <c r="DX40" s="4"/>
      <c r="DY40" s="4"/>
      <c r="DZ40" s="155"/>
      <c r="EA40" s="4"/>
      <c r="EB40" s="4"/>
      <c r="EC40" s="4">
        <v>191793.36</v>
      </c>
      <c r="ED40" s="4"/>
      <c r="EE40" s="4"/>
      <c r="EF40" s="4"/>
      <c r="EG40" s="32"/>
      <c r="EH40" s="4"/>
      <c r="EI40" s="4"/>
      <c r="EJ40" s="4"/>
      <c r="EK40" s="74"/>
      <c r="EL40" s="4"/>
      <c r="EM40" s="4"/>
      <c r="EN40" s="4"/>
      <c r="EO40" s="4"/>
      <c r="EP40" s="4"/>
      <c r="EQ40" s="4"/>
      <c r="ER40" s="4"/>
      <c r="ES40" s="4"/>
      <c r="ET40" s="4"/>
      <c r="EU40" s="155"/>
      <c r="EV40" s="4">
        <v>194524.96</v>
      </c>
      <c r="EW40" s="4"/>
      <c r="EX40" s="4"/>
      <c r="EY40" s="4"/>
      <c r="EZ40" s="4"/>
      <c r="FA40" s="4"/>
      <c r="FB40" s="4"/>
      <c r="FC40" s="4"/>
      <c r="FD40" s="4"/>
      <c r="FE40" s="189"/>
      <c r="FF40" s="4"/>
      <c r="FG40" s="4"/>
      <c r="FH40" s="4"/>
      <c r="FI40" s="189"/>
      <c r="FJ40" s="4"/>
      <c r="FK40" s="4"/>
      <c r="FL40" s="74"/>
      <c r="FM40" s="4"/>
      <c r="FN40" s="4"/>
      <c r="FO40" s="4"/>
      <c r="FP40" s="155"/>
      <c r="FQ40" s="4"/>
      <c r="FR40" s="4">
        <v>213194.23</v>
      </c>
      <c r="FS40" s="4"/>
      <c r="FT40" s="4"/>
      <c r="FU40" s="4"/>
      <c r="FV40" s="4"/>
      <c r="FW40" s="4"/>
      <c r="FX40" s="4"/>
      <c r="FY40" s="4"/>
      <c r="FZ40" s="189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155"/>
      <c r="GM40" s="4">
        <v>249871.34</v>
      </c>
      <c r="GN40" s="4"/>
      <c r="GO40" s="4"/>
      <c r="GP40" s="4"/>
      <c r="GQ40" s="4"/>
      <c r="GR40" s="4"/>
      <c r="GS40" s="4"/>
      <c r="GT40" s="4"/>
      <c r="GU40" s="123"/>
      <c r="GV40" s="4"/>
      <c r="GW40" s="4"/>
      <c r="GX40" s="4"/>
      <c r="GY40" s="4"/>
      <c r="GZ40" s="4"/>
      <c r="HA40" s="4"/>
      <c r="HB40" s="4"/>
      <c r="HC40" s="4"/>
      <c r="HD40" s="155"/>
      <c r="HE40" s="4"/>
      <c r="HF40" s="4">
        <v>232016.76</v>
      </c>
      <c r="HG40" s="4"/>
      <c r="HH40" s="4"/>
      <c r="HI40" s="4"/>
      <c r="HJ40" s="4"/>
      <c r="HK40" s="4"/>
      <c r="HL40" s="4"/>
      <c r="HM40" s="4"/>
      <c r="HN40" s="130"/>
      <c r="HO40" s="7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155"/>
      <c r="IA40" s="4"/>
      <c r="IB40" s="4"/>
      <c r="IC40" s="4"/>
      <c r="ID40" s="4">
        <v>231223.81</v>
      </c>
      <c r="IE40" s="4"/>
      <c r="IF40" s="4"/>
      <c r="IG40" s="4"/>
      <c r="IH40" s="102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155"/>
      <c r="IU40" s="4">
        <f t="shared" si="9"/>
        <v>2494809.86</v>
      </c>
    </row>
    <row r="41" spans="1:256" ht="14.1" customHeight="1">
      <c r="A41" s="4" t="s">
        <v>52</v>
      </c>
      <c r="B41" s="4"/>
      <c r="C41" s="155"/>
      <c r="D41" s="4"/>
      <c r="E41" s="4">
        <v>86</v>
      </c>
      <c r="F41" s="4"/>
      <c r="G41" s="4"/>
      <c r="H41" s="4"/>
      <c r="I41" s="4"/>
      <c r="J41" s="4"/>
      <c r="K41" s="4"/>
      <c r="L41" s="4"/>
      <c r="M41" s="4">
        <v>150</v>
      </c>
      <c r="N41" s="189"/>
      <c r="O41" s="4"/>
      <c r="P41" s="4">
        <f>276.99+8000</f>
        <v>8276.99</v>
      </c>
      <c r="Q41" s="4"/>
      <c r="R41" s="4"/>
      <c r="S41" s="4"/>
      <c r="T41" s="4"/>
      <c r="U41" s="4"/>
      <c r="V41" s="4"/>
      <c r="W41" s="155"/>
      <c r="X41" s="4"/>
      <c r="Y41" s="4"/>
      <c r="Z41" s="4"/>
      <c r="AA41" s="4"/>
      <c r="AB41" s="4"/>
      <c r="AC41" s="4"/>
      <c r="AD41" s="4"/>
      <c r="AE41" s="4"/>
      <c r="AF41" s="189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155"/>
      <c r="AS41" s="4"/>
      <c r="AT41" s="4"/>
      <c r="AU41" s="4"/>
      <c r="AV41" s="189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>
        <v>40</v>
      </c>
      <c r="BI41" s="4"/>
      <c r="BJ41" s="4"/>
      <c r="BK41" s="4"/>
      <c r="BL41" s="4">
        <v>30</v>
      </c>
      <c r="BM41" s="4"/>
      <c r="BN41" s="155">
        <f>38.16+62</f>
        <v>100.16</v>
      </c>
      <c r="BO41" s="4"/>
      <c r="BP41" s="4"/>
      <c r="BQ41" s="4"/>
      <c r="BR41" s="4"/>
      <c r="BS41" s="4"/>
      <c r="BT41" s="4">
        <v>179.76</v>
      </c>
      <c r="BU41" s="4"/>
      <c r="BV41" s="4">
        <v>688.88</v>
      </c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155"/>
      <c r="CJ41" s="4"/>
      <c r="CK41" s="4"/>
      <c r="CL41" s="4"/>
      <c r="CM41" s="4"/>
      <c r="CN41" s="4"/>
      <c r="CO41" s="4"/>
      <c r="CP41" s="4">
        <v>50</v>
      </c>
      <c r="CQ41" s="4"/>
      <c r="CR41" s="4"/>
      <c r="CS41" s="4"/>
      <c r="CT41" s="4"/>
      <c r="CU41" s="4">
        <v>16.350000000000001</v>
      </c>
      <c r="CV41" s="4"/>
      <c r="CW41" s="4"/>
      <c r="CX41" s="4"/>
      <c r="CY41" s="4"/>
      <c r="CZ41" s="4"/>
      <c r="DA41" s="4"/>
      <c r="DB41" s="4"/>
      <c r="DC41" s="4"/>
      <c r="DD41" s="155"/>
      <c r="DE41" s="87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87"/>
      <c r="DS41" s="4">
        <v>286.14</v>
      </c>
      <c r="DT41" s="4"/>
      <c r="DU41" s="4"/>
      <c r="DV41" s="4"/>
      <c r="DW41" s="4"/>
      <c r="DX41" s="4"/>
      <c r="DY41" s="4"/>
      <c r="DZ41" s="155"/>
      <c r="EA41" s="4"/>
      <c r="EB41" s="4"/>
      <c r="EC41" s="4"/>
      <c r="ED41" s="4"/>
      <c r="EE41" s="4"/>
      <c r="EF41" s="4"/>
      <c r="EG41" s="32"/>
      <c r="EH41" s="4"/>
      <c r="EI41" s="4"/>
      <c r="EJ41" s="4">
        <v>35.200000000000003</v>
      </c>
      <c r="EK41" s="74"/>
      <c r="EL41" s="4"/>
      <c r="EM41" s="4"/>
      <c r="EN41" s="4"/>
      <c r="EO41" s="4"/>
      <c r="EP41" s="4"/>
      <c r="EQ41" s="4"/>
      <c r="ER41" s="4">
        <v>83.52</v>
      </c>
      <c r="ES41" s="4"/>
      <c r="ET41" s="4"/>
      <c r="EU41" s="155"/>
      <c r="EV41" s="4"/>
      <c r="EW41" s="4"/>
      <c r="EX41" s="4"/>
      <c r="EY41" s="4"/>
      <c r="EZ41" s="4"/>
      <c r="FA41" s="4"/>
      <c r="FB41" s="4"/>
      <c r="FC41" s="4"/>
      <c r="FD41" s="4"/>
      <c r="FE41" s="189"/>
      <c r="FF41" s="4"/>
      <c r="FG41" s="4"/>
      <c r="FH41" s="4"/>
      <c r="FI41" s="189"/>
      <c r="FJ41" s="4"/>
      <c r="FK41" s="4"/>
      <c r="FL41" s="74">
        <f>799.57</f>
        <v>799.57</v>
      </c>
      <c r="FM41" s="4"/>
      <c r="FN41" s="4"/>
      <c r="FO41" s="4"/>
      <c r="FP41" s="155"/>
      <c r="FQ41" s="4"/>
      <c r="FR41" s="4"/>
      <c r="FS41" s="4"/>
      <c r="FT41" s="4"/>
      <c r="FU41" s="4"/>
      <c r="FV41" s="4"/>
      <c r="FW41" s="4"/>
      <c r="FX41" s="4"/>
      <c r="FY41" s="4"/>
      <c r="FZ41" s="189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155"/>
      <c r="GM41" s="4"/>
      <c r="GN41" s="4"/>
      <c r="GO41" s="4"/>
      <c r="GP41" s="4"/>
      <c r="GQ41" s="4"/>
      <c r="GR41" s="4"/>
      <c r="GS41" s="4"/>
      <c r="GT41" s="4"/>
      <c r="GU41" s="123"/>
      <c r="GV41" s="4"/>
      <c r="GW41" s="4">
        <v>4255.13</v>
      </c>
      <c r="GX41" s="4"/>
      <c r="GY41" s="4"/>
      <c r="GZ41" s="4"/>
      <c r="HA41" s="4"/>
      <c r="HB41" s="4"/>
      <c r="HC41" s="4"/>
      <c r="HD41" s="155"/>
      <c r="HE41" s="4"/>
      <c r="HF41" s="4"/>
      <c r="HG41" s="4">
        <v>54.9</v>
      </c>
      <c r="HH41" s="4">
        <v>813.1</v>
      </c>
      <c r="HI41" s="4"/>
      <c r="HJ41" s="4"/>
      <c r="HK41" s="4"/>
      <c r="HL41" s="4"/>
      <c r="HM41" s="4"/>
      <c r="HN41" s="130"/>
      <c r="HO41" s="74"/>
      <c r="HP41" s="4"/>
      <c r="HQ41" s="4"/>
      <c r="HR41" s="4">
        <v>946442.7</v>
      </c>
      <c r="HS41" s="4"/>
      <c r="HT41" s="4"/>
      <c r="HU41" s="4"/>
      <c r="HV41" s="4"/>
      <c r="HW41" s="4"/>
      <c r="HX41" s="4"/>
      <c r="HY41" s="4"/>
      <c r="HZ41" s="155"/>
      <c r="IA41" s="4"/>
      <c r="IB41" s="4"/>
      <c r="IC41" s="4"/>
      <c r="ID41" s="4"/>
      <c r="IE41" s="4"/>
      <c r="IF41" s="4"/>
      <c r="IG41" s="4">
        <v>9473.7999999999993</v>
      </c>
      <c r="IH41" s="102"/>
      <c r="II41" s="4"/>
      <c r="IJ41" s="4">
        <v>44.87</v>
      </c>
      <c r="IK41" s="4"/>
      <c r="IL41" s="4"/>
      <c r="IM41" s="4"/>
      <c r="IN41" s="4"/>
      <c r="IO41" s="4"/>
      <c r="IP41" s="4"/>
      <c r="IQ41" s="4"/>
      <c r="IR41" s="4"/>
      <c r="IS41" s="4"/>
      <c r="IT41" s="155"/>
      <c r="IU41" s="4">
        <f t="shared" si="9"/>
        <v>971907.07</v>
      </c>
    </row>
    <row r="42" spans="1:256" ht="14.1" customHeight="1">
      <c r="A42" s="4" t="s">
        <v>12</v>
      </c>
      <c r="B42" s="4"/>
      <c r="C42" s="155"/>
      <c r="D42" s="4"/>
      <c r="E42" s="4"/>
      <c r="F42" s="4"/>
      <c r="G42" s="4"/>
      <c r="H42" s="4"/>
      <c r="I42" s="4"/>
      <c r="J42" s="4"/>
      <c r="K42" s="4"/>
      <c r="L42" s="4"/>
      <c r="M42" s="4"/>
      <c r="N42" s="189"/>
      <c r="O42" s="4"/>
      <c r="P42" s="4"/>
      <c r="Q42" s="4"/>
      <c r="R42" s="4"/>
      <c r="S42" s="4"/>
      <c r="T42" s="4"/>
      <c r="U42" s="4"/>
      <c r="V42" s="4">
        <v>329341.45</v>
      </c>
      <c r="W42" s="155"/>
      <c r="X42" s="4"/>
      <c r="Y42" s="4"/>
      <c r="Z42" s="4"/>
      <c r="AA42" s="4"/>
      <c r="AB42" s="4"/>
      <c r="AC42" s="4"/>
      <c r="AD42" s="4"/>
      <c r="AE42" s="4"/>
      <c r="AF42" s="189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155"/>
      <c r="AS42" s="4"/>
      <c r="AT42" s="4"/>
      <c r="AU42" s="4"/>
      <c r="AV42" s="189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155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155">
        <v>266345.77</v>
      </c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155"/>
      <c r="DE42" s="87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87"/>
      <c r="DS42" s="4"/>
      <c r="DT42" s="4"/>
      <c r="DU42" s="4"/>
      <c r="DV42" s="4"/>
      <c r="DW42" s="4"/>
      <c r="DX42" s="4"/>
      <c r="DY42" s="4"/>
      <c r="DZ42" s="155"/>
      <c r="EA42" s="4"/>
      <c r="EB42" s="4"/>
      <c r="EC42" s="4"/>
      <c r="ED42" s="4"/>
      <c r="EE42" s="4"/>
      <c r="EF42" s="4"/>
      <c r="EG42" s="32"/>
      <c r="EH42" s="4"/>
      <c r="EI42" s="4"/>
      <c r="EJ42" s="4"/>
      <c r="EK42" s="74"/>
      <c r="EL42" s="4"/>
      <c r="EM42" s="4"/>
      <c r="EN42" s="4"/>
      <c r="EO42" s="4"/>
      <c r="EP42" s="4"/>
      <c r="EQ42" s="4"/>
      <c r="ER42" s="4"/>
      <c r="ES42" s="4"/>
      <c r="ET42" s="4"/>
      <c r="EU42" s="155">
        <v>169291.66</v>
      </c>
      <c r="EV42" s="4"/>
      <c r="EW42" s="4"/>
      <c r="EX42" s="4"/>
      <c r="EY42" s="4"/>
      <c r="EZ42" s="4"/>
      <c r="FA42" s="4"/>
      <c r="FB42" s="4"/>
      <c r="FC42" s="4"/>
      <c r="FD42" s="4"/>
      <c r="FE42" s="189"/>
      <c r="FF42" s="4"/>
      <c r="FG42" s="4"/>
      <c r="FH42" s="4"/>
      <c r="FI42" s="189"/>
      <c r="FJ42" s="4"/>
      <c r="FK42" s="4"/>
      <c r="FL42" s="74"/>
      <c r="FM42" s="4"/>
      <c r="FN42" s="4"/>
      <c r="FO42" s="4"/>
      <c r="FP42" s="155"/>
      <c r="FQ42" s="4"/>
      <c r="FR42" s="4"/>
      <c r="FS42" s="4"/>
      <c r="FT42" s="4"/>
      <c r="FU42" s="4"/>
      <c r="FV42" s="4"/>
      <c r="FW42" s="4"/>
      <c r="FX42" s="4"/>
      <c r="FY42" s="4"/>
      <c r="FZ42" s="189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155"/>
      <c r="GM42" s="4"/>
      <c r="GN42" s="4"/>
      <c r="GO42" s="4"/>
      <c r="GP42" s="4"/>
      <c r="GQ42" s="4"/>
      <c r="GR42" s="4"/>
      <c r="GS42" s="4"/>
      <c r="GT42" s="4"/>
      <c r="GU42" s="123"/>
      <c r="GV42" s="4"/>
      <c r="GW42" s="4"/>
      <c r="GX42" s="4"/>
      <c r="GY42" s="4"/>
      <c r="GZ42" s="4"/>
      <c r="HA42" s="4"/>
      <c r="HB42" s="4"/>
      <c r="HC42" s="4"/>
      <c r="HD42" s="155"/>
      <c r="HE42" s="4"/>
      <c r="HF42" s="4"/>
      <c r="HG42" s="4"/>
      <c r="HH42" s="4"/>
      <c r="HI42" s="4"/>
      <c r="HJ42" s="4"/>
      <c r="HK42" s="4"/>
      <c r="HL42" s="4"/>
      <c r="HM42" s="4"/>
      <c r="HN42" s="130"/>
      <c r="HO42" s="7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155"/>
      <c r="IA42" s="4"/>
      <c r="IB42" s="4"/>
      <c r="IC42" s="4"/>
      <c r="ID42" s="4"/>
      <c r="IE42" s="4"/>
      <c r="IF42" s="4"/>
      <c r="IG42" s="4"/>
      <c r="IH42" s="102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155"/>
      <c r="IU42" s="4">
        <f t="shared" si="9"/>
        <v>764978.88</v>
      </c>
    </row>
    <row r="43" spans="1:256" ht="14.1" customHeight="1">
      <c r="A43" s="4" t="s">
        <v>41</v>
      </c>
      <c r="B43" s="4"/>
      <c r="C43" s="155">
        <v>13</v>
      </c>
      <c r="D43" s="4">
        <v>456</v>
      </c>
      <c r="E43" s="4">
        <f>20+7.5</f>
        <v>27.5</v>
      </c>
      <c r="F43" s="4"/>
      <c r="G43" s="4"/>
      <c r="H43" s="4">
        <f>100000000+75000000+50000000+75000000+50000000+50000000</f>
        <v>400000000</v>
      </c>
      <c r="I43" s="4"/>
      <c r="J43" s="4"/>
      <c r="K43" s="4"/>
      <c r="L43" s="4">
        <v>15667</v>
      </c>
      <c r="M43" s="4">
        <f>742</f>
        <v>742</v>
      </c>
      <c r="N43" s="189"/>
      <c r="O43" s="4"/>
      <c r="P43" s="4"/>
      <c r="Q43" s="4">
        <v>316000</v>
      </c>
      <c r="R43" s="4"/>
      <c r="S43" s="4"/>
      <c r="T43" s="4">
        <v>24.3</v>
      </c>
      <c r="U43" s="4"/>
      <c r="V43" s="4"/>
      <c r="W43" s="155">
        <v>1510.59</v>
      </c>
      <c r="X43" s="4">
        <f>21.9+7.5</f>
        <v>29.4</v>
      </c>
      <c r="Y43" s="4">
        <v>103224.17</v>
      </c>
      <c r="Z43" s="4"/>
      <c r="AA43" s="4"/>
      <c r="AB43" s="4"/>
      <c r="AC43" s="4">
        <v>78.75</v>
      </c>
      <c r="AD43" s="4"/>
      <c r="AE43" s="4"/>
      <c r="AF43" s="189"/>
      <c r="AG43" s="4"/>
      <c r="AH43" s="4">
        <v>2778.43</v>
      </c>
      <c r="AI43" s="4">
        <v>123036.53</v>
      </c>
      <c r="AJ43" s="4"/>
      <c r="AK43" s="4"/>
      <c r="AL43" s="4"/>
      <c r="AM43" s="4">
        <v>20</v>
      </c>
      <c r="AN43" s="4"/>
      <c r="AO43" s="4"/>
      <c r="AP43" s="4">
        <f>10+195</f>
        <v>205</v>
      </c>
      <c r="AQ43" s="4"/>
      <c r="AR43" s="155"/>
      <c r="AS43" s="4"/>
      <c r="AT43" s="4">
        <v>101385.95</v>
      </c>
      <c r="AU43" s="4">
        <f>57.65+7.5</f>
        <v>65.150000000000006</v>
      </c>
      <c r="AV43" s="189">
        <v>20</v>
      </c>
      <c r="AW43" s="4"/>
      <c r="AX43" s="4"/>
      <c r="AY43" s="4"/>
      <c r="AZ43" s="4"/>
      <c r="BA43" s="4">
        <f>990+560</f>
        <v>1550</v>
      </c>
      <c r="BB43" s="4">
        <v>13</v>
      </c>
      <c r="BC43" s="4"/>
      <c r="BD43" s="4">
        <f>4949756.63</f>
        <v>4949756.63</v>
      </c>
      <c r="BE43" s="4"/>
      <c r="BF43" s="4"/>
      <c r="BG43" s="4"/>
      <c r="BH43" s="4">
        <f>660</f>
        <v>660</v>
      </c>
      <c r="BI43" s="4"/>
      <c r="BJ43" s="4">
        <v>763</v>
      </c>
      <c r="BK43" s="4">
        <v>727.98</v>
      </c>
      <c r="BL43" s="4"/>
      <c r="BM43" s="4">
        <v>3</v>
      </c>
      <c r="BN43" s="155">
        <f>27310181.66</f>
        <v>27310181.66</v>
      </c>
      <c r="BO43" s="4"/>
      <c r="BP43" s="4">
        <v>3</v>
      </c>
      <c r="BQ43" s="4">
        <f>137.3+8.5</f>
        <v>145.80000000000001</v>
      </c>
      <c r="BR43" s="4">
        <v>1457.5</v>
      </c>
      <c r="BS43" s="4">
        <f>1950.47+8858.54</f>
        <v>10809.01</v>
      </c>
      <c r="BT43" s="4"/>
      <c r="BU43" s="4"/>
      <c r="BV43" s="4"/>
      <c r="BW43" s="4">
        <f>7619.29</f>
        <v>7619.29</v>
      </c>
      <c r="BX43" s="4">
        <f>817.82</f>
        <v>817.82</v>
      </c>
      <c r="BY43" s="4"/>
      <c r="BZ43" s="4"/>
      <c r="CA43" s="4"/>
      <c r="CB43" s="4"/>
      <c r="CC43" s="4"/>
      <c r="CD43" s="4"/>
      <c r="CE43" s="4"/>
      <c r="CF43" s="4"/>
      <c r="CG43" s="4"/>
      <c r="CH43" s="4">
        <f>69+23.65</f>
        <v>92.65</v>
      </c>
      <c r="CI43" s="155">
        <f>883.07+273.14</f>
        <v>1156.21</v>
      </c>
      <c r="CJ43" s="4"/>
      <c r="CK43" s="4">
        <f>73.4+61.34</f>
        <v>134.74</v>
      </c>
      <c r="CL43" s="4"/>
      <c r="CM43" s="4">
        <f>595</f>
        <v>595</v>
      </c>
      <c r="CN43" s="4">
        <f>210.86+25</f>
        <v>235.86</v>
      </c>
      <c r="CO43" s="4"/>
      <c r="CP43" s="4">
        <v>5</v>
      </c>
      <c r="CQ43" s="4"/>
      <c r="CR43" s="4">
        <f>1145.71+4749.36+3210.44+5.03</f>
        <v>9110.5400000000009</v>
      </c>
      <c r="CS43" s="4"/>
      <c r="CT43" s="4">
        <v>2578.64</v>
      </c>
      <c r="CU43" s="4">
        <v>16303</v>
      </c>
      <c r="CV43" s="4">
        <v>33.6</v>
      </c>
      <c r="CW43" s="4">
        <f>397.5+300+20185.61+216497.17+132</f>
        <v>237512.28000000003</v>
      </c>
      <c r="CX43" s="4">
        <v>1800</v>
      </c>
      <c r="CY43" s="4"/>
      <c r="CZ43" s="4"/>
      <c r="DA43" s="4"/>
      <c r="DB43" s="4"/>
      <c r="DC43" s="4">
        <v>72</v>
      </c>
      <c r="DD43" s="155">
        <f>59282.97+100+80.95+80.95</f>
        <v>59544.869999999995</v>
      </c>
      <c r="DE43" s="87">
        <v>71.8</v>
      </c>
      <c r="DF43" s="4"/>
      <c r="DG43" s="4">
        <f>29.97+7.5</f>
        <v>37.47</v>
      </c>
      <c r="DH43" s="4"/>
      <c r="DI43" s="4"/>
      <c r="DJ43" s="4"/>
      <c r="DK43" s="4"/>
      <c r="DL43" s="4"/>
      <c r="DM43" s="4"/>
      <c r="DN43" s="4">
        <v>1505.81</v>
      </c>
      <c r="DO43" s="4"/>
      <c r="DP43" s="4"/>
      <c r="DQ43" s="4"/>
      <c r="DR43" s="87">
        <f>19737.37</f>
        <v>19737.37</v>
      </c>
      <c r="DS43" s="4"/>
      <c r="DT43" s="4"/>
      <c r="DU43" s="4">
        <f>500000+438.8</f>
        <v>500438.8</v>
      </c>
      <c r="DV43" s="4"/>
      <c r="DW43" s="4">
        <f>500000</f>
        <v>500000</v>
      </c>
      <c r="DX43" s="4">
        <v>3</v>
      </c>
      <c r="DY43" s="4"/>
      <c r="DZ43" s="155">
        <f>300+300</f>
        <v>600</v>
      </c>
      <c r="EA43" s="4">
        <v>24</v>
      </c>
      <c r="EB43" s="4">
        <f>20+7.5</f>
        <v>27.5</v>
      </c>
      <c r="EC43" s="4"/>
      <c r="ED43" s="4"/>
      <c r="EE43" s="4"/>
      <c r="EF43" s="4"/>
      <c r="EG43" s="32"/>
      <c r="EH43" s="4">
        <v>5</v>
      </c>
      <c r="EI43" s="4">
        <v>426.15</v>
      </c>
      <c r="EJ43" s="4"/>
      <c r="EK43" s="74">
        <v>1142.72</v>
      </c>
      <c r="EL43" s="4"/>
      <c r="EM43" s="4">
        <v>1184912.32</v>
      </c>
      <c r="EN43" s="4"/>
      <c r="EO43" s="4">
        <f>200000+25</f>
        <v>200025</v>
      </c>
      <c r="EP43" s="4"/>
      <c r="EQ43" s="4"/>
      <c r="ER43" s="4">
        <v>11652</v>
      </c>
      <c r="ES43" s="4"/>
      <c r="ET43" s="4"/>
      <c r="EU43" s="155"/>
      <c r="EV43" s="4"/>
      <c r="EW43" s="4">
        <f>20+7.5</f>
        <v>27.5</v>
      </c>
      <c r="EX43" s="4"/>
      <c r="EY43" s="4"/>
      <c r="EZ43" s="4">
        <v>48061.81</v>
      </c>
      <c r="FA43" s="4"/>
      <c r="FB43" s="4"/>
      <c r="FC43" s="4">
        <f>4774.73</f>
        <v>4774.7299999999996</v>
      </c>
      <c r="FD43" s="4"/>
      <c r="FE43" s="189">
        <v>16</v>
      </c>
      <c r="FF43" s="4">
        <v>686.05</v>
      </c>
      <c r="FG43" s="4"/>
      <c r="FH43" s="4"/>
      <c r="FI43" s="189"/>
      <c r="FJ43" s="4"/>
      <c r="FK43" s="4"/>
      <c r="FL43" s="74"/>
      <c r="FM43" s="4"/>
      <c r="FN43" s="4"/>
      <c r="FO43" s="4">
        <f>367989.6+39496.27</f>
        <v>407485.87</v>
      </c>
      <c r="FP43" s="155">
        <f>27514.92+450</f>
        <v>27964.92</v>
      </c>
      <c r="FQ43" s="4"/>
      <c r="FR43" s="4">
        <v>25278.58</v>
      </c>
      <c r="FS43" s="4">
        <f>20+7.5+250000</f>
        <v>250027.5</v>
      </c>
      <c r="FT43" s="4"/>
      <c r="FU43" s="4">
        <v>250000</v>
      </c>
      <c r="FV43" s="4">
        <v>23893.94</v>
      </c>
      <c r="FW43" s="4">
        <v>23.7</v>
      </c>
      <c r="FX43" s="4"/>
      <c r="FY43" s="4"/>
      <c r="FZ43" s="189">
        <v>75000000</v>
      </c>
      <c r="GA43" s="4"/>
      <c r="GB43" s="4"/>
      <c r="GC43" s="4"/>
      <c r="GD43" s="4"/>
      <c r="GE43" s="4"/>
      <c r="GF43" s="4"/>
      <c r="GG43" s="4" t="s">
        <v>49</v>
      </c>
      <c r="GH43" s="4">
        <v>0</v>
      </c>
      <c r="GI43" s="4"/>
      <c r="GJ43" s="4">
        <v>115.25</v>
      </c>
      <c r="GK43" s="4">
        <v>6</v>
      </c>
      <c r="GL43" s="155">
        <f>62742.58</f>
        <v>62742.58</v>
      </c>
      <c r="GM43" s="4">
        <v>27.5</v>
      </c>
      <c r="GN43" s="4"/>
      <c r="GO43" s="4"/>
      <c r="GP43" s="4">
        <f>164.31+8956</f>
        <v>9120.31</v>
      </c>
      <c r="GQ43" s="4"/>
      <c r="GR43" s="4">
        <v>70.430000000000007</v>
      </c>
      <c r="GS43" s="4"/>
      <c r="GT43" s="4"/>
      <c r="GU43" s="123">
        <v>2895.81</v>
      </c>
      <c r="GV43" s="4"/>
      <c r="GW43" s="4">
        <v>1000</v>
      </c>
      <c r="GX43" s="4"/>
      <c r="GY43" s="4">
        <v>181.79</v>
      </c>
      <c r="GZ43" s="4"/>
      <c r="HA43" s="4"/>
      <c r="HB43" s="4"/>
      <c r="HC43" s="4"/>
      <c r="HD43" s="155">
        <f>31.25+439.92</f>
        <v>471.17</v>
      </c>
      <c r="HE43" s="4"/>
      <c r="HF43" s="4"/>
      <c r="HG43" s="4">
        <f>20+7.5</f>
        <v>27.5</v>
      </c>
      <c r="HH43" s="4"/>
      <c r="HI43" s="4"/>
      <c r="HJ43" s="4"/>
      <c r="HK43" s="4">
        <v>18</v>
      </c>
      <c r="HL43" s="4"/>
      <c r="HM43" s="4">
        <f>10+76.05</f>
        <v>86.05</v>
      </c>
      <c r="HN43" s="130"/>
      <c r="HO43" s="74">
        <f>1300000+10</f>
        <v>1300010</v>
      </c>
      <c r="HP43" s="4"/>
      <c r="HQ43" s="4"/>
      <c r="HR43" s="4"/>
      <c r="HS43" s="4">
        <v>59451.79</v>
      </c>
      <c r="HT43" s="4"/>
      <c r="HU43" s="4"/>
      <c r="HV43" s="4"/>
      <c r="HW43" s="4"/>
      <c r="HX43" s="4">
        <v>742</v>
      </c>
      <c r="HY43" s="4"/>
      <c r="HZ43" s="155"/>
      <c r="IA43" s="4"/>
      <c r="IB43" s="4">
        <f>20+7.5</f>
        <v>27.5</v>
      </c>
      <c r="IC43" s="4"/>
      <c r="ID43" s="4">
        <v>60</v>
      </c>
      <c r="IE43" s="4"/>
      <c r="IF43" s="4">
        <f>68688.03+3</f>
        <v>68691.03</v>
      </c>
      <c r="IG43" s="4"/>
      <c r="IH43" s="102"/>
      <c r="II43" s="4"/>
      <c r="IJ43" s="4"/>
      <c r="IK43" s="4"/>
      <c r="IL43" s="4"/>
      <c r="IM43" s="4"/>
      <c r="IN43" s="4">
        <v>2092095.3</v>
      </c>
      <c r="IO43" s="4"/>
      <c r="IP43" s="4"/>
      <c r="IQ43" s="4">
        <v>5000</v>
      </c>
      <c r="IR43" s="4"/>
      <c r="IS43" s="4"/>
      <c r="IT43" s="155">
        <v>81641.440000000002</v>
      </c>
      <c r="IU43" s="4">
        <f t="shared" si="9"/>
        <v>515422283.84000009</v>
      </c>
    </row>
    <row r="44" spans="1:256" ht="14.1" customHeight="1">
      <c r="A44" s="4" t="s">
        <v>44</v>
      </c>
      <c r="B44" s="4"/>
      <c r="C44" s="155">
        <v>611084.66</v>
      </c>
      <c r="D44" s="4">
        <v>765434.01</v>
      </c>
      <c r="E44" s="4">
        <v>3817576.95</v>
      </c>
      <c r="F44" s="4">
        <v>776622.67</v>
      </c>
      <c r="G44" s="4">
        <v>1543938.84</v>
      </c>
      <c r="H44" s="4">
        <v>800349.39</v>
      </c>
      <c r="I44" s="4">
        <v>2107758.37</v>
      </c>
      <c r="J44" s="4">
        <v>1154122.3</v>
      </c>
      <c r="K44" s="4">
        <v>3711712.23</v>
      </c>
      <c r="L44" s="4">
        <v>738955.99</v>
      </c>
      <c r="M44" s="4">
        <v>1183066.6599999999</v>
      </c>
      <c r="N44" s="189">
        <v>639954.44999999995</v>
      </c>
      <c r="O44" s="4">
        <v>3122410.75</v>
      </c>
      <c r="P44" s="4">
        <v>1556600</v>
      </c>
      <c r="Q44" s="4">
        <v>6697202.0599999996</v>
      </c>
      <c r="R44" s="4">
        <v>930761.56</v>
      </c>
      <c r="S44" s="4">
        <v>2950421.35</v>
      </c>
      <c r="T44" s="4">
        <v>1342746.27</v>
      </c>
      <c r="U44" s="4">
        <v>2688550.71</v>
      </c>
      <c r="V44" s="4">
        <v>725125.63</v>
      </c>
      <c r="W44" s="155">
        <v>826630.92</v>
      </c>
      <c r="X44" s="4">
        <v>1339070.6000000001</v>
      </c>
      <c r="Y44" s="4">
        <v>1655640.94</v>
      </c>
      <c r="Z44" s="4">
        <v>4302609.22</v>
      </c>
      <c r="AA44" s="4">
        <v>414580.93</v>
      </c>
      <c r="AB44" s="4">
        <v>609976.85</v>
      </c>
      <c r="AC44" s="4">
        <v>4793218.26</v>
      </c>
      <c r="AD44" s="4">
        <v>1671319.32</v>
      </c>
      <c r="AE44" s="4">
        <v>1140658.18</v>
      </c>
      <c r="AF44" s="189">
        <v>766807.12</v>
      </c>
      <c r="AG44" s="4">
        <v>834142.57</v>
      </c>
      <c r="AH44" s="4">
        <v>548668.35</v>
      </c>
      <c r="AI44" s="4">
        <v>910766.1</v>
      </c>
      <c r="AJ44" s="4">
        <v>2024850.68</v>
      </c>
      <c r="AK44" s="4">
        <v>159844.53</v>
      </c>
      <c r="AL44" s="4">
        <v>674376.21</v>
      </c>
      <c r="AM44" s="4">
        <v>1070013.96</v>
      </c>
      <c r="AN44" s="4">
        <v>486263.45</v>
      </c>
      <c r="AO44" s="4">
        <v>3460478.87</v>
      </c>
      <c r="AP44" s="4">
        <v>1135479.17</v>
      </c>
      <c r="AQ44" s="4">
        <v>2233382.71</v>
      </c>
      <c r="AR44" s="155">
        <v>2158287.85</v>
      </c>
      <c r="AS44" s="4">
        <v>1660689</v>
      </c>
      <c r="AT44" s="4">
        <v>794806.14</v>
      </c>
      <c r="AU44" s="4">
        <v>2330408.6800000002</v>
      </c>
      <c r="AV44" s="189">
        <v>3942149.25</v>
      </c>
      <c r="AW44" s="4">
        <v>4320561.63</v>
      </c>
      <c r="AX44" s="4">
        <v>631979.31000000006</v>
      </c>
      <c r="AY44" s="4">
        <v>1963618.18</v>
      </c>
      <c r="AZ44" s="4">
        <v>700256.9</v>
      </c>
      <c r="BA44" s="4">
        <v>4636395.08</v>
      </c>
      <c r="BB44" s="4">
        <v>3331576.25</v>
      </c>
      <c r="BC44" s="4">
        <v>2319666.64</v>
      </c>
      <c r="BD44" s="4">
        <v>1826187.59</v>
      </c>
      <c r="BE44" s="4">
        <v>2377880.54</v>
      </c>
      <c r="BF44" s="4">
        <v>670839.17000000004</v>
      </c>
      <c r="BG44" s="4">
        <v>1820704.39</v>
      </c>
      <c r="BH44" s="4">
        <v>1357163.87</v>
      </c>
      <c r="BI44" s="4">
        <v>1558735.29</v>
      </c>
      <c r="BJ44" s="4">
        <v>3621268.98</v>
      </c>
      <c r="BK44" s="4">
        <v>697708.75</v>
      </c>
      <c r="BL44" s="4">
        <v>5250430.17</v>
      </c>
      <c r="BM44" s="4">
        <v>1483422.25</v>
      </c>
      <c r="BN44" s="155">
        <v>760250.87</v>
      </c>
      <c r="BO44" s="4">
        <v>658027.68000000005</v>
      </c>
      <c r="BP44" s="4">
        <v>403852.22</v>
      </c>
      <c r="BQ44" s="4">
        <v>2705066.54</v>
      </c>
      <c r="BR44" s="4">
        <v>584621.22</v>
      </c>
      <c r="BS44" s="4">
        <v>990405.04</v>
      </c>
      <c r="BT44" s="4">
        <v>918887.55</v>
      </c>
      <c r="BU44" s="4">
        <v>702665.82</v>
      </c>
      <c r="BV44" s="4">
        <v>5734573.71</v>
      </c>
      <c r="BW44" s="4">
        <v>699598.97</v>
      </c>
      <c r="BX44" s="4">
        <v>772893.7</v>
      </c>
      <c r="BY44" s="4">
        <v>1425588.81</v>
      </c>
      <c r="BZ44" s="4">
        <v>2701815.5</v>
      </c>
      <c r="CA44" s="4">
        <v>6953492.8399999999</v>
      </c>
      <c r="CB44" s="4">
        <v>1334487.6599999999</v>
      </c>
      <c r="CC44" s="4">
        <v>2481940.7200000002</v>
      </c>
      <c r="CD44" s="4">
        <v>1064427.79</v>
      </c>
      <c r="CE44" s="4">
        <v>857268.13</v>
      </c>
      <c r="CF44" s="4">
        <v>5419600.1100000003</v>
      </c>
      <c r="CG44" s="4">
        <v>1491918.82</v>
      </c>
      <c r="CH44" s="4">
        <v>1210821.31</v>
      </c>
      <c r="CI44" s="155">
        <v>552138.94999999995</v>
      </c>
      <c r="CJ44" s="4">
        <v>3102725.22</v>
      </c>
      <c r="CK44" s="4">
        <v>2720463.33</v>
      </c>
      <c r="CL44" s="4">
        <v>4881054.67</v>
      </c>
      <c r="CM44" s="4">
        <v>620815.31999999995</v>
      </c>
      <c r="CN44" s="4">
        <v>5461732.7599999998</v>
      </c>
      <c r="CO44" s="4">
        <v>2143886.37</v>
      </c>
      <c r="CP44" s="4">
        <v>2192737.63</v>
      </c>
      <c r="CQ44" s="4">
        <v>1226424.6599999999</v>
      </c>
      <c r="CR44" s="4">
        <v>975490.5</v>
      </c>
      <c r="CS44" s="4">
        <v>1678969.15</v>
      </c>
      <c r="CT44" s="4">
        <v>980994.35</v>
      </c>
      <c r="CU44" s="4">
        <v>1421661.18</v>
      </c>
      <c r="CV44" s="4">
        <v>2307799.0499999998</v>
      </c>
      <c r="CW44" s="4">
        <v>2231195.09</v>
      </c>
      <c r="CX44" s="4">
        <v>2304114.5699999998</v>
      </c>
      <c r="CY44" s="4">
        <v>4990861.46</v>
      </c>
      <c r="CZ44" s="4">
        <v>2179350.85</v>
      </c>
      <c r="DA44" s="4">
        <v>1701388.08</v>
      </c>
      <c r="DB44" s="4">
        <v>4553734.1100000003</v>
      </c>
      <c r="DC44" s="4">
        <v>3877515.89</v>
      </c>
      <c r="DD44" s="155">
        <v>3360974.06</v>
      </c>
      <c r="DE44" s="87">
        <v>1385534.83</v>
      </c>
      <c r="DF44" s="4">
        <v>1972941.46</v>
      </c>
      <c r="DG44" s="4">
        <v>486056.32</v>
      </c>
      <c r="DH44" s="4">
        <v>2530412.12</v>
      </c>
      <c r="DI44" s="4">
        <v>1779200.26</v>
      </c>
      <c r="DJ44" s="4">
        <v>283062.01</v>
      </c>
      <c r="DK44" s="4">
        <v>561058.29</v>
      </c>
      <c r="DL44" s="4">
        <v>63847.18</v>
      </c>
      <c r="DM44" s="4">
        <v>464780.52</v>
      </c>
      <c r="DN44" s="4">
        <v>124619.88</v>
      </c>
      <c r="DO44" s="4">
        <v>790943.5</v>
      </c>
      <c r="DP44" s="4">
        <v>167398.63</v>
      </c>
      <c r="DQ44" s="4">
        <v>211679.49</v>
      </c>
      <c r="DR44" s="87">
        <v>250638.37</v>
      </c>
      <c r="DS44" s="4">
        <v>794104.62</v>
      </c>
      <c r="DT44" s="4">
        <v>904800.13</v>
      </c>
      <c r="DU44" s="4">
        <v>1334562.94</v>
      </c>
      <c r="DV44" s="4">
        <v>1486465.25</v>
      </c>
      <c r="DW44" s="4">
        <v>1676533.89</v>
      </c>
      <c r="DX44" s="4">
        <v>724639.02</v>
      </c>
      <c r="DY44" s="4">
        <v>624922.07999999996</v>
      </c>
      <c r="DZ44" s="155">
        <v>4909178.76</v>
      </c>
      <c r="EA44" s="4">
        <v>1541239.6</v>
      </c>
      <c r="EB44" s="4">
        <v>3340527.16</v>
      </c>
      <c r="EC44" s="4">
        <v>1755278.74</v>
      </c>
      <c r="ED44" s="4">
        <v>1328966.1599999999</v>
      </c>
      <c r="EE44" s="4">
        <v>881855.62</v>
      </c>
      <c r="EF44" s="4">
        <v>2531796.09</v>
      </c>
      <c r="EG44" s="32">
        <v>611924.43000000005</v>
      </c>
      <c r="EH44" s="4">
        <v>286115.53000000003</v>
      </c>
      <c r="EI44" s="4">
        <v>620200.68000000005</v>
      </c>
      <c r="EJ44" s="4">
        <v>1548137.56</v>
      </c>
      <c r="EK44" s="74">
        <v>2521337.38</v>
      </c>
      <c r="EL44" s="4">
        <v>1668898.17</v>
      </c>
      <c r="EM44" s="4">
        <v>337731.85</v>
      </c>
      <c r="EN44" s="4">
        <v>502965.99</v>
      </c>
      <c r="EO44" s="4">
        <v>671303.93</v>
      </c>
      <c r="EP44" s="4">
        <v>892815.21</v>
      </c>
      <c r="EQ44" s="4">
        <v>4777642.8</v>
      </c>
      <c r="ER44" s="4">
        <v>215855.19</v>
      </c>
      <c r="ES44" s="4">
        <v>1048571.83</v>
      </c>
      <c r="ET44" s="4">
        <v>341434.13</v>
      </c>
      <c r="EU44" s="155">
        <v>1024527.66</v>
      </c>
      <c r="EV44" s="4">
        <v>2068895.57</v>
      </c>
      <c r="EW44" s="4">
        <v>1586563.44</v>
      </c>
      <c r="EX44" s="4">
        <v>660379.49</v>
      </c>
      <c r="EY44" s="4">
        <v>1578385.3</v>
      </c>
      <c r="EZ44" s="4">
        <v>176195.06</v>
      </c>
      <c r="FA44" s="4">
        <v>1123772.8</v>
      </c>
      <c r="FB44" s="4">
        <v>439911.1</v>
      </c>
      <c r="FC44" s="4">
        <v>819056.99</v>
      </c>
      <c r="FD44" s="4">
        <v>340113.95</v>
      </c>
      <c r="FE44" s="189">
        <v>1852924.11</v>
      </c>
      <c r="FF44" s="4">
        <v>599674.65</v>
      </c>
      <c r="FG44" s="4">
        <v>5117747.22</v>
      </c>
      <c r="FH44" s="4">
        <v>1541204.43</v>
      </c>
      <c r="FI44" s="189">
        <v>1159507.92</v>
      </c>
      <c r="FJ44" s="4">
        <v>1017646.81</v>
      </c>
      <c r="FK44" s="4">
        <v>1571392.63</v>
      </c>
      <c r="FL44" s="74">
        <v>1321136.28</v>
      </c>
      <c r="FM44" s="4">
        <v>993059.05</v>
      </c>
      <c r="FN44" s="4">
        <v>600356.44999999995</v>
      </c>
      <c r="FO44" s="4">
        <v>1414773.08</v>
      </c>
      <c r="FP44" s="155">
        <v>3533229.05</v>
      </c>
      <c r="FQ44" s="4">
        <v>1108737.3999999999</v>
      </c>
      <c r="FR44" s="4">
        <v>860753.89</v>
      </c>
      <c r="FS44" s="4">
        <v>2053851.18</v>
      </c>
      <c r="FT44" s="4">
        <v>1436801.71</v>
      </c>
      <c r="FU44" s="4">
        <v>3537473.93</v>
      </c>
      <c r="FV44" s="4">
        <v>285657.86</v>
      </c>
      <c r="FW44" s="4">
        <v>384577.41</v>
      </c>
      <c r="FX44" s="4">
        <v>635727.25</v>
      </c>
      <c r="FY44" s="4">
        <v>1308013.58</v>
      </c>
      <c r="FZ44" s="189">
        <v>1660185.63</v>
      </c>
      <c r="GA44" s="4">
        <v>1476279.25</v>
      </c>
      <c r="GB44" s="4">
        <v>1755290.55</v>
      </c>
      <c r="GC44" s="4">
        <v>6257352.6399999997</v>
      </c>
      <c r="GD44" s="4">
        <v>930134.78</v>
      </c>
      <c r="GE44" s="4">
        <v>1649742.72</v>
      </c>
      <c r="GF44" s="4">
        <v>1090163.19</v>
      </c>
      <c r="GG44" s="4">
        <v>1087787.45</v>
      </c>
      <c r="GH44" s="4">
        <v>2844364.28</v>
      </c>
      <c r="GI44" s="4">
        <v>1745382.12</v>
      </c>
      <c r="GJ44" s="4">
        <v>901723.59</v>
      </c>
      <c r="GK44" s="4">
        <v>1428925.52</v>
      </c>
      <c r="GL44" s="155">
        <v>1097893.31</v>
      </c>
      <c r="GM44" s="4">
        <v>2349855.42</v>
      </c>
      <c r="GN44" s="4">
        <v>956167.04</v>
      </c>
      <c r="GO44" s="4">
        <v>1043579.12</v>
      </c>
      <c r="GP44" s="4">
        <v>919623.63</v>
      </c>
      <c r="GQ44" s="4">
        <v>612671.66</v>
      </c>
      <c r="GR44" s="4">
        <v>1691004.72</v>
      </c>
      <c r="GS44" s="4">
        <v>1758197.02</v>
      </c>
      <c r="GT44" s="4">
        <v>794373.96</v>
      </c>
      <c r="GU44" s="123">
        <v>479157.69</v>
      </c>
      <c r="GV44" s="4">
        <v>3375977.59</v>
      </c>
      <c r="GW44" s="4">
        <v>705223.64</v>
      </c>
      <c r="GX44" s="4">
        <v>851725.14</v>
      </c>
      <c r="GY44" s="4">
        <v>410040.11</v>
      </c>
      <c r="GZ44" s="4">
        <v>662181</v>
      </c>
      <c r="HA44" s="4">
        <v>8024166.8300000001</v>
      </c>
      <c r="HB44" s="4">
        <v>452083.49</v>
      </c>
      <c r="HC44" s="4">
        <v>960365.73</v>
      </c>
      <c r="HD44" s="155">
        <v>266871.90000000002</v>
      </c>
      <c r="HE44" s="4">
        <v>630608.22</v>
      </c>
      <c r="HF44" s="4">
        <v>956468.73</v>
      </c>
      <c r="HG44" s="4">
        <v>746813.05</v>
      </c>
      <c r="HH44" s="4">
        <v>328240.11</v>
      </c>
      <c r="HI44" s="4">
        <v>440410.41</v>
      </c>
      <c r="HJ44" s="4">
        <v>2130524.37</v>
      </c>
      <c r="HK44" s="4">
        <v>3148565.03</v>
      </c>
      <c r="HL44" s="4">
        <v>408283.52</v>
      </c>
      <c r="HM44" s="4">
        <v>421267.69</v>
      </c>
      <c r="HN44" s="130">
        <v>364804.21</v>
      </c>
      <c r="HO44" s="74">
        <v>3049176.48</v>
      </c>
      <c r="HP44" s="4">
        <v>528598.29</v>
      </c>
      <c r="HQ44" s="4">
        <v>817415.27</v>
      </c>
      <c r="HR44" s="4">
        <v>173672.28</v>
      </c>
      <c r="HS44" s="4">
        <v>596728.65</v>
      </c>
      <c r="HT44" s="4">
        <v>4872409.16</v>
      </c>
      <c r="HU44" s="4">
        <v>3241560.46</v>
      </c>
      <c r="HV44" s="4">
        <v>1946454.79</v>
      </c>
      <c r="HW44" s="4">
        <v>3662763.28</v>
      </c>
      <c r="HX44" s="4">
        <v>1554873.12</v>
      </c>
      <c r="HY44" s="4">
        <v>630041.02</v>
      </c>
      <c r="HZ44" s="155">
        <v>1246787.2</v>
      </c>
      <c r="IA44" s="4">
        <v>1451545.46</v>
      </c>
      <c r="IB44" s="4">
        <v>880948.44</v>
      </c>
      <c r="IC44" s="4">
        <v>215337.73</v>
      </c>
      <c r="ID44" s="4">
        <v>394924.4</v>
      </c>
      <c r="IE44" s="4">
        <v>278501.40999999997</v>
      </c>
      <c r="IF44" s="4">
        <v>57944.26</v>
      </c>
      <c r="IG44" s="4">
        <v>1392115.55</v>
      </c>
      <c r="IH44" s="102">
        <v>811740.14</v>
      </c>
      <c r="II44" s="4">
        <v>246594.73</v>
      </c>
      <c r="IJ44" s="4">
        <v>1166223.2</v>
      </c>
      <c r="IK44" s="4">
        <v>491981.54</v>
      </c>
      <c r="IL44" s="4">
        <v>1232508.8600000001</v>
      </c>
      <c r="IM44" s="4">
        <v>2245511.4900000002</v>
      </c>
      <c r="IN44" s="4">
        <v>573602.84</v>
      </c>
      <c r="IO44" s="4">
        <v>351153.86</v>
      </c>
      <c r="IP44" s="4">
        <v>1277092.1200000001</v>
      </c>
      <c r="IQ44" s="4">
        <v>18963417.57</v>
      </c>
      <c r="IR44" s="4">
        <v>673981.93</v>
      </c>
      <c r="IS44" s="4">
        <v>1512069.2</v>
      </c>
      <c r="IT44" s="155">
        <v>420666.56</v>
      </c>
      <c r="IU44" s="4">
        <f t="shared" si="9"/>
        <v>422981899.50000006</v>
      </c>
    </row>
    <row r="45" spans="1:256" ht="14.1" customHeight="1">
      <c r="A45" s="4" t="s">
        <v>45</v>
      </c>
      <c r="B45" s="4"/>
      <c r="C45" s="155">
        <v>16752.55</v>
      </c>
      <c r="D45" s="4">
        <v>13946.61</v>
      </c>
      <c r="E45" s="4">
        <v>8436.8700000000008</v>
      </c>
      <c r="F45" s="4">
        <v>5231.74</v>
      </c>
      <c r="G45" s="4">
        <v>8866.7099999999991</v>
      </c>
      <c r="H45" s="4">
        <v>5185.87</v>
      </c>
      <c r="I45" s="4">
        <v>2877348.41</v>
      </c>
      <c r="J45" s="4">
        <v>25084.07</v>
      </c>
      <c r="K45" s="4">
        <v>21992.25</v>
      </c>
      <c r="L45" s="4">
        <v>64605.07</v>
      </c>
      <c r="M45" s="4">
        <v>4116.7</v>
      </c>
      <c r="N45" s="189">
        <v>55502241.850000001</v>
      </c>
      <c r="O45" s="4">
        <v>232620.13</v>
      </c>
      <c r="P45" s="4">
        <v>123246.38</v>
      </c>
      <c r="Q45" s="4">
        <v>250606.52</v>
      </c>
      <c r="R45" s="4">
        <v>164460.54999999999</v>
      </c>
      <c r="S45" s="4">
        <v>3228817.81</v>
      </c>
      <c r="T45" s="4">
        <v>84016.83</v>
      </c>
      <c r="U45" s="4">
        <v>95920.52</v>
      </c>
      <c r="V45" s="4">
        <v>40709.1</v>
      </c>
      <c r="W45" s="155">
        <v>54693.74</v>
      </c>
      <c r="X45" s="4">
        <v>49685.11</v>
      </c>
      <c r="Y45" s="4">
        <v>19919.400000000001</v>
      </c>
      <c r="Z45" s="4">
        <v>14122.13</v>
      </c>
      <c r="AA45" s="4">
        <v>2173.46</v>
      </c>
      <c r="AB45" s="4">
        <v>3205389.47</v>
      </c>
      <c r="AC45" s="4">
        <v>31676</v>
      </c>
      <c r="AD45" s="4">
        <v>28390.69</v>
      </c>
      <c r="AE45" s="4">
        <v>17586.86</v>
      </c>
      <c r="AF45" s="189">
        <v>56580535.850000001</v>
      </c>
      <c r="AG45" s="4">
        <v>85275</v>
      </c>
      <c r="AH45" s="4">
        <v>91677.23</v>
      </c>
      <c r="AI45" s="4">
        <v>61522.5</v>
      </c>
      <c r="AJ45" s="4">
        <v>36870.49</v>
      </c>
      <c r="AK45" s="4">
        <v>213903.74</v>
      </c>
      <c r="AL45" s="4">
        <v>2777065.92</v>
      </c>
      <c r="AM45" s="4">
        <v>130971.09</v>
      </c>
      <c r="AN45" s="4">
        <v>53888.88</v>
      </c>
      <c r="AO45" s="4">
        <v>151807.34</v>
      </c>
      <c r="AP45" s="4">
        <v>3099.22</v>
      </c>
      <c r="AQ45" s="4">
        <v>11517.3</v>
      </c>
      <c r="AR45" s="155">
        <v>22994.400000000001</v>
      </c>
      <c r="AS45" s="4">
        <v>9174.15</v>
      </c>
      <c r="AT45" s="4">
        <v>29099.05</v>
      </c>
      <c r="AU45" s="4">
        <v>451.73</v>
      </c>
      <c r="AV45" s="189">
        <v>2838640.58</v>
      </c>
      <c r="AW45" s="4">
        <v>15196.48</v>
      </c>
      <c r="AX45" s="4">
        <v>19407.91</v>
      </c>
      <c r="AY45" s="4">
        <v>58722.14</v>
      </c>
      <c r="AZ45" s="4">
        <v>14266.25</v>
      </c>
      <c r="BA45" s="4">
        <v>13145.79</v>
      </c>
      <c r="BB45" s="4">
        <v>24019.35</v>
      </c>
      <c r="BC45" s="4">
        <v>55070015.07</v>
      </c>
      <c r="BD45" s="4">
        <v>125537.81</v>
      </c>
      <c r="BE45" s="4">
        <v>97315.88</v>
      </c>
      <c r="BF45" s="4">
        <v>3480980.17</v>
      </c>
      <c r="BG45" s="4">
        <v>225058.35</v>
      </c>
      <c r="BH45" s="4">
        <v>64157.07</v>
      </c>
      <c r="BI45" s="4">
        <v>145298.43</v>
      </c>
      <c r="BJ45" s="4">
        <v>35179.019999999997</v>
      </c>
      <c r="BK45" s="4">
        <v>18972.57</v>
      </c>
      <c r="BL45" s="4">
        <v>10795.9</v>
      </c>
      <c r="BM45" s="4">
        <v>15505.24</v>
      </c>
      <c r="BN45" s="155">
        <v>20093.66</v>
      </c>
      <c r="BO45" s="4">
        <v>11164.44</v>
      </c>
      <c r="BP45" s="4">
        <v>3335969.87</v>
      </c>
      <c r="BQ45" s="4">
        <v>16596.400000000001</v>
      </c>
      <c r="BR45" s="4">
        <v>76376.929999999993</v>
      </c>
      <c r="BS45" s="4">
        <v>8713.01</v>
      </c>
      <c r="BT45" s="4">
        <v>8928.81</v>
      </c>
      <c r="BU45" s="4">
        <v>10873.89</v>
      </c>
      <c r="BV45" s="4">
        <v>3821.34</v>
      </c>
      <c r="BW45" s="4">
        <v>9329.43</v>
      </c>
      <c r="BX45" s="4">
        <v>22017.919999999998</v>
      </c>
      <c r="BY45" s="4">
        <v>57949630.82</v>
      </c>
      <c r="BZ45" s="4">
        <v>3458084.75</v>
      </c>
      <c r="CA45" s="4">
        <v>161461.71</v>
      </c>
      <c r="CB45" s="4">
        <v>375220.37</v>
      </c>
      <c r="CC45" s="4">
        <v>165926.62</v>
      </c>
      <c r="CD45" s="4">
        <v>26226.34</v>
      </c>
      <c r="CE45" s="4">
        <v>21661.360000000001</v>
      </c>
      <c r="CF45" s="4">
        <v>16026.98</v>
      </c>
      <c r="CG45" s="4">
        <v>64223.19</v>
      </c>
      <c r="CH45" s="4">
        <v>19172.810000000001</v>
      </c>
      <c r="CI45" s="155">
        <v>3524298.32</v>
      </c>
      <c r="CJ45" s="4">
        <v>83564.800000000003</v>
      </c>
      <c r="CK45" s="4">
        <v>31744.16</v>
      </c>
      <c r="CL45" s="4">
        <v>51296.87</v>
      </c>
      <c r="CM45" s="4">
        <v>10842.23</v>
      </c>
      <c r="CN45" s="4">
        <v>18863.59</v>
      </c>
      <c r="CO45" s="4">
        <v>6159.17</v>
      </c>
      <c r="CP45" s="4">
        <v>11063.62</v>
      </c>
      <c r="CQ45" s="4">
        <v>617.02</v>
      </c>
      <c r="CR45" s="4">
        <v>1896.68</v>
      </c>
      <c r="CS45" s="4">
        <v>58346530.219999999</v>
      </c>
      <c r="CT45" s="4">
        <v>103344.34</v>
      </c>
      <c r="CU45" s="4">
        <v>217826.05</v>
      </c>
      <c r="CV45" s="4">
        <v>303587.05</v>
      </c>
      <c r="CW45" s="4">
        <v>218522.35</v>
      </c>
      <c r="CX45" s="4">
        <v>67982.95</v>
      </c>
      <c r="CY45" s="4">
        <v>39921.589999999997</v>
      </c>
      <c r="CZ45" s="4">
        <v>23564.44</v>
      </c>
      <c r="DA45" s="4">
        <v>394076.03</v>
      </c>
      <c r="DB45" s="4">
        <v>21662.76</v>
      </c>
      <c r="DC45" s="4">
        <v>1971238.87</v>
      </c>
      <c r="DD45" s="155">
        <v>166123.17000000001</v>
      </c>
      <c r="DE45" s="87">
        <v>74088.179999999993</v>
      </c>
      <c r="DF45" s="4">
        <v>5659.46</v>
      </c>
      <c r="DG45" s="4">
        <v>4289.6899999999996</v>
      </c>
      <c r="DH45" s="4">
        <v>3542.7</v>
      </c>
      <c r="DI45" s="4">
        <v>5110.18</v>
      </c>
      <c r="DJ45" s="4">
        <v>2580.6799999999998</v>
      </c>
      <c r="DK45" s="4">
        <v>742.09</v>
      </c>
      <c r="DL45" s="4">
        <v>1766953.28</v>
      </c>
      <c r="DM45" s="4">
        <v>14104.66</v>
      </c>
      <c r="DN45" s="4">
        <v>60200844.030000001</v>
      </c>
      <c r="DO45" s="4">
        <v>280628.34000000003</v>
      </c>
      <c r="DP45" s="4">
        <v>88453.440000000002</v>
      </c>
      <c r="DQ45" s="4">
        <v>1777567.59</v>
      </c>
      <c r="DR45" s="87">
        <v>157190.29999999999</v>
      </c>
      <c r="DS45" s="4">
        <v>86640.99</v>
      </c>
      <c r="DT45" s="4">
        <v>48701.84</v>
      </c>
      <c r="DU45" s="4">
        <v>29559.27</v>
      </c>
      <c r="DV45" s="4">
        <v>1756571.96</v>
      </c>
      <c r="DW45" s="4">
        <v>29435.81</v>
      </c>
      <c r="DX45" s="4">
        <v>28154.54</v>
      </c>
      <c r="DY45" s="4">
        <v>47232.78</v>
      </c>
      <c r="DZ45" s="155">
        <v>4926.6499999999996</v>
      </c>
      <c r="EA45" s="4">
        <v>10404.120000000001</v>
      </c>
      <c r="EB45" s="4">
        <v>4094.8</v>
      </c>
      <c r="EC45" s="4">
        <v>288831.32</v>
      </c>
      <c r="ED45" s="4">
        <v>65558.19</v>
      </c>
      <c r="EE45" s="4">
        <v>82.58</v>
      </c>
      <c r="EF45" s="4">
        <v>1915897.8</v>
      </c>
      <c r="EG45" s="32">
        <v>14365.34</v>
      </c>
      <c r="EH45" s="4">
        <v>14611.79</v>
      </c>
      <c r="EI45" s="4">
        <v>41275.25</v>
      </c>
      <c r="EJ45" s="4">
        <v>1598.7</v>
      </c>
      <c r="EK45" s="74">
        <v>56206255.700000003</v>
      </c>
      <c r="EL45" s="4">
        <v>280789.83</v>
      </c>
      <c r="EM45" s="4">
        <v>-10551.43</v>
      </c>
      <c r="EN45" s="4">
        <v>365029.87</v>
      </c>
      <c r="EO45" s="4">
        <v>31810.38</v>
      </c>
      <c r="EP45" s="4">
        <v>2106658.0099999998</v>
      </c>
      <c r="EQ45" s="4">
        <v>74002.179999999993</v>
      </c>
      <c r="ER45" s="4">
        <v>140633.34</v>
      </c>
      <c r="ES45" s="4">
        <v>1467023.49</v>
      </c>
      <c r="ET45" s="4">
        <v>53505.78</v>
      </c>
      <c r="EU45" s="155">
        <v>175176.77</v>
      </c>
      <c r="EV45" s="4">
        <v>103398.41</v>
      </c>
      <c r="EW45" s="4">
        <v>61065.89</v>
      </c>
      <c r="EX45" s="4">
        <v>27682.18</v>
      </c>
      <c r="EY45" s="4">
        <v>2642582.4500000002</v>
      </c>
      <c r="EZ45" s="4">
        <v>48119.02</v>
      </c>
      <c r="FA45" s="4">
        <v>58648.11</v>
      </c>
      <c r="FB45" s="4">
        <v>69752.78</v>
      </c>
      <c r="FC45" s="4">
        <v>7275.42</v>
      </c>
      <c r="FD45" s="4">
        <v>21580.14</v>
      </c>
      <c r="FE45" s="189">
        <v>56888969.189999998</v>
      </c>
      <c r="FF45" s="4">
        <v>140399.29</v>
      </c>
      <c r="FG45" s="4">
        <v>228332.42</v>
      </c>
      <c r="FH45" s="4">
        <v>300388.34000000003</v>
      </c>
      <c r="FI45" s="189">
        <v>2846644.81</v>
      </c>
      <c r="FJ45" s="4">
        <v>139407.15</v>
      </c>
      <c r="FK45" s="4">
        <v>58880.21</v>
      </c>
      <c r="FL45" s="74">
        <v>757497.53</v>
      </c>
      <c r="FM45" s="4">
        <v>54538.35</v>
      </c>
      <c r="FN45" s="4">
        <v>69372.600000000006</v>
      </c>
      <c r="FO45" s="4">
        <v>48521.42</v>
      </c>
      <c r="FP45" s="155">
        <v>17420.32</v>
      </c>
      <c r="FQ45" s="4">
        <v>9464.92</v>
      </c>
      <c r="FR45" s="4">
        <v>6594.39</v>
      </c>
      <c r="FS45" s="4">
        <v>2910093.65</v>
      </c>
      <c r="FT45" s="4">
        <v>30266.71</v>
      </c>
      <c r="FU45" s="4">
        <v>27736.97</v>
      </c>
      <c r="FV45" s="4">
        <v>58123.4</v>
      </c>
      <c r="FW45" s="4">
        <v>4968.93</v>
      </c>
      <c r="FX45" s="4">
        <v>19875.509999999998</v>
      </c>
      <c r="FY45" s="4">
        <v>26796.43</v>
      </c>
      <c r="FZ45" s="189">
        <v>60022720.060000002</v>
      </c>
      <c r="GA45" s="4">
        <v>160572.94</v>
      </c>
      <c r="GB45" s="4">
        <v>3251937.27</v>
      </c>
      <c r="GC45" s="4">
        <v>77289.149999999994</v>
      </c>
      <c r="GD45" s="4">
        <v>184233.28</v>
      </c>
      <c r="GE45" s="4">
        <v>154844.60999999999</v>
      </c>
      <c r="GF45" s="4">
        <v>52843.199999999997</v>
      </c>
      <c r="GG45" s="4">
        <v>16639.18</v>
      </c>
      <c r="GH45" s="4">
        <v>13275.18</v>
      </c>
      <c r="GI45" s="4">
        <v>11435.61</v>
      </c>
      <c r="GJ45" s="4">
        <v>16379</v>
      </c>
      <c r="GK45" s="4">
        <v>3280.7</v>
      </c>
      <c r="GL45" s="155">
        <v>3135679.58</v>
      </c>
      <c r="GM45" s="4">
        <v>49064.88</v>
      </c>
      <c r="GN45" s="4">
        <v>33169.599999999999</v>
      </c>
      <c r="GO45" s="4">
        <v>51006.77</v>
      </c>
      <c r="GP45" s="4">
        <v>5090.3100000000004</v>
      </c>
      <c r="GQ45" s="4">
        <v>16744.61</v>
      </c>
      <c r="GR45" s="4">
        <v>13542.54</v>
      </c>
      <c r="GS45" s="4">
        <v>1273.0999999999999</v>
      </c>
      <c r="GT45" s="4">
        <v>30356.65</v>
      </c>
      <c r="GU45" s="123">
        <v>60942294.060000002</v>
      </c>
      <c r="GV45" s="4">
        <v>188317.07</v>
      </c>
      <c r="GW45" s="4">
        <v>105262.23</v>
      </c>
      <c r="GX45" s="4">
        <v>326912.21999999997</v>
      </c>
      <c r="GY45" s="4">
        <v>158653.21</v>
      </c>
      <c r="GZ45" s="4">
        <v>63841.67</v>
      </c>
      <c r="HA45" s="4">
        <v>653975.78</v>
      </c>
      <c r="HB45" s="4">
        <v>40431.360000000001</v>
      </c>
      <c r="HC45" s="4">
        <v>2878680.85</v>
      </c>
      <c r="HD45" s="155">
        <v>26629.13</v>
      </c>
      <c r="HE45" s="4">
        <v>26529.86</v>
      </c>
      <c r="HF45" s="4">
        <v>11666.12</v>
      </c>
      <c r="HG45" s="4">
        <v>72138.33</v>
      </c>
      <c r="HH45" s="4">
        <v>24663.200000000001</v>
      </c>
      <c r="HI45" s="4">
        <v>18724.41</v>
      </c>
      <c r="HJ45" s="4">
        <v>13598.08</v>
      </c>
      <c r="HK45" s="4">
        <v>6909.23</v>
      </c>
      <c r="HL45" s="4">
        <v>9580.5499999999993</v>
      </c>
      <c r="HM45" s="4">
        <v>1709.11</v>
      </c>
      <c r="HN45" s="130">
        <v>2266804.44</v>
      </c>
      <c r="HO45" s="74">
        <v>59275628.909999996</v>
      </c>
      <c r="HP45" s="4">
        <v>159262.93</v>
      </c>
      <c r="HQ45" s="4">
        <v>134513.60000000001</v>
      </c>
      <c r="HR45" s="4">
        <v>260274.68</v>
      </c>
      <c r="HS45" s="4">
        <v>199888.19</v>
      </c>
      <c r="HT45" s="4">
        <v>307316.77</v>
      </c>
      <c r="HU45" s="4">
        <v>175163.48</v>
      </c>
      <c r="HV45" s="4">
        <v>88630.66</v>
      </c>
      <c r="HW45" s="4">
        <v>2847161.28</v>
      </c>
      <c r="HX45" s="4">
        <v>63788.22</v>
      </c>
      <c r="HY45" s="4">
        <v>31389.99</v>
      </c>
      <c r="HZ45" s="155">
        <v>16766.16</v>
      </c>
      <c r="IA45" s="4">
        <v>7951.02</v>
      </c>
      <c r="IB45" s="4">
        <v>8987.0400000000009</v>
      </c>
      <c r="IC45" s="4">
        <v>12260.25</v>
      </c>
      <c r="ID45" s="4">
        <v>12066.83</v>
      </c>
      <c r="IE45" s="4">
        <v>3202.16</v>
      </c>
      <c r="IF45" s="4">
        <v>1663225.95</v>
      </c>
      <c r="IG45" s="4">
        <v>19684.400000000001</v>
      </c>
      <c r="IH45" s="102">
        <v>2383.1999999999998</v>
      </c>
      <c r="II45" s="4">
        <v>61323.11</v>
      </c>
      <c r="IJ45" s="4">
        <v>57354427.729999997</v>
      </c>
      <c r="IK45" s="4">
        <v>179876.33</v>
      </c>
      <c r="IL45" s="4">
        <v>160860.81</v>
      </c>
      <c r="IM45" s="4">
        <v>288811.53000000003</v>
      </c>
      <c r="IN45" s="4">
        <v>169981.27</v>
      </c>
      <c r="IO45" s="4">
        <v>2601383.86</v>
      </c>
      <c r="IP45" s="4">
        <v>90382.24</v>
      </c>
      <c r="IQ45" s="4">
        <v>49198.17</v>
      </c>
      <c r="IR45" s="4">
        <v>67331.59</v>
      </c>
      <c r="IS45" s="4">
        <v>5091.21</v>
      </c>
      <c r="IT45" s="155">
        <v>7981.44</v>
      </c>
      <c r="IU45" s="4">
        <f t="shared" si="9"/>
        <v>778918729.02999985</v>
      </c>
    </row>
    <row r="46" spans="1:256" ht="14.1" customHeight="1">
      <c r="A46" s="5" t="s">
        <v>43</v>
      </c>
      <c r="B46" s="5"/>
      <c r="C46" s="157">
        <v>20002.48</v>
      </c>
      <c r="D46" s="5">
        <v>18983.419999999998</v>
      </c>
      <c r="E46" s="5">
        <v>14856.52</v>
      </c>
      <c r="F46" s="5">
        <v>7944.01</v>
      </c>
      <c r="G46" s="5">
        <v>16623.37</v>
      </c>
      <c r="H46" s="5">
        <v>5619.76</v>
      </c>
      <c r="I46" s="5">
        <v>4791.8999999999996</v>
      </c>
      <c r="J46" s="5">
        <v>3815.75</v>
      </c>
      <c r="K46" s="5">
        <v>2981.8</v>
      </c>
      <c r="L46" s="5">
        <v>9435.49</v>
      </c>
      <c r="M46" s="5">
        <v>4848.8599999999997</v>
      </c>
      <c r="N46" s="228">
        <v>12670.24</v>
      </c>
      <c r="O46" s="5">
        <v>21608.52</v>
      </c>
      <c r="P46" s="5">
        <v>20901.11</v>
      </c>
      <c r="Q46" s="5">
        <v>22750.2</v>
      </c>
      <c r="R46" s="5">
        <v>25650.560000000001</v>
      </c>
      <c r="S46" s="5">
        <v>11802.77</v>
      </c>
      <c r="T46" s="5">
        <v>27553.84</v>
      </c>
      <c r="U46" s="5">
        <v>23432.49</v>
      </c>
      <c r="V46" s="5">
        <v>13354.88</v>
      </c>
      <c r="W46" s="157">
        <v>16247.72</v>
      </c>
      <c r="X46" s="5">
        <v>25392.99</v>
      </c>
      <c r="Y46" s="5">
        <v>2902.29</v>
      </c>
      <c r="Z46" s="5">
        <v>7235.94</v>
      </c>
      <c r="AA46" s="5">
        <v>11302.54</v>
      </c>
      <c r="AB46" s="5">
        <v>11881.93</v>
      </c>
      <c r="AC46" s="5">
        <v>26432.95</v>
      </c>
      <c r="AD46" s="5">
        <v>16491.64</v>
      </c>
      <c r="AE46" s="5">
        <v>8108.13</v>
      </c>
      <c r="AF46" s="228">
        <v>13915.3</v>
      </c>
      <c r="AG46" s="5">
        <v>7104.57</v>
      </c>
      <c r="AH46" s="5">
        <v>30473.71</v>
      </c>
      <c r="AI46" s="5">
        <v>17936.96</v>
      </c>
      <c r="AJ46" s="5">
        <v>9071.89</v>
      </c>
      <c r="AK46" s="5">
        <v>12706.2</v>
      </c>
      <c r="AL46" s="5">
        <v>9160.59</v>
      </c>
      <c r="AM46" s="5">
        <v>15706.52</v>
      </c>
      <c r="AN46" s="5">
        <v>5883.57</v>
      </c>
      <c r="AO46" s="5">
        <v>9888.58</v>
      </c>
      <c r="AP46" s="5">
        <v>19663.64</v>
      </c>
      <c r="AQ46" s="5">
        <v>8329.1299999999992</v>
      </c>
      <c r="AR46" s="157">
        <v>21807.29</v>
      </c>
      <c r="AS46" s="5">
        <v>7669.65</v>
      </c>
      <c r="AT46" s="5">
        <v>5830.06</v>
      </c>
      <c r="AU46" s="5">
        <v>20747.099999999999</v>
      </c>
      <c r="AV46" s="228">
        <v>8854.26</v>
      </c>
      <c r="AW46" s="5">
        <v>16464.490000000002</v>
      </c>
      <c r="AX46" s="5">
        <v>16045.2</v>
      </c>
      <c r="AY46" s="5">
        <v>15249.33</v>
      </c>
      <c r="AZ46" s="5">
        <v>11522.45</v>
      </c>
      <c r="BA46" s="5">
        <v>10796.23</v>
      </c>
      <c r="BB46" s="5">
        <v>22668.92</v>
      </c>
      <c r="BC46" s="5">
        <v>10283.69</v>
      </c>
      <c r="BD46" s="5">
        <v>10698.99</v>
      </c>
      <c r="BE46" s="5">
        <v>38048.54</v>
      </c>
      <c r="BF46" s="5">
        <v>14105.96</v>
      </c>
      <c r="BG46" s="5">
        <v>19235.89</v>
      </c>
      <c r="BH46" s="5">
        <v>28627.89</v>
      </c>
      <c r="BI46" s="5">
        <v>9116.31</v>
      </c>
      <c r="BJ46" s="5">
        <v>8695.26</v>
      </c>
      <c r="BK46" s="5">
        <v>10093.6</v>
      </c>
      <c r="BL46" s="5">
        <v>16912.89</v>
      </c>
      <c r="BM46" s="5">
        <v>11009.37</v>
      </c>
      <c r="BN46" s="157">
        <v>7406.4</v>
      </c>
      <c r="BO46" s="5">
        <v>3505.21</v>
      </c>
      <c r="BP46" s="5">
        <v>2293.33</v>
      </c>
      <c r="BQ46" s="5">
        <v>24095.31</v>
      </c>
      <c r="BR46" s="5">
        <v>12463.17</v>
      </c>
      <c r="BS46" s="5">
        <v>11448.57</v>
      </c>
      <c r="BT46" s="5">
        <v>11308.93</v>
      </c>
      <c r="BU46" s="5">
        <v>9226.82</v>
      </c>
      <c r="BV46" s="5">
        <v>10444.19</v>
      </c>
      <c r="BW46" s="5">
        <v>5122.1400000000003</v>
      </c>
      <c r="BX46" s="5">
        <v>5988.41</v>
      </c>
      <c r="BY46" s="5">
        <v>11680.73</v>
      </c>
      <c r="BZ46" s="5">
        <v>25062.62</v>
      </c>
      <c r="CA46" s="5">
        <v>24553.69</v>
      </c>
      <c r="CB46" s="5">
        <v>10750.48</v>
      </c>
      <c r="CC46" s="5">
        <v>4336.03</v>
      </c>
      <c r="CD46" s="5">
        <v>9404.76</v>
      </c>
      <c r="CE46" s="5">
        <v>11268.83</v>
      </c>
      <c r="CF46" s="5">
        <v>16501.330000000002</v>
      </c>
      <c r="CG46" s="5">
        <v>4958</v>
      </c>
      <c r="CH46" s="5">
        <v>9498</v>
      </c>
      <c r="CI46" s="157">
        <v>2115.12</v>
      </c>
      <c r="CJ46" s="5">
        <v>14234.87</v>
      </c>
      <c r="CK46" s="5">
        <v>6894.06</v>
      </c>
      <c r="CL46" s="5">
        <v>7670.88</v>
      </c>
      <c r="CM46" s="5">
        <v>18953.330000000002</v>
      </c>
      <c r="CN46" s="5">
        <v>17960.48</v>
      </c>
      <c r="CO46" s="5">
        <v>15879.23</v>
      </c>
      <c r="CP46" s="5">
        <v>21306.73</v>
      </c>
      <c r="CQ46" s="5">
        <v>5377.09</v>
      </c>
      <c r="CR46" s="5">
        <v>11472.58</v>
      </c>
      <c r="CS46" s="5">
        <v>13132.85</v>
      </c>
      <c r="CT46" s="5">
        <v>25292.91</v>
      </c>
      <c r="CU46" s="5">
        <v>18175.900000000001</v>
      </c>
      <c r="CV46" s="5">
        <v>45876.99</v>
      </c>
      <c r="CW46" s="5">
        <v>6817.76</v>
      </c>
      <c r="CX46" s="5">
        <v>7748.78</v>
      </c>
      <c r="CY46" s="5">
        <v>62402.54</v>
      </c>
      <c r="CZ46" s="5">
        <v>23247.21</v>
      </c>
      <c r="DA46" s="5">
        <v>8054.02</v>
      </c>
      <c r="DB46" s="5">
        <v>3361.98</v>
      </c>
      <c r="DC46" s="5">
        <v>9114.39</v>
      </c>
      <c r="DD46" s="157">
        <v>8444.6200000000008</v>
      </c>
      <c r="DE46" s="89">
        <v>8477.59</v>
      </c>
      <c r="DF46" s="5">
        <v>350</v>
      </c>
      <c r="DG46" s="5">
        <v>26285.98</v>
      </c>
      <c r="DH46" s="5">
        <v>53355.45</v>
      </c>
      <c r="DI46" s="5">
        <v>16144.04</v>
      </c>
      <c r="DJ46" s="5">
        <v>6874.66</v>
      </c>
      <c r="DK46" s="5">
        <v>25082.92</v>
      </c>
      <c r="DL46" s="5">
        <v>27227.82</v>
      </c>
      <c r="DM46" s="5">
        <v>29594.61</v>
      </c>
      <c r="DN46" s="5">
        <v>3168.44</v>
      </c>
      <c r="DO46" s="5">
        <v>9729.3700000000008</v>
      </c>
      <c r="DP46" s="5">
        <v>10446.01</v>
      </c>
      <c r="DQ46" s="5">
        <v>23707.88</v>
      </c>
      <c r="DR46" s="89">
        <v>31038.01</v>
      </c>
      <c r="DS46" s="5">
        <v>19876.61</v>
      </c>
      <c r="DT46" s="5">
        <v>5590.84</v>
      </c>
      <c r="DU46" s="5">
        <v>3544.47</v>
      </c>
      <c r="DV46" s="5">
        <v>1136.01</v>
      </c>
      <c r="DW46" s="5">
        <v>11323.89</v>
      </c>
      <c r="DX46" s="5">
        <v>4159.22</v>
      </c>
      <c r="DY46" s="5">
        <v>1111.08</v>
      </c>
      <c r="DZ46" s="157">
        <v>861.64</v>
      </c>
      <c r="EA46" s="5">
        <v>520.14</v>
      </c>
      <c r="EB46" s="5">
        <v>13624.24</v>
      </c>
      <c r="EC46" s="5">
        <v>37752.65</v>
      </c>
      <c r="ED46" s="5">
        <v>35360.51</v>
      </c>
      <c r="EE46" s="5">
        <v>4932.46</v>
      </c>
      <c r="EF46" s="5">
        <v>12743.26</v>
      </c>
      <c r="EG46" s="33">
        <v>16057.87</v>
      </c>
      <c r="EH46" s="5">
        <v>15762.62</v>
      </c>
      <c r="EI46" s="5">
        <v>12500.79</v>
      </c>
      <c r="EJ46" s="5">
        <v>9064.48</v>
      </c>
      <c r="EK46" s="76">
        <v>9532.5499999999993</v>
      </c>
      <c r="EL46" s="5">
        <v>23849.79</v>
      </c>
      <c r="EM46" s="5">
        <v>-11863.85</v>
      </c>
      <c r="EN46" s="5">
        <v>35926.269999999997</v>
      </c>
      <c r="EO46" s="5">
        <v>11279.68</v>
      </c>
      <c r="EP46" s="5">
        <v>71847.66</v>
      </c>
      <c r="EQ46" s="5">
        <v>15505.68</v>
      </c>
      <c r="ER46" s="5">
        <v>16962.060000000001</v>
      </c>
      <c r="ES46" s="5">
        <v>12781.14</v>
      </c>
      <c r="ET46" s="5">
        <v>22536.560000000001</v>
      </c>
      <c r="EU46" s="157">
        <v>12914.05</v>
      </c>
      <c r="EV46" s="5">
        <v>13486.16</v>
      </c>
      <c r="EW46" s="5">
        <v>2207.96</v>
      </c>
      <c r="EX46" s="5">
        <v>3712.69</v>
      </c>
      <c r="EY46" s="5">
        <v>16029.64</v>
      </c>
      <c r="EZ46" s="5">
        <v>21330.3</v>
      </c>
      <c r="FA46" s="5">
        <v>15840.65</v>
      </c>
      <c r="FB46" s="5">
        <v>6572.51</v>
      </c>
      <c r="FC46" s="5">
        <v>14155.82</v>
      </c>
      <c r="FD46" s="5">
        <v>5183.9399999999996</v>
      </c>
      <c r="FE46" s="228">
        <v>13107.47</v>
      </c>
      <c r="FF46" s="5">
        <v>12743.5</v>
      </c>
      <c r="FG46" s="5">
        <v>19509.89</v>
      </c>
      <c r="FH46" s="5">
        <v>29441.23</v>
      </c>
      <c r="FI46" s="228">
        <v>18244.099999999999</v>
      </c>
      <c r="FJ46" s="5">
        <v>19793.21</v>
      </c>
      <c r="FK46" s="5">
        <v>7347.4</v>
      </c>
      <c r="FL46" s="76">
        <v>1444.08</v>
      </c>
      <c r="FM46" s="5">
        <v>1660.44</v>
      </c>
      <c r="FN46" s="5">
        <v>7821.35</v>
      </c>
      <c r="FO46" s="5">
        <v>18198.740000000002</v>
      </c>
      <c r="FP46" s="157">
        <v>5449.08</v>
      </c>
      <c r="FQ46" s="5">
        <v>16989.080000000002</v>
      </c>
      <c r="FR46" s="5">
        <v>12198.32</v>
      </c>
      <c r="FS46" s="5">
        <v>7008.36</v>
      </c>
      <c r="FT46" s="5">
        <v>13441.4</v>
      </c>
      <c r="FU46" s="5">
        <v>20407.830000000002</v>
      </c>
      <c r="FV46" s="5">
        <v>75282.13</v>
      </c>
      <c r="FW46" s="5">
        <v>21855.81</v>
      </c>
      <c r="FX46" s="5">
        <v>8769.4500000000007</v>
      </c>
      <c r="FY46" s="5">
        <v>10449.89</v>
      </c>
      <c r="FZ46" s="228">
        <v>5628.68</v>
      </c>
      <c r="GA46" s="5">
        <v>12710.54</v>
      </c>
      <c r="GB46" s="5">
        <v>24908.54</v>
      </c>
      <c r="GC46" s="5">
        <v>186238.55</v>
      </c>
      <c r="GD46" s="5">
        <v>23676.54</v>
      </c>
      <c r="GE46" s="5">
        <v>5924.08</v>
      </c>
      <c r="GF46" s="5">
        <v>17204.77</v>
      </c>
      <c r="GG46" s="5">
        <v>11728.17</v>
      </c>
      <c r="GH46" s="5">
        <v>16487</v>
      </c>
      <c r="GI46" s="5">
        <v>11311.02</v>
      </c>
      <c r="GJ46" s="5">
        <v>40947.730000000003</v>
      </c>
      <c r="GK46" s="5">
        <v>11657.63</v>
      </c>
      <c r="GL46" s="157">
        <v>5751.11</v>
      </c>
      <c r="GM46" s="5">
        <v>5445.99</v>
      </c>
      <c r="GN46" s="5">
        <v>2091.06</v>
      </c>
      <c r="GO46" s="5">
        <v>10199.290000000001</v>
      </c>
      <c r="GP46" s="5">
        <v>50068.09</v>
      </c>
      <c r="GQ46" s="5">
        <v>31289.93</v>
      </c>
      <c r="GR46" s="5">
        <v>17806.150000000001</v>
      </c>
      <c r="GS46" s="5">
        <v>20398.39</v>
      </c>
      <c r="GT46" s="5">
        <v>9268.83</v>
      </c>
      <c r="GU46" s="197">
        <v>4838.8999999999996</v>
      </c>
      <c r="GV46" s="5">
        <v>19075.169999999998</v>
      </c>
      <c r="GW46" s="5">
        <v>4502.8900000000003</v>
      </c>
      <c r="GX46" s="5">
        <v>21704.85</v>
      </c>
      <c r="GY46" s="5">
        <v>7059.94</v>
      </c>
      <c r="GZ46" s="5">
        <v>12943.78</v>
      </c>
      <c r="HA46" s="5">
        <v>29373.53</v>
      </c>
      <c r="HB46" s="5">
        <v>22610.43</v>
      </c>
      <c r="HC46" s="5">
        <v>14866.94</v>
      </c>
      <c r="HD46" s="157">
        <v>70698.880000000005</v>
      </c>
      <c r="HE46" s="5">
        <v>9257.4500000000007</v>
      </c>
      <c r="HF46" s="5">
        <v>3990.19</v>
      </c>
      <c r="HG46" s="5">
        <v>3328.63</v>
      </c>
      <c r="HH46" s="5">
        <v>16362.42</v>
      </c>
      <c r="HI46" s="5">
        <v>16509.78</v>
      </c>
      <c r="HJ46" s="5">
        <v>28017.119999999999</v>
      </c>
      <c r="HK46" s="5">
        <v>8384.85</v>
      </c>
      <c r="HL46" s="5">
        <v>7325.93</v>
      </c>
      <c r="HM46" s="5">
        <v>32571.88</v>
      </c>
      <c r="HN46" s="132">
        <v>18374.080000000002</v>
      </c>
      <c r="HO46" s="76">
        <v>11436.03</v>
      </c>
      <c r="HP46" s="5">
        <v>11751.09</v>
      </c>
      <c r="HQ46" s="5">
        <v>4557.1499999999996</v>
      </c>
      <c r="HR46" s="5">
        <v>8766.93</v>
      </c>
      <c r="HS46" s="5">
        <v>6880.39</v>
      </c>
      <c r="HT46" s="5">
        <v>20673.919999999998</v>
      </c>
      <c r="HU46" s="5">
        <v>4379.8900000000003</v>
      </c>
      <c r="HV46" s="5">
        <v>2366.79</v>
      </c>
      <c r="HW46" s="5">
        <v>9936</v>
      </c>
      <c r="HX46" s="5">
        <v>10711.32</v>
      </c>
      <c r="HY46" s="5">
        <v>5231.71</v>
      </c>
      <c r="HZ46" s="157">
        <v>4927.7299999999996</v>
      </c>
      <c r="IA46" s="5">
        <v>1629.29</v>
      </c>
      <c r="IB46" s="5">
        <v>3757.94</v>
      </c>
      <c r="IC46" s="5">
        <v>838.54</v>
      </c>
      <c r="ID46" s="5">
        <v>1480.5</v>
      </c>
      <c r="IE46" s="5">
        <v>1316.13</v>
      </c>
      <c r="IF46" s="5">
        <v>16815.77</v>
      </c>
      <c r="IG46" s="5">
        <v>4457.16</v>
      </c>
      <c r="IH46" s="104">
        <v>4037.46</v>
      </c>
      <c r="II46" s="5">
        <v>3172.36</v>
      </c>
      <c r="IJ46" s="5">
        <v>33263.839999999997</v>
      </c>
      <c r="IK46" s="5">
        <v>12298.85</v>
      </c>
      <c r="IL46" s="5">
        <v>37825.730000000003</v>
      </c>
      <c r="IM46" s="5">
        <v>10961.38</v>
      </c>
      <c r="IN46" s="5">
        <v>8310.43</v>
      </c>
      <c r="IO46" s="5">
        <v>3748.97</v>
      </c>
      <c r="IP46" s="5">
        <v>6954.81</v>
      </c>
      <c r="IQ46" s="5">
        <v>4494.24</v>
      </c>
      <c r="IR46" s="5">
        <v>642.41999999999996</v>
      </c>
      <c r="IS46" s="5">
        <v>7380.42</v>
      </c>
      <c r="IT46" s="157">
        <v>13931.94</v>
      </c>
      <c r="IU46" s="4">
        <f t="shared" si="9"/>
        <v>3764633.3600000003</v>
      </c>
    </row>
    <row r="47" spans="1:256" s="42" customFormat="1" ht="14.1" customHeight="1" thickBot="1">
      <c r="A47" s="44" t="s">
        <v>24</v>
      </c>
      <c r="B47" s="45"/>
      <c r="C47" s="46">
        <f t="shared" ref="C47:BN47" si="10">SUM(C29:C46)</f>
        <v>647852.69000000006</v>
      </c>
      <c r="D47" s="46">
        <f t="shared" si="10"/>
        <v>798820.04</v>
      </c>
      <c r="E47" s="46">
        <f t="shared" si="10"/>
        <v>4168295.06</v>
      </c>
      <c r="F47" s="46">
        <f t="shared" si="10"/>
        <v>789798.42</v>
      </c>
      <c r="G47" s="46">
        <f t="shared" si="10"/>
        <v>15650364.459999999</v>
      </c>
      <c r="H47" s="46">
        <f t="shared" si="10"/>
        <v>400811675.37</v>
      </c>
      <c r="I47" s="46">
        <f t="shared" si="10"/>
        <v>5110102.32</v>
      </c>
      <c r="J47" s="46">
        <f t="shared" si="10"/>
        <v>1578643.1300000001</v>
      </c>
      <c r="K47" s="46">
        <f t="shared" si="10"/>
        <v>3736966.28</v>
      </c>
      <c r="L47" s="46">
        <f t="shared" si="10"/>
        <v>842216.72</v>
      </c>
      <c r="M47" s="46">
        <f t="shared" si="10"/>
        <v>1198524.22</v>
      </c>
      <c r="N47" s="66">
        <f t="shared" si="10"/>
        <v>67662213.36999999</v>
      </c>
      <c r="O47" s="46">
        <f t="shared" si="10"/>
        <v>3376839.4</v>
      </c>
      <c r="P47" s="46">
        <f t="shared" si="10"/>
        <v>1721206.2300000002</v>
      </c>
      <c r="Q47" s="46">
        <f t="shared" si="10"/>
        <v>7448735.7199999997</v>
      </c>
      <c r="R47" s="46">
        <f t="shared" si="10"/>
        <v>1238094.7400000002</v>
      </c>
      <c r="S47" s="46">
        <f t="shared" si="10"/>
        <v>6642894.4100000001</v>
      </c>
      <c r="T47" s="46">
        <f t="shared" si="10"/>
        <v>1454341.2400000002</v>
      </c>
      <c r="U47" s="46">
        <f t="shared" si="10"/>
        <v>2821544</v>
      </c>
      <c r="V47" s="46">
        <f t="shared" si="10"/>
        <v>1108531.06</v>
      </c>
      <c r="W47" s="46">
        <f t="shared" si="10"/>
        <v>2133474.5700000008</v>
      </c>
      <c r="X47" s="46">
        <f t="shared" si="10"/>
        <v>1414178.1</v>
      </c>
      <c r="Y47" s="46">
        <f t="shared" si="10"/>
        <v>2073708.13</v>
      </c>
      <c r="Z47" s="46">
        <f t="shared" si="10"/>
        <v>4325073.9800000004</v>
      </c>
      <c r="AA47" s="46">
        <f t="shared" si="10"/>
        <v>14595576.01</v>
      </c>
      <c r="AB47" s="46">
        <f t="shared" si="10"/>
        <v>3943871.56</v>
      </c>
      <c r="AC47" s="46">
        <f t="shared" si="10"/>
        <v>5305287.71</v>
      </c>
      <c r="AD47" s="46">
        <f t="shared" si="10"/>
        <v>1869681.0799999998</v>
      </c>
      <c r="AE47" s="46">
        <f t="shared" si="10"/>
        <v>1166353.17</v>
      </c>
      <c r="AF47" s="66">
        <f t="shared" si="10"/>
        <v>59074423.449999996</v>
      </c>
      <c r="AG47" s="46">
        <f t="shared" si="10"/>
        <v>10980645.76</v>
      </c>
      <c r="AH47" s="46">
        <f t="shared" si="10"/>
        <v>690618.17999999993</v>
      </c>
      <c r="AI47" s="46">
        <f t="shared" si="10"/>
        <v>1113412.0899999999</v>
      </c>
      <c r="AJ47" s="46">
        <f t="shared" si="10"/>
        <v>2072908.1199999999</v>
      </c>
      <c r="AK47" s="46">
        <f t="shared" si="10"/>
        <v>386454.47000000003</v>
      </c>
      <c r="AL47" s="46">
        <f t="shared" si="10"/>
        <v>3595407.1899999995</v>
      </c>
      <c r="AM47" s="46">
        <f t="shared" si="10"/>
        <v>1570102.76</v>
      </c>
      <c r="AN47" s="46">
        <f t="shared" si="10"/>
        <v>546035.89999999991</v>
      </c>
      <c r="AO47" s="46">
        <f t="shared" si="10"/>
        <v>3627205.73</v>
      </c>
      <c r="AP47" s="46">
        <f t="shared" si="10"/>
        <v>1158447.0299999998</v>
      </c>
      <c r="AQ47" s="46">
        <f t="shared" si="10"/>
        <v>2271253.9799999995</v>
      </c>
      <c r="AR47" s="46">
        <f t="shared" si="10"/>
        <v>2203089.54</v>
      </c>
      <c r="AS47" s="46">
        <f t="shared" si="10"/>
        <v>1679415.42</v>
      </c>
      <c r="AT47" s="46">
        <f t="shared" si="10"/>
        <v>1236334.3900000001</v>
      </c>
      <c r="AU47" s="46">
        <f t="shared" si="10"/>
        <v>2351672.66</v>
      </c>
      <c r="AV47" s="66">
        <f t="shared" si="10"/>
        <v>21336384.949999999</v>
      </c>
      <c r="AW47" s="46">
        <f t="shared" si="10"/>
        <v>4502293.1700000009</v>
      </c>
      <c r="AX47" s="46">
        <f t="shared" si="10"/>
        <v>669179.96000000008</v>
      </c>
      <c r="AY47" s="46">
        <f t="shared" si="10"/>
        <v>2038981.99</v>
      </c>
      <c r="AZ47" s="46">
        <f t="shared" si="10"/>
        <v>726045.6</v>
      </c>
      <c r="BA47" s="46">
        <f t="shared" si="10"/>
        <v>4661887.1000000006</v>
      </c>
      <c r="BB47" s="46">
        <f t="shared" si="10"/>
        <v>3380157.74</v>
      </c>
      <c r="BC47" s="46">
        <f t="shared" si="10"/>
        <v>59119457.640000001</v>
      </c>
      <c r="BD47" s="46">
        <f t="shared" si="10"/>
        <v>16545872.850000001</v>
      </c>
      <c r="BE47" s="46">
        <f t="shared" si="10"/>
        <v>2516901.54</v>
      </c>
      <c r="BF47" s="46">
        <f t="shared" si="10"/>
        <v>4297605.6100000003</v>
      </c>
      <c r="BG47" s="46">
        <f t="shared" si="10"/>
        <v>2527688.4500000002</v>
      </c>
      <c r="BH47" s="46">
        <f t="shared" si="10"/>
        <v>1450648.83</v>
      </c>
      <c r="BI47" s="46">
        <f t="shared" si="10"/>
        <v>1730165.55</v>
      </c>
      <c r="BJ47" s="46">
        <f t="shared" si="10"/>
        <v>3665906.26</v>
      </c>
      <c r="BK47" s="46">
        <f t="shared" si="10"/>
        <v>729370.5199999999</v>
      </c>
      <c r="BL47" s="46">
        <f t="shared" si="10"/>
        <v>5282479.45</v>
      </c>
      <c r="BM47" s="46">
        <f t="shared" si="10"/>
        <v>1509939.86</v>
      </c>
      <c r="BN47" s="46">
        <f t="shared" si="10"/>
        <v>28447990.23</v>
      </c>
      <c r="BO47" s="46">
        <f t="shared" ref="BO47:DZ47" si="11">SUM(BO29:BO46)</f>
        <v>672697.33</v>
      </c>
      <c r="BP47" s="46">
        <f t="shared" si="11"/>
        <v>4053769.63</v>
      </c>
      <c r="BQ47" s="46">
        <f t="shared" si="11"/>
        <v>3332963.8</v>
      </c>
      <c r="BR47" s="46">
        <f t="shared" si="11"/>
        <v>14734360.880000001</v>
      </c>
      <c r="BS47" s="46">
        <f t="shared" si="11"/>
        <v>1174411.9900000002</v>
      </c>
      <c r="BT47" s="46">
        <f t="shared" si="11"/>
        <v>939305.05000000016</v>
      </c>
      <c r="BU47" s="46">
        <f t="shared" si="11"/>
        <v>728768.27999999991</v>
      </c>
      <c r="BV47" s="46">
        <f t="shared" si="11"/>
        <v>5749528.1200000001</v>
      </c>
      <c r="BW47" s="46">
        <f t="shared" si="11"/>
        <v>722061.71000000008</v>
      </c>
      <c r="BX47" s="46">
        <f t="shared" si="11"/>
        <v>801717.85</v>
      </c>
      <c r="BY47" s="46">
        <f t="shared" si="11"/>
        <v>61099917.409999996</v>
      </c>
      <c r="BZ47" s="46">
        <f t="shared" si="11"/>
        <v>16803716.040000003</v>
      </c>
      <c r="CA47" s="46">
        <f t="shared" si="11"/>
        <v>7611035.2300000004</v>
      </c>
      <c r="CB47" s="46">
        <f t="shared" si="11"/>
        <v>1731501.7199999997</v>
      </c>
      <c r="CC47" s="46">
        <f t="shared" si="11"/>
        <v>2654085.9900000002</v>
      </c>
      <c r="CD47" s="46">
        <f t="shared" si="11"/>
        <v>1104745.6400000001</v>
      </c>
      <c r="CE47" s="46">
        <f t="shared" si="11"/>
        <v>890198.32</v>
      </c>
      <c r="CF47" s="46">
        <f t="shared" si="11"/>
        <v>5452128.4200000009</v>
      </c>
      <c r="CG47" s="46">
        <f t="shared" si="11"/>
        <v>1563094.73</v>
      </c>
      <c r="CH47" s="46">
        <f t="shared" si="11"/>
        <v>1250380.05</v>
      </c>
      <c r="CI47" s="46">
        <f t="shared" si="11"/>
        <v>4839173.47</v>
      </c>
      <c r="CJ47" s="46">
        <f t="shared" si="11"/>
        <v>3200524.89</v>
      </c>
      <c r="CK47" s="46">
        <f t="shared" si="11"/>
        <v>3063663.3200000003</v>
      </c>
      <c r="CL47" s="46">
        <f t="shared" si="11"/>
        <v>4940022.42</v>
      </c>
      <c r="CM47" s="46">
        <f t="shared" si="11"/>
        <v>651205.87999999989</v>
      </c>
      <c r="CN47" s="46">
        <f t="shared" si="11"/>
        <v>19922922.649999999</v>
      </c>
      <c r="CO47" s="46">
        <f t="shared" si="11"/>
        <v>2165924.77</v>
      </c>
      <c r="CP47" s="46">
        <f t="shared" si="11"/>
        <v>2225162.98</v>
      </c>
      <c r="CQ47" s="46">
        <f t="shared" si="11"/>
        <v>1234243.95</v>
      </c>
      <c r="CR47" s="46">
        <f t="shared" si="11"/>
        <v>1002562.5</v>
      </c>
      <c r="CS47" s="46">
        <f t="shared" si="11"/>
        <v>61858605.579999998</v>
      </c>
      <c r="CT47" s="46">
        <f t="shared" si="11"/>
        <v>11280068.469999999</v>
      </c>
      <c r="CU47" s="46">
        <f t="shared" si="11"/>
        <v>1677081.72</v>
      </c>
      <c r="CV47" s="46">
        <f t="shared" si="11"/>
        <v>2697723.73</v>
      </c>
      <c r="CW47" s="46">
        <f t="shared" si="11"/>
        <v>2694196.0399999996</v>
      </c>
      <c r="CX47" s="46">
        <f t="shared" si="11"/>
        <v>2428269.2799999998</v>
      </c>
      <c r="CY47" s="46">
        <f t="shared" si="11"/>
        <v>5093185.59</v>
      </c>
      <c r="CZ47" s="46">
        <f t="shared" si="11"/>
        <v>2226162.5</v>
      </c>
      <c r="DA47" s="46">
        <f t="shared" si="11"/>
        <v>2103518.13</v>
      </c>
      <c r="DB47" s="46">
        <f t="shared" si="11"/>
        <v>4694889.3100000005</v>
      </c>
      <c r="DC47" s="46">
        <f t="shared" si="11"/>
        <v>5958381.1299999999</v>
      </c>
      <c r="DD47" s="46">
        <f t="shared" si="11"/>
        <v>4176481.43</v>
      </c>
      <c r="DE47" s="46">
        <f t="shared" si="11"/>
        <v>9296294.0999999996</v>
      </c>
      <c r="DF47" s="46">
        <f t="shared" si="11"/>
        <v>1978950.92</v>
      </c>
      <c r="DG47" s="46">
        <f t="shared" si="11"/>
        <v>7363426.9500000011</v>
      </c>
      <c r="DH47" s="46">
        <f t="shared" si="11"/>
        <v>2587310.2700000005</v>
      </c>
      <c r="DI47" s="46">
        <f t="shared" si="11"/>
        <v>1800454.48</v>
      </c>
      <c r="DJ47" s="46">
        <f t="shared" si="11"/>
        <v>292517.34999999998</v>
      </c>
      <c r="DK47" s="46">
        <f t="shared" si="11"/>
        <v>586883.30000000005</v>
      </c>
      <c r="DL47" s="46">
        <f t="shared" si="11"/>
        <v>1956478.4500000002</v>
      </c>
      <c r="DM47" s="46">
        <f t="shared" si="11"/>
        <v>782755.98</v>
      </c>
      <c r="DN47" s="46">
        <f t="shared" si="11"/>
        <v>62049718.259999998</v>
      </c>
      <c r="DO47" s="46">
        <f t="shared" si="11"/>
        <v>12172089.709999999</v>
      </c>
      <c r="DP47" s="46">
        <f t="shared" si="11"/>
        <v>299758.73</v>
      </c>
      <c r="DQ47" s="46">
        <f t="shared" si="11"/>
        <v>2012954.96</v>
      </c>
      <c r="DR47" s="46">
        <f t="shared" si="11"/>
        <v>461919.98</v>
      </c>
      <c r="DS47" s="46">
        <f t="shared" si="11"/>
        <v>902064.25</v>
      </c>
      <c r="DT47" s="46">
        <f t="shared" si="11"/>
        <v>959092.80999999994</v>
      </c>
      <c r="DU47" s="46">
        <f t="shared" si="11"/>
        <v>1868105.48</v>
      </c>
      <c r="DV47" s="46">
        <f t="shared" si="11"/>
        <v>3349745.46</v>
      </c>
      <c r="DW47" s="46">
        <f t="shared" si="11"/>
        <v>2486858.1</v>
      </c>
      <c r="DX47" s="46">
        <f t="shared" si="11"/>
        <v>757711.20000000007</v>
      </c>
      <c r="DY47" s="46">
        <f t="shared" si="11"/>
        <v>681465.85</v>
      </c>
      <c r="DZ47" s="46">
        <f t="shared" si="11"/>
        <v>4915567.05</v>
      </c>
      <c r="EA47" s="46">
        <f t="shared" ref="EA47:GL47" si="12">SUM(EA29:EA46)</f>
        <v>1553596.9700000002</v>
      </c>
      <c r="EB47" s="46">
        <f t="shared" si="12"/>
        <v>3658273.7</v>
      </c>
      <c r="EC47" s="46">
        <f t="shared" si="12"/>
        <v>7978379.7800000012</v>
      </c>
      <c r="ED47" s="46">
        <f t="shared" si="12"/>
        <v>15835192.619999999</v>
      </c>
      <c r="EE47" s="46">
        <f t="shared" si="12"/>
        <v>886870.65999999992</v>
      </c>
      <c r="EF47" s="46">
        <f t="shared" si="12"/>
        <v>4564241.62</v>
      </c>
      <c r="EG47" s="46">
        <f t="shared" si="12"/>
        <v>957461.07000000007</v>
      </c>
      <c r="EH47" s="46">
        <f t="shared" si="12"/>
        <v>316641.68</v>
      </c>
      <c r="EI47" s="46">
        <f t="shared" si="12"/>
        <v>676056.68</v>
      </c>
      <c r="EJ47" s="46">
        <f t="shared" si="12"/>
        <v>1564726.94</v>
      </c>
      <c r="EK47" s="66">
        <f t="shared" si="12"/>
        <v>60596026.530000001</v>
      </c>
      <c r="EL47" s="46">
        <f t="shared" si="12"/>
        <v>14314235.969999999</v>
      </c>
      <c r="EM47" s="46">
        <f t="shared" si="12"/>
        <v>1500228.89</v>
      </c>
      <c r="EN47" s="46">
        <f t="shared" si="12"/>
        <v>958406.81</v>
      </c>
      <c r="EO47" s="46">
        <f t="shared" si="12"/>
        <v>914418.99000000011</v>
      </c>
      <c r="EP47" s="46">
        <f t="shared" si="12"/>
        <v>3167831.5999999996</v>
      </c>
      <c r="EQ47" s="46">
        <f t="shared" si="12"/>
        <v>5201817.0699999994</v>
      </c>
      <c r="ER47" s="46">
        <f t="shared" si="12"/>
        <v>385186.11</v>
      </c>
      <c r="ES47" s="46">
        <f t="shared" si="12"/>
        <v>2635791.5900000003</v>
      </c>
      <c r="ET47" s="46">
        <f t="shared" si="12"/>
        <v>417476.47000000003</v>
      </c>
      <c r="EU47" s="46">
        <f t="shared" si="12"/>
        <v>1400115.04</v>
      </c>
      <c r="EV47" s="46">
        <f t="shared" si="12"/>
        <v>2380305.1000000006</v>
      </c>
      <c r="EW47" s="46">
        <f t="shared" si="12"/>
        <v>1749735.4499999997</v>
      </c>
      <c r="EX47" s="46">
        <f t="shared" si="12"/>
        <v>691774.36</v>
      </c>
      <c r="EY47" s="46">
        <f t="shared" si="12"/>
        <v>16456503.93</v>
      </c>
      <c r="EZ47" s="46">
        <f t="shared" si="12"/>
        <v>707527.91</v>
      </c>
      <c r="FA47" s="46">
        <f t="shared" si="12"/>
        <v>1198261.56</v>
      </c>
      <c r="FB47" s="46">
        <f t="shared" si="12"/>
        <v>524572.07999999996</v>
      </c>
      <c r="FC47" s="46">
        <f t="shared" si="12"/>
        <v>845262.96</v>
      </c>
      <c r="FD47" s="46">
        <f t="shared" si="12"/>
        <v>368509.26</v>
      </c>
      <c r="FE47" s="66">
        <f t="shared" si="12"/>
        <v>60366307.109999999</v>
      </c>
      <c r="FF47" s="46">
        <f t="shared" si="12"/>
        <v>10946578.949999999</v>
      </c>
      <c r="FG47" s="46">
        <f t="shared" si="12"/>
        <v>5395032.8699999992</v>
      </c>
      <c r="FH47" s="46">
        <f t="shared" si="12"/>
        <v>1872789.73</v>
      </c>
      <c r="FI47" s="66">
        <f t="shared" si="12"/>
        <v>4529365.68</v>
      </c>
      <c r="FJ47" s="46">
        <f t="shared" si="12"/>
        <v>1176847.17</v>
      </c>
      <c r="FK47" s="46">
        <f t="shared" si="12"/>
        <v>1655523.8899999997</v>
      </c>
      <c r="FL47" s="277">
        <f t="shared" si="12"/>
        <v>2080877.4600000002</v>
      </c>
      <c r="FM47" s="46">
        <f t="shared" si="12"/>
        <v>1183368.3500000001</v>
      </c>
      <c r="FN47" s="46">
        <f t="shared" si="12"/>
        <v>691239.40999999992</v>
      </c>
      <c r="FO47" s="46">
        <f t="shared" si="12"/>
        <v>1888979.11</v>
      </c>
      <c r="FP47" s="46">
        <f t="shared" si="12"/>
        <v>3584063.3699999996</v>
      </c>
      <c r="FQ47" s="46">
        <f t="shared" si="12"/>
        <v>1135191.3999999999</v>
      </c>
      <c r="FR47" s="46">
        <f t="shared" si="12"/>
        <v>1212328.79</v>
      </c>
      <c r="FS47" s="46">
        <f t="shared" si="12"/>
        <v>5338034.57</v>
      </c>
      <c r="FT47" s="46">
        <f t="shared" si="12"/>
        <v>15951492.320000002</v>
      </c>
      <c r="FU47" s="46">
        <f t="shared" si="12"/>
        <v>3839949.5600000005</v>
      </c>
      <c r="FV47" s="46">
        <f t="shared" si="12"/>
        <v>570171.07000000007</v>
      </c>
      <c r="FW47" s="46">
        <f t="shared" si="12"/>
        <v>411425.85</v>
      </c>
      <c r="FX47" s="46">
        <f t="shared" si="12"/>
        <v>664372.21</v>
      </c>
      <c r="FY47" s="46">
        <f t="shared" si="12"/>
        <v>2951809.8600000003</v>
      </c>
      <c r="FZ47" s="66">
        <f t="shared" si="12"/>
        <v>147714473.32999998</v>
      </c>
      <c r="GA47" s="46">
        <f t="shared" si="12"/>
        <v>1649562.73</v>
      </c>
      <c r="GB47" s="46">
        <f t="shared" si="12"/>
        <v>5175698.09</v>
      </c>
      <c r="GC47" s="46">
        <f t="shared" si="12"/>
        <v>6933134.7599999998</v>
      </c>
      <c r="GD47" s="46">
        <f t="shared" si="12"/>
        <v>1138044.6000000001</v>
      </c>
      <c r="GE47" s="46">
        <f t="shared" si="12"/>
        <v>1816440.5699999998</v>
      </c>
      <c r="GF47" s="46">
        <f t="shared" si="12"/>
        <v>1160211.1599999999</v>
      </c>
      <c r="GG47" s="46">
        <f t="shared" si="12"/>
        <v>1118902.1899999997</v>
      </c>
      <c r="GH47" s="46">
        <f t="shared" si="12"/>
        <v>2876181.56</v>
      </c>
      <c r="GI47" s="46">
        <f t="shared" si="12"/>
        <v>1768128.7500000002</v>
      </c>
      <c r="GJ47" s="46">
        <f t="shared" si="12"/>
        <v>968785.28999999992</v>
      </c>
      <c r="GK47" s="46">
        <f t="shared" si="12"/>
        <v>1444161.0599999998</v>
      </c>
      <c r="GL47" s="46">
        <f t="shared" si="12"/>
        <v>4716908.0600000005</v>
      </c>
      <c r="GM47" s="46">
        <f t="shared" ref="GM47:IU47" si="13">SUM(GM29:GM46)</f>
        <v>2654265.13</v>
      </c>
      <c r="GN47" s="46">
        <f t="shared" si="13"/>
        <v>991427.70000000007</v>
      </c>
      <c r="GO47" s="46">
        <f t="shared" si="13"/>
        <v>1104785.18</v>
      </c>
      <c r="GP47" s="46">
        <f t="shared" si="13"/>
        <v>15563332.490000002</v>
      </c>
      <c r="GQ47" s="46">
        <f t="shared" si="13"/>
        <v>662072.84000000008</v>
      </c>
      <c r="GR47" s="46">
        <f t="shared" si="13"/>
        <v>1851239.68</v>
      </c>
      <c r="GS47" s="46">
        <f t="shared" si="13"/>
        <v>1779868.51</v>
      </c>
      <c r="GT47" s="46">
        <f t="shared" si="13"/>
        <v>833999.44</v>
      </c>
      <c r="GU47" s="66">
        <f t="shared" si="13"/>
        <v>73982759.160000011</v>
      </c>
      <c r="GV47" s="46">
        <f t="shared" si="13"/>
        <v>3605796.3899999997</v>
      </c>
      <c r="GW47" s="46">
        <f t="shared" si="13"/>
        <v>820243.89</v>
      </c>
      <c r="GX47" s="46">
        <f t="shared" si="13"/>
        <v>1227990.98</v>
      </c>
      <c r="GY47" s="46">
        <f t="shared" si="13"/>
        <v>706902.53999999992</v>
      </c>
      <c r="GZ47" s="46">
        <f t="shared" si="13"/>
        <v>738966.45000000007</v>
      </c>
      <c r="HA47" s="46">
        <f t="shared" si="13"/>
        <v>8722110.5699999984</v>
      </c>
      <c r="HB47" s="46">
        <f t="shared" si="13"/>
        <v>515125.27999999997</v>
      </c>
      <c r="HC47" s="46">
        <f t="shared" si="13"/>
        <v>3966796.53</v>
      </c>
      <c r="HD47" s="46">
        <f t="shared" si="13"/>
        <v>1016876.6200000001</v>
      </c>
      <c r="HE47" s="46">
        <f t="shared" si="13"/>
        <v>666525.52999999991</v>
      </c>
      <c r="HF47" s="46">
        <f t="shared" si="13"/>
        <v>1204141.8</v>
      </c>
      <c r="HG47" s="46">
        <f t="shared" si="13"/>
        <v>822362.41</v>
      </c>
      <c r="HH47" s="46">
        <f t="shared" si="13"/>
        <v>370078.82999999996</v>
      </c>
      <c r="HI47" s="46">
        <f t="shared" si="13"/>
        <v>15799220.34</v>
      </c>
      <c r="HJ47" s="46">
        <f t="shared" si="13"/>
        <v>2172139.5700000003</v>
      </c>
      <c r="HK47" s="46">
        <f t="shared" si="13"/>
        <v>3165546.9</v>
      </c>
      <c r="HL47" s="46">
        <f t="shared" si="13"/>
        <v>425190</v>
      </c>
      <c r="HM47" s="46">
        <f t="shared" si="13"/>
        <v>456059.73</v>
      </c>
      <c r="HN47" s="142">
        <f t="shared" si="13"/>
        <v>3063445.75</v>
      </c>
      <c r="HO47" s="66">
        <f t="shared" si="13"/>
        <v>76138571.579999998</v>
      </c>
      <c r="HP47" s="46">
        <f t="shared" si="13"/>
        <v>701537.13</v>
      </c>
      <c r="HQ47" s="46">
        <f t="shared" si="13"/>
        <v>1007443.02</v>
      </c>
      <c r="HR47" s="46">
        <f t="shared" si="13"/>
        <v>1399547.2299999997</v>
      </c>
      <c r="HS47" s="46">
        <f t="shared" si="13"/>
        <v>866798.55999999994</v>
      </c>
      <c r="HT47" s="46">
        <f t="shared" si="13"/>
        <v>13860687.41</v>
      </c>
      <c r="HU47" s="46">
        <f t="shared" si="13"/>
        <v>3533991.84</v>
      </c>
      <c r="HV47" s="46">
        <f t="shared" si="13"/>
        <v>2037452.24</v>
      </c>
      <c r="HW47" s="46">
        <f t="shared" si="13"/>
        <v>6836662.3399999999</v>
      </c>
      <c r="HX47" s="46">
        <f t="shared" si="13"/>
        <v>1630114.6600000001</v>
      </c>
      <c r="HY47" s="46">
        <f t="shared" si="13"/>
        <v>666662.72</v>
      </c>
      <c r="HZ47" s="46">
        <f t="shared" si="13"/>
        <v>1268481.0899999999</v>
      </c>
      <c r="IA47" s="46">
        <f t="shared" si="13"/>
        <v>1461125.77</v>
      </c>
      <c r="IB47" s="46">
        <f t="shared" si="13"/>
        <v>893720.91999999993</v>
      </c>
      <c r="IC47" s="46">
        <f t="shared" si="13"/>
        <v>14601439.879999999</v>
      </c>
      <c r="ID47" s="46">
        <f t="shared" si="13"/>
        <v>640191.29999999993</v>
      </c>
      <c r="IE47" s="46">
        <f t="shared" si="13"/>
        <v>399983.73999999993</v>
      </c>
      <c r="IF47" s="46">
        <f t="shared" si="13"/>
        <v>1929706.52</v>
      </c>
      <c r="IG47" s="46">
        <f t="shared" si="13"/>
        <v>101668634.69</v>
      </c>
      <c r="IH47" s="107">
        <f t="shared" si="13"/>
        <v>820243.57</v>
      </c>
      <c r="II47" s="46">
        <f t="shared" si="13"/>
        <v>311090.2</v>
      </c>
      <c r="IJ47" s="46">
        <f t="shared" si="13"/>
        <v>70278910.120000005</v>
      </c>
      <c r="IK47" s="46">
        <f t="shared" si="13"/>
        <v>720979.95</v>
      </c>
      <c r="IL47" s="46">
        <f t="shared" si="13"/>
        <v>51432197.379999995</v>
      </c>
      <c r="IM47" s="46">
        <f t="shared" si="13"/>
        <v>2566918.09</v>
      </c>
      <c r="IN47" s="46">
        <f t="shared" si="13"/>
        <v>2845286.08</v>
      </c>
      <c r="IO47" s="46">
        <f t="shared" si="13"/>
        <v>3074704.67</v>
      </c>
      <c r="IP47" s="46">
        <f t="shared" si="13"/>
        <v>1714216.6800000002</v>
      </c>
      <c r="IQ47" s="46">
        <f t="shared" si="13"/>
        <v>19040965.370000001</v>
      </c>
      <c r="IR47" s="46">
        <f t="shared" si="13"/>
        <v>741955.94000000006</v>
      </c>
      <c r="IS47" s="46">
        <f t="shared" si="13"/>
        <v>1524540.8299999998</v>
      </c>
      <c r="IT47" s="46">
        <f t="shared" si="13"/>
        <v>529707.52000000002</v>
      </c>
      <c r="IU47" s="46">
        <f t="shared" si="13"/>
        <v>2223815425.5999999</v>
      </c>
      <c r="IV47" s="8"/>
    </row>
    <row r="48" spans="1:256" ht="14.1" customHeight="1" thickTop="1">
      <c r="A48" s="3" t="s">
        <v>14</v>
      </c>
      <c r="B48" s="3"/>
      <c r="C48" s="159">
        <v>178705.55</v>
      </c>
      <c r="D48" s="6">
        <v>296489.46000000002</v>
      </c>
      <c r="E48" s="6"/>
      <c r="F48" s="6"/>
      <c r="G48" s="6"/>
      <c r="H48" s="6">
        <v>222813.81</v>
      </c>
      <c r="I48" s="6">
        <v>259118.86</v>
      </c>
      <c r="J48" s="6">
        <v>247177.56</v>
      </c>
      <c r="K48" s="6">
        <v>171049.46</v>
      </c>
      <c r="L48" s="6">
        <v>158533.95000000001</v>
      </c>
      <c r="M48" s="6">
        <v>211918.24</v>
      </c>
      <c r="N48" s="226">
        <v>294114.45</v>
      </c>
      <c r="O48" s="6">
        <v>245450.99</v>
      </c>
      <c r="P48" s="6">
        <v>237375.42</v>
      </c>
      <c r="Q48" s="6">
        <v>204960.66</v>
      </c>
      <c r="R48" s="6">
        <v>164805.78</v>
      </c>
      <c r="S48" s="6">
        <v>289755.93</v>
      </c>
      <c r="T48" s="6">
        <v>251788.13</v>
      </c>
      <c r="U48" s="6">
        <v>159822.26999999999</v>
      </c>
      <c r="V48" s="6">
        <v>260220.43</v>
      </c>
      <c r="W48" s="159">
        <v>250630.64</v>
      </c>
      <c r="X48" s="6">
        <v>169578.7</v>
      </c>
      <c r="Y48" s="6">
        <v>39255.82</v>
      </c>
      <c r="Z48" s="6">
        <v>262096.81</v>
      </c>
      <c r="AA48" s="6">
        <v>225406.83</v>
      </c>
      <c r="AB48" s="6">
        <v>34587.269999999997</v>
      </c>
      <c r="AC48" s="6">
        <v>133731.19</v>
      </c>
      <c r="AD48" s="6">
        <v>115652.98</v>
      </c>
      <c r="AE48" s="6">
        <v>114091.07</v>
      </c>
      <c r="AF48" s="226">
        <v>270432.98</v>
      </c>
      <c r="AG48" s="6">
        <v>163545.28</v>
      </c>
      <c r="AH48" s="6">
        <v>122369.1</v>
      </c>
      <c r="AI48" s="6">
        <v>49705.95</v>
      </c>
      <c r="AJ48" s="6">
        <v>232791.3</v>
      </c>
      <c r="AK48" s="6">
        <v>8159494.6200000001</v>
      </c>
      <c r="AL48" s="6">
        <v>5368139.62</v>
      </c>
      <c r="AM48" s="6">
        <v>167261.68</v>
      </c>
      <c r="AN48" s="6">
        <v>255024.26</v>
      </c>
      <c r="AO48" s="6">
        <v>141387.66</v>
      </c>
      <c r="AP48" s="6">
        <v>121201.77</v>
      </c>
      <c r="AQ48" s="6">
        <v>273909.78999999998</v>
      </c>
      <c r="AR48" s="159">
        <v>173102.87</v>
      </c>
      <c r="AS48" s="6">
        <v>180251.39</v>
      </c>
      <c r="AT48" s="6">
        <v>1449676.42</v>
      </c>
      <c r="AU48" s="6">
        <v>137986.9</v>
      </c>
      <c r="AV48" s="226">
        <v>246028.73</v>
      </c>
      <c r="AW48" s="6">
        <v>322511.78000000003</v>
      </c>
      <c r="AX48" s="6">
        <v>137969.09</v>
      </c>
      <c r="AY48" s="6">
        <v>170011.34</v>
      </c>
      <c r="AZ48" s="6">
        <v>149716.41</v>
      </c>
      <c r="BA48" s="6">
        <v>87598.63</v>
      </c>
      <c r="BB48" s="6">
        <v>169412.23</v>
      </c>
      <c r="BC48" s="6">
        <v>256573.3</v>
      </c>
      <c r="BD48" s="6">
        <v>231200.23</v>
      </c>
      <c r="BE48" s="6">
        <v>159919.54</v>
      </c>
      <c r="BF48" s="6">
        <v>276354.28000000003</v>
      </c>
      <c r="BG48" s="6">
        <v>250028.93</v>
      </c>
      <c r="BH48" s="6">
        <v>187444.74</v>
      </c>
      <c r="BI48" s="6">
        <v>344760.86</v>
      </c>
      <c r="BJ48" s="6">
        <v>162346.66</v>
      </c>
      <c r="BK48" s="6">
        <v>167673.38</v>
      </c>
      <c r="BL48" s="6">
        <v>225717.55</v>
      </c>
      <c r="BM48" s="6">
        <v>159346.16</v>
      </c>
      <c r="BN48" s="159">
        <v>228256.22</v>
      </c>
      <c r="BO48" s="6">
        <v>159078.82999999999</v>
      </c>
      <c r="BP48" s="6">
        <v>118824.25</v>
      </c>
      <c r="BQ48" s="6">
        <v>194393.24</v>
      </c>
      <c r="BR48" s="6">
        <v>210036.7</v>
      </c>
      <c r="BS48" s="6">
        <v>203821.14</v>
      </c>
      <c r="BT48" s="6">
        <v>201206.84</v>
      </c>
      <c r="BU48" s="6">
        <v>248074.15</v>
      </c>
      <c r="BV48" s="6">
        <v>185678.24</v>
      </c>
      <c r="BW48" s="6">
        <v>216104.3</v>
      </c>
      <c r="BX48" s="6">
        <v>218690.37</v>
      </c>
      <c r="BY48" s="6">
        <v>228431.62</v>
      </c>
      <c r="BZ48" s="6">
        <v>244348.57</v>
      </c>
      <c r="CA48" s="6">
        <v>170778.57</v>
      </c>
      <c r="CB48" s="6"/>
      <c r="CC48" s="6"/>
      <c r="CD48" s="6">
        <v>142965.82999999999</v>
      </c>
      <c r="CE48" s="6">
        <v>159898.4</v>
      </c>
      <c r="CF48" s="6">
        <v>197887.53</v>
      </c>
      <c r="CG48" s="6">
        <v>181381.29</v>
      </c>
      <c r="CH48" s="6">
        <v>138106.23999999999</v>
      </c>
      <c r="CI48" s="159">
        <v>109751.15</v>
      </c>
      <c r="CJ48" s="6">
        <v>205069.06</v>
      </c>
      <c r="CK48" s="6">
        <v>643219.68999999994</v>
      </c>
      <c r="CL48" s="6">
        <v>103898.74</v>
      </c>
      <c r="CM48" s="6">
        <v>4808280.0199999996</v>
      </c>
      <c r="CN48" s="6">
        <v>247641.19</v>
      </c>
      <c r="CO48" s="6">
        <v>146150.62</v>
      </c>
      <c r="CP48" s="6">
        <v>144199.88</v>
      </c>
      <c r="CQ48" s="6">
        <v>148383.54999999999</v>
      </c>
      <c r="CR48" s="6">
        <v>70307.92</v>
      </c>
      <c r="CS48" s="6">
        <v>51023.48</v>
      </c>
      <c r="CT48" s="6">
        <v>155684.72</v>
      </c>
      <c r="CU48" s="6">
        <v>118097.3</v>
      </c>
      <c r="CV48" s="6">
        <v>185677.41</v>
      </c>
      <c r="CW48" s="6">
        <v>119207.25</v>
      </c>
      <c r="CX48" s="6">
        <v>142431.28</v>
      </c>
      <c r="CY48" s="6">
        <v>138663.59</v>
      </c>
      <c r="CZ48" s="6">
        <v>135351.15</v>
      </c>
      <c r="DA48" s="6">
        <v>109919.02</v>
      </c>
      <c r="DB48" s="6">
        <v>143527.49</v>
      </c>
      <c r="DC48" s="6">
        <v>142711.07</v>
      </c>
      <c r="DD48" s="159">
        <v>194973.67</v>
      </c>
      <c r="DE48" s="91">
        <v>2644.55</v>
      </c>
      <c r="DF48" s="6">
        <v>70572.08</v>
      </c>
      <c r="DG48" s="6">
        <v>171802.47</v>
      </c>
      <c r="DH48" s="6"/>
      <c r="DI48" s="6">
        <v>111158.48</v>
      </c>
      <c r="DJ48" s="6">
        <v>117955.22</v>
      </c>
      <c r="DK48" s="6">
        <v>121059.49</v>
      </c>
      <c r="DL48" s="6">
        <v>167296.21</v>
      </c>
      <c r="DM48" s="6">
        <v>184540.23</v>
      </c>
      <c r="DN48" s="6">
        <v>188803.97</v>
      </c>
      <c r="DO48" s="6">
        <v>221661.75</v>
      </c>
      <c r="DP48" s="6"/>
      <c r="DQ48" s="6">
        <v>122794.15</v>
      </c>
      <c r="DR48" s="91">
        <v>98721.2</v>
      </c>
      <c r="DS48" s="6"/>
      <c r="DT48" s="6">
        <v>79087.539999999994</v>
      </c>
      <c r="DU48" s="6">
        <v>203308.18</v>
      </c>
      <c r="DV48" s="6">
        <v>176111.09</v>
      </c>
      <c r="DW48" s="6">
        <v>206710.69</v>
      </c>
      <c r="DX48" s="6">
        <v>182985.94</v>
      </c>
      <c r="DY48" s="6">
        <v>127350.63</v>
      </c>
      <c r="DZ48" s="159">
        <v>347436.66</v>
      </c>
      <c r="EA48" s="6">
        <v>533663.05000000005</v>
      </c>
      <c r="EB48" s="6">
        <v>113741.24</v>
      </c>
      <c r="EC48" s="6">
        <v>507977.78</v>
      </c>
      <c r="ED48" s="6">
        <v>108473.31</v>
      </c>
      <c r="EE48" s="6">
        <v>162597.29</v>
      </c>
      <c r="EF48" s="6">
        <v>131602.60999999999</v>
      </c>
      <c r="EG48" s="36">
        <v>133053.10999999999</v>
      </c>
      <c r="EH48" s="6">
        <v>105420.68</v>
      </c>
      <c r="EI48" s="6">
        <v>160638.47</v>
      </c>
      <c r="EJ48" s="6">
        <v>126472.88</v>
      </c>
      <c r="EK48" s="78">
        <v>61334.52</v>
      </c>
      <c r="EL48" s="6">
        <v>1349852.89</v>
      </c>
      <c r="EM48" s="6"/>
      <c r="EN48" s="6">
        <v>137201.59</v>
      </c>
      <c r="EO48" s="6">
        <v>238328.15</v>
      </c>
      <c r="EP48" s="6">
        <v>79332.63</v>
      </c>
      <c r="EQ48" s="6">
        <v>190000.36</v>
      </c>
      <c r="ER48" s="6">
        <v>185103.55</v>
      </c>
      <c r="ES48" s="6">
        <v>196425.43</v>
      </c>
      <c r="ET48" s="6">
        <v>242344.39</v>
      </c>
      <c r="EU48" s="159">
        <v>466879.75</v>
      </c>
      <c r="EV48" s="6">
        <v>244698.48</v>
      </c>
      <c r="EW48" s="6">
        <v>207279.95</v>
      </c>
      <c r="EX48" s="6">
        <v>266685.03999999998</v>
      </c>
      <c r="EY48" s="6">
        <v>177043.92</v>
      </c>
      <c r="EZ48" s="6">
        <v>65068.31</v>
      </c>
      <c r="FA48" s="6">
        <v>174450.94</v>
      </c>
      <c r="FB48" s="6">
        <v>266261.71999999997</v>
      </c>
      <c r="FC48" s="6">
        <v>230556.95</v>
      </c>
      <c r="FD48" s="6">
        <v>261182.11</v>
      </c>
      <c r="FE48" s="226">
        <v>216631.72</v>
      </c>
      <c r="FF48" s="6">
        <v>201588.44</v>
      </c>
      <c r="FG48" s="6">
        <v>222596.27</v>
      </c>
      <c r="FH48" s="6">
        <v>205270.11</v>
      </c>
      <c r="FI48" s="226">
        <v>225277.07</v>
      </c>
      <c r="FJ48" s="6">
        <v>206517.16</v>
      </c>
      <c r="FK48" s="6">
        <v>401092.18</v>
      </c>
      <c r="FL48" s="78">
        <v>243334.31</v>
      </c>
      <c r="FM48" s="6">
        <v>149309.79</v>
      </c>
      <c r="FN48" s="6">
        <v>220941.85</v>
      </c>
      <c r="FO48" s="6">
        <v>1145901.0900000001</v>
      </c>
      <c r="FP48" s="159">
        <v>177309.97</v>
      </c>
      <c r="FQ48" s="6"/>
      <c r="FR48" s="6">
        <v>836155</v>
      </c>
      <c r="FS48" s="6">
        <v>274264.02</v>
      </c>
      <c r="FT48" s="6">
        <v>537200.04</v>
      </c>
      <c r="FU48" s="6">
        <v>223167.4</v>
      </c>
      <c r="FV48" s="6">
        <v>428720.41</v>
      </c>
      <c r="FW48" s="6"/>
      <c r="FX48" s="6">
        <v>473685.72</v>
      </c>
      <c r="FY48" s="6">
        <v>261399.21</v>
      </c>
      <c r="FZ48" s="226">
        <v>396323.4</v>
      </c>
      <c r="GA48" s="6">
        <v>355893.53</v>
      </c>
      <c r="GB48" s="6">
        <v>260348.23</v>
      </c>
      <c r="GC48" s="6">
        <v>180315.46</v>
      </c>
      <c r="GD48" s="6">
        <v>986207.07</v>
      </c>
      <c r="GE48" s="6">
        <v>252429.08</v>
      </c>
      <c r="GF48" s="6">
        <v>192596.45</v>
      </c>
      <c r="GG48" s="6"/>
      <c r="GH48" s="6">
        <v>307387.34000000003</v>
      </c>
      <c r="GI48" s="6">
        <v>213888.01</v>
      </c>
      <c r="GJ48" s="6">
        <v>1073709.17</v>
      </c>
      <c r="GK48" s="6">
        <v>380333.22</v>
      </c>
      <c r="GL48" s="159">
        <v>350394.62</v>
      </c>
      <c r="GM48" s="6">
        <v>220080.93</v>
      </c>
      <c r="GN48" s="6">
        <v>228725.79</v>
      </c>
      <c r="GO48" s="6">
        <v>312393.27</v>
      </c>
      <c r="GP48" s="6"/>
      <c r="GQ48" s="6">
        <v>204366.55</v>
      </c>
      <c r="GR48" s="6">
        <v>496550.11</v>
      </c>
      <c r="GS48" s="6">
        <v>223534.99</v>
      </c>
      <c r="GT48" s="6">
        <v>421153.87</v>
      </c>
      <c r="GU48" s="242">
        <v>385321.89</v>
      </c>
      <c r="GV48" s="6">
        <v>202452.64</v>
      </c>
      <c r="GW48" s="6">
        <v>185754.48</v>
      </c>
      <c r="GX48" s="6">
        <v>241783.06</v>
      </c>
      <c r="GY48" s="6">
        <v>148585.59</v>
      </c>
      <c r="GZ48" s="6">
        <v>849705.7</v>
      </c>
      <c r="HA48" s="6">
        <v>205424.75</v>
      </c>
      <c r="HB48" s="6">
        <v>980333.66</v>
      </c>
      <c r="HC48" s="6">
        <v>242279.3</v>
      </c>
      <c r="HD48" s="159">
        <v>167694.01999999999</v>
      </c>
      <c r="HE48" s="6">
        <v>217134.5</v>
      </c>
      <c r="HF48" s="6">
        <v>333354.06</v>
      </c>
      <c r="HG48" s="6"/>
      <c r="HH48" s="6"/>
      <c r="HI48" s="6">
        <v>189601.13</v>
      </c>
      <c r="HJ48" s="6">
        <v>2696028.61</v>
      </c>
      <c r="HK48" s="6">
        <v>586602.6</v>
      </c>
      <c r="HL48" s="6">
        <v>202969.62</v>
      </c>
      <c r="HM48" s="6">
        <v>322857.77</v>
      </c>
      <c r="HN48" s="134">
        <v>379165.1</v>
      </c>
      <c r="HO48" s="78">
        <v>306559.18</v>
      </c>
      <c r="HP48" s="6">
        <v>203268.63</v>
      </c>
      <c r="HQ48" s="6">
        <v>196000.29</v>
      </c>
      <c r="HR48" s="6">
        <v>213351.57</v>
      </c>
      <c r="HS48" s="6">
        <v>104322.06</v>
      </c>
      <c r="HT48" s="6">
        <v>236476.96</v>
      </c>
      <c r="HU48" s="6">
        <v>179086.99</v>
      </c>
      <c r="HV48" s="6">
        <v>207466.72</v>
      </c>
      <c r="HW48" s="6">
        <v>110812.96</v>
      </c>
      <c r="HX48" s="6">
        <v>180700.3</v>
      </c>
      <c r="HY48" s="6">
        <v>195986.47</v>
      </c>
      <c r="HZ48" s="159">
        <v>247063.09</v>
      </c>
      <c r="IA48" s="6">
        <v>308807.49</v>
      </c>
      <c r="IB48" s="6">
        <v>215577.57</v>
      </c>
      <c r="IC48" s="6">
        <v>125450.63</v>
      </c>
      <c r="ID48" s="6">
        <v>175502.05</v>
      </c>
      <c r="IE48" s="6">
        <v>252002.98</v>
      </c>
      <c r="IF48" s="6">
        <v>317501.37</v>
      </c>
      <c r="IG48" s="6">
        <v>128386.67</v>
      </c>
      <c r="IH48" s="108"/>
      <c r="II48" s="6">
        <v>664205.19999999995</v>
      </c>
      <c r="IJ48" s="6">
        <v>332449.74</v>
      </c>
      <c r="IK48" s="6">
        <v>575419.02</v>
      </c>
      <c r="IL48" s="6">
        <v>191636.49</v>
      </c>
      <c r="IM48" s="6">
        <v>157592.09</v>
      </c>
      <c r="IN48" s="6">
        <v>171462.2</v>
      </c>
      <c r="IO48" s="6">
        <v>302094.51</v>
      </c>
      <c r="IP48" s="6">
        <v>175207.42</v>
      </c>
      <c r="IQ48" s="6">
        <v>189458.89</v>
      </c>
      <c r="IR48" s="6">
        <v>669427.30000000005</v>
      </c>
      <c r="IS48" s="6">
        <v>203669.03</v>
      </c>
      <c r="IT48" s="159">
        <v>1233652.28</v>
      </c>
      <c r="IU48" s="4"/>
      <c r="IV48" s="8"/>
    </row>
    <row r="49" spans="1:256" ht="14.1" customHeight="1">
      <c r="A49" s="4" t="s">
        <v>15</v>
      </c>
      <c r="B49" s="4"/>
      <c r="C49" s="156">
        <v>17200000</v>
      </c>
      <c r="D49" s="1">
        <v>55000000</v>
      </c>
      <c r="E49" s="1">
        <v>3800000</v>
      </c>
      <c r="F49" s="1">
        <v>37000000</v>
      </c>
      <c r="G49" s="1">
        <v>41200000</v>
      </c>
      <c r="H49" s="1">
        <v>25800000</v>
      </c>
      <c r="I49" s="1">
        <v>17300000</v>
      </c>
      <c r="J49" s="1"/>
      <c r="K49" s="1"/>
      <c r="L49" s="1">
        <v>51700000</v>
      </c>
      <c r="M49" s="1"/>
      <c r="N49" s="227"/>
      <c r="O49" s="1">
        <v>2300000</v>
      </c>
      <c r="P49" s="1">
        <v>4400000</v>
      </c>
      <c r="Q49" s="1"/>
      <c r="R49" s="1">
        <v>5100000</v>
      </c>
      <c r="S49" s="1"/>
      <c r="T49" s="1">
        <v>200000</v>
      </c>
      <c r="U49" s="1">
        <v>3300000</v>
      </c>
      <c r="V49" s="1">
        <v>3000000</v>
      </c>
      <c r="W49" s="156">
        <v>900000</v>
      </c>
      <c r="X49" s="1">
        <v>1900000</v>
      </c>
      <c r="Y49" s="1">
        <v>8400000</v>
      </c>
      <c r="Z49" s="1"/>
      <c r="AA49" s="1"/>
      <c r="AB49" s="1"/>
      <c r="AC49" s="1"/>
      <c r="AD49" s="1"/>
      <c r="AE49" s="1"/>
      <c r="AF49" s="227"/>
      <c r="AG49" s="1"/>
      <c r="AH49" s="1"/>
      <c r="AI49" s="1"/>
      <c r="AJ49" s="1"/>
      <c r="AK49" s="1"/>
      <c r="AL49" s="1"/>
      <c r="AM49" s="1">
        <v>5700000</v>
      </c>
      <c r="AN49" s="1">
        <v>6300000</v>
      </c>
      <c r="AO49" s="1"/>
      <c r="AP49" s="1">
        <v>2300000</v>
      </c>
      <c r="AQ49" s="1"/>
      <c r="AR49" s="156"/>
      <c r="AS49" s="1"/>
      <c r="AT49" s="1">
        <f>12000000</f>
        <v>12000000</v>
      </c>
      <c r="AU49" s="1">
        <v>2000000</v>
      </c>
      <c r="AV49" s="227"/>
      <c r="AW49" s="1"/>
      <c r="AX49" s="1"/>
      <c r="AY49" s="1"/>
      <c r="AZ49" s="1">
        <v>400000</v>
      </c>
      <c r="BA49" s="1"/>
      <c r="BB49" s="1">
        <v>2000000</v>
      </c>
      <c r="BC49" s="1"/>
      <c r="BD49" s="1"/>
      <c r="BE49" s="1"/>
      <c r="BF49" s="1"/>
      <c r="BG49" s="1">
        <v>1300000</v>
      </c>
      <c r="BH49" s="1"/>
      <c r="BI49" s="1">
        <v>4400000</v>
      </c>
      <c r="BJ49" s="1"/>
      <c r="BK49" s="1">
        <v>4200000</v>
      </c>
      <c r="BL49" s="1"/>
      <c r="BM49" s="1">
        <v>800000</v>
      </c>
      <c r="BN49" s="156"/>
      <c r="BO49" s="1"/>
      <c r="BP49" s="1"/>
      <c r="BQ49" s="1"/>
      <c r="BR49" s="1"/>
      <c r="BS49" s="1"/>
      <c r="BT49" s="1">
        <v>300000</v>
      </c>
      <c r="BU49" s="1"/>
      <c r="BV49" s="1">
        <v>59900000</v>
      </c>
      <c r="BW49" s="1">
        <v>34600000</v>
      </c>
      <c r="BX49" s="1"/>
      <c r="BY49" s="1"/>
      <c r="BZ49" s="1"/>
      <c r="CA49" s="1"/>
      <c r="CB49" s="1"/>
      <c r="CC49" s="1"/>
      <c r="CD49" s="1"/>
      <c r="CE49" s="1"/>
      <c r="CF49" s="1">
        <v>9600000</v>
      </c>
      <c r="CG49" s="1"/>
      <c r="CH49" s="1"/>
      <c r="CI49" s="156"/>
      <c r="CJ49" s="1"/>
      <c r="CK49" s="1"/>
      <c r="CL49" s="1">
        <v>6000000</v>
      </c>
      <c r="CM49" s="1"/>
      <c r="CN49" s="1">
        <v>5000000</v>
      </c>
      <c r="CO49" s="1">
        <v>28600000</v>
      </c>
      <c r="CP49" s="1"/>
      <c r="CQ49" s="1"/>
      <c r="CR49" s="1">
        <v>500000</v>
      </c>
      <c r="CS49" s="1">
        <v>13200000</v>
      </c>
      <c r="CT49" s="1"/>
      <c r="CU49" s="1"/>
      <c r="CV49" s="1"/>
      <c r="CW49" s="1"/>
      <c r="CX49" s="1"/>
      <c r="CY49" s="1"/>
      <c r="CZ49" s="1">
        <v>750000</v>
      </c>
      <c r="DA49" s="1">
        <v>3000000</v>
      </c>
      <c r="DB49" s="1">
        <v>1300000</v>
      </c>
      <c r="DC49" s="1">
        <v>2600000</v>
      </c>
      <c r="DD49" s="156"/>
      <c r="DE49" s="88"/>
      <c r="DF49" s="1"/>
      <c r="DG49" s="1"/>
      <c r="DH49" s="1"/>
      <c r="DI49" s="1">
        <v>500000</v>
      </c>
      <c r="DJ49" s="1"/>
      <c r="DK49" s="1">
        <v>400000</v>
      </c>
      <c r="DL49" s="1"/>
      <c r="DM49" s="1">
        <v>49200000</v>
      </c>
      <c r="DN49" s="1"/>
      <c r="DO49" s="1">
        <v>18000000</v>
      </c>
      <c r="DP49" s="1">
        <v>1400000</v>
      </c>
      <c r="DQ49" s="1"/>
      <c r="DR49" s="88">
        <v>800000</v>
      </c>
      <c r="DS49" s="1">
        <v>0</v>
      </c>
      <c r="DT49" s="1"/>
      <c r="DU49" s="1">
        <v>1200000</v>
      </c>
      <c r="DV49" s="1">
        <v>2200000</v>
      </c>
      <c r="DW49" s="1">
        <v>3000000</v>
      </c>
      <c r="DX49" s="1">
        <v>6800000</v>
      </c>
      <c r="DY49" s="1"/>
      <c r="DZ49" s="156"/>
      <c r="EA49" s="1"/>
      <c r="EB49" s="1"/>
      <c r="EC49" s="1"/>
      <c r="ED49" s="1"/>
      <c r="EE49" s="1"/>
      <c r="EF49" s="1"/>
      <c r="EG49" s="37">
        <v>126400000</v>
      </c>
      <c r="EH49" s="1">
        <v>10000000</v>
      </c>
      <c r="EI49" s="1"/>
      <c r="EJ49" s="1"/>
      <c r="EK49" s="75"/>
      <c r="EL49" s="1">
        <v>0</v>
      </c>
      <c r="EM49" s="1">
        <v>3400000</v>
      </c>
      <c r="EN49" s="1">
        <v>3200000</v>
      </c>
      <c r="EO49" s="1">
        <v>0</v>
      </c>
      <c r="EP49" s="1">
        <v>0</v>
      </c>
      <c r="EQ49" s="1">
        <v>1900000</v>
      </c>
      <c r="ER49" s="1">
        <v>0</v>
      </c>
      <c r="ES49" s="1">
        <v>0</v>
      </c>
      <c r="ET49" s="1">
        <v>0</v>
      </c>
      <c r="EU49" s="156">
        <v>0</v>
      </c>
      <c r="EV49" s="1">
        <v>0</v>
      </c>
      <c r="EW49" s="1">
        <v>0</v>
      </c>
      <c r="EX49" s="1">
        <v>900000</v>
      </c>
      <c r="EY49" s="1">
        <v>0</v>
      </c>
      <c r="EZ49" s="1">
        <v>0</v>
      </c>
      <c r="FA49" s="1">
        <v>68700000</v>
      </c>
      <c r="FB49" s="1">
        <v>900000</v>
      </c>
      <c r="FC49" s="1">
        <v>0</v>
      </c>
      <c r="FD49" s="1">
        <v>0</v>
      </c>
      <c r="FE49" s="227">
        <v>0</v>
      </c>
      <c r="FF49" s="1">
        <v>0</v>
      </c>
      <c r="FG49" s="1">
        <v>3700000</v>
      </c>
      <c r="FH49" s="1">
        <v>0</v>
      </c>
      <c r="FI49" s="227">
        <v>0</v>
      </c>
      <c r="FJ49" s="1">
        <v>5800000</v>
      </c>
      <c r="FK49" s="1">
        <v>7600000</v>
      </c>
      <c r="FL49" s="75">
        <v>15350000</v>
      </c>
      <c r="FM49" s="1">
        <v>119750000</v>
      </c>
      <c r="FN49" s="1">
        <v>0</v>
      </c>
      <c r="FO49" s="1">
        <v>0</v>
      </c>
      <c r="FP49" s="156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400000</v>
      </c>
      <c r="FX49" s="1">
        <v>0</v>
      </c>
      <c r="FY49" s="1">
        <v>0</v>
      </c>
      <c r="FZ49" s="227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86500000</v>
      </c>
      <c r="GI49" s="1">
        <f>8800000+75000000</f>
        <v>83800000</v>
      </c>
      <c r="GJ49" s="1">
        <v>0</v>
      </c>
      <c r="GK49" s="1">
        <v>0</v>
      </c>
      <c r="GL49" s="156">
        <v>0</v>
      </c>
      <c r="GM49" s="1">
        <v>0</v>
      </c>
      <c r="GN49" s="1">
        <v>0</v>
      </c>
      <c r="GO49" s="1">
        <v>600000</v>
      </c>
      <c r="GP49" s="1">
        <v>0</v>
      </c>
      <c r="GQ49" s="1">
        <v>0</v>
      </c>
      <c r="GR49" s="1">
        <v>2000000</v>
      </c>
      <c r="GS49" s="1">
        <v>0</v>
      </c>
      <c r="GT49" s="1">
        <v>1500000</v>
      </c>
      <c r="GU49" s="195">
        <v>2600000</v>
      </c>
      <c r="GV49" s="1">
        <v>0</v>
      </c>
      <c r="GW49" s="1">
        <v>1200000</v>
      </c>
      <c r="GX49" s="1">
        <v>4600000</v>
      </c>
      <c r="GY49" s="1">
        <v>1500000</v>
      </c>
      <c r="GZ49" s="1">
        <v>0</v>
      </c>
      <c r="HA49" s="1">
        <v>0</v>
      </c>
      <c r="HB49" s="1">
        <v>1600000</v>
      </c>
      <c r="HC49" s="1">
        <v>0</v>
      </c>
      <c r="HD49" s="156">
        <v>0</v>
      </c>
      <c r="HE49" s="1">
        <v>7200000</v>
      </c>
      <c r="HF49" s="1">
        <v>3500000</v>
      </c>
      <c r="HG49" s="1">
        <v>5300000</v>
      </c>
      <c r="HH49" s="1">
        <v>2600000</v>
      </c>
      <c r="HI49" s="1">
        <v>0</v>
      </c>
      <c r="HJ49" s="1">
        <v>0</v>
      </c>
      <c r="HK49" s="1">
        <v>2600000</v>
      </c>
      <c r="HL49" s="1">
        <v>1600000</v>
      </c>
      <c r="HM49" s="1">
        <v>7400000</v>
      </c>
      <c r="HN49" s="131">
        <v>900000</v>
      </c>
      <c r="HO49" s="75"/>
      <c r="HP49" s="1">
        <v>3900000</v>
      </c>
      <c r="HQ49" s="1">
        <v>400000</v>
      </c>
      <c r="HR49" s="1">
        <v>900000</v>
      </c>
      <c r="HS49" s="1">
        <v>1600000</v>
      </c>
      <c r="HT49" s="1">
        <v>6600000</v>
      </c>
      <c r="HU49" s="1">
        <v>6600000</v>
      </c>
      <c r="HV49" s="1">
        <v>16500000</v>
      </c>
      <c r="HW49" s="1">
        <v>2000000</v>
      </c>
      <c r="HX49" s="1">
        <v>0</v>
      </c>
      <c r="HY49" s="1">
        <v>15300000</v>
      </c>
      <c r="HZ49" s="156">
        <v>6200000</v>
      </c>
      <c r="IA49" s="1">
        <v>17500000</v>
      </c>
      <c r="IB49" s="1">
        <v>0</v>
      </c>
      <c r="IC49" s="1">
        <v>17300000</v>
      </c>
      <c r="ID49" s="1">
        <v>0</v>
      </c>
      <c r="IE49" s="1">
        <v>12200000</v>
      </c>
      <c r="IF49" s="1">
        <v>15000000</v>
      </c>
      <c r="IG49" s="1">
        <v>0</v>
      </c>
      <c r="IH49" s="103">
        <v>53000000</v>
      </c>
      <c r="II49" s="1">
        <v>21200000</v>
      </c>
      <c r="IJ49" s="1">
        <v>0</v>
      </c>
      <c r="IK49" s="1">
        <v>8600000</v>
      </c>
      <c r="IL49" s="1">
        <v>0</v>
      </c>
      <c r="IM49" s="1">
        <v>4750000</v>
      </c>
      <c r="IN49" s="1">
        <v>4900000</v>
      </c>
      <c r="IO49" s="1">
        <v>1200000</v>
      </c>
      <c r="IP49" s="1">
        <v>9200000</v>
      </c>
      <c r="IQ49" s="1">
        <v>4600000</v>
      </c>
      <c r="IR49" s="1">
        <v>27600000</v>
      </c>
      <c r="IS49" s="1">
        <v>0</v>
      </c>
      <c r="IT49" s="156">
        <v>16800000</v>
      </c>
      <c r="IU49" s="4"/>
      <c r="IV49" s="8"/>
    </row>
    <row r="50" spans="1:256" s="8" customFormat="1" ht="14.1" customHeight="1">
      <c r="A50" s="5" t="s">
        <v>39</v>
      </c>
      <c r="B50" s="13"/>
      <c r="C50" s="157">
        <f t="shared" ref="C50:I50" si="14">SUM(C47:C49)</f>
        <v>18026558.239999998</v>
      </c>
      <c r="D50" s="5">
        <f t="shared" si="14"/>
        <v>56095309.5</v>
      </c>
      <c r="E50" s="5">
        <f t="shared" si="14"/>
        <v>7968295.0600000005</v>
      </c>
      <c r="F50" s="5">
        <f t="shared" si="14"/>
        <v>37789798.420000002</v>
      </c>
      <c r="G50" s="5">
        <f t="shared" si="14"/>
        <v>56850364.460000001</v>
      </c>
      <c r="H50" s="5">
        <f t="shared" si="14"/>
        <v>426834489.18000001</v>
      </c>
      <c r="I50" s="5">
        <f t="shared" si="14"/>
        <v>22669221.18</v>
      </c>
      <c r="J50" s="5">
        <f>SUM(J47:J49)+0.51</f>
        <v>1825821.2000000002</v>
      </c>
      <c r="K50" s="5">
        <f t="shared" ref="K50:BV50" si="15">SUM(K47:K49)</f>
        <v>3908015.7399999998</v>
      </c>
      <c r="L50" s="5">
        <f t="shared" si="15"/>
        <v>52700750.670000002</v>
      </c>
      <c r="M50" s="5">
        <f t="shared" si="15"/>
        <v>1410442.46</v>
      </c>
      <c r="N50" s="228">
        <f t="shared" si="15"/>
        <v>67956327.819999993</v>
      </c>
      <c r="O50" s="5">
        <f t="shared" si="15"/>
        <v>5922290.3899999997</v>
      </c>
      <c r="P50" s="5">
        <f t="shared" si="15"/>
        <v>6358581.6500000004</v>
      </c>
      <c r="Q50" s="5">
        <f t="shared" si="15"/>
        <v>7653696.3799999999</v>
      </c>
      <c r="R50" s="5">
        <f t="shared" si="15"/>
        <v>6502900.5200000005</v>
      </c>
      <c r="S50" s="5">
        <f t="shared" si="15"/>
        <v>6932650.3399999999</v>
      </c>
      <c r="T50" s="5">
        <f t="shared" si="15"/>
        <v>1906129.37</v>
      </c>
      <c r="U50" s="5">
        <f t="shared" si="15"/>
        <v>6281366.2699999996</v>
      </c>
      <c r="V50" s="5">
        <f t="shared" si="15"/>
        <v>4368751.49</v>
      </c>
      <c r="W50" s="157">
        <f t="shared" si="15"/>
        <v>3284105.2100000009</v>
      </c>
      <c r="X50" s="5">
        <f t="shared" si="15"/>
        <v>3483756.8</v>
      </c>
      <c r="Y50" s="5">
        <f t="shared" si="15"/>
        <v>10512963.949999999</v>
      </c>
      <c r="Z50" s="5">
        <f t="shared" si="15"/>
        <v>4587170.79</v>
      </c>
      <c r="AA50" s="5">
        <f t="shared" si="15"/>
        <v>14820982.84</v>
      </c>
      <c r="AB50" s="5">
        <f t="shared" si="15"/>
        <v>3978458.83</v>
      </c>
      <c r="AC50" s="5">
        <f t="shared" si="15"/>
        <v>5439018.9000000004</v>
      </c>
      <c r="AD50" s="5">
        <f t="shared" si="15"/>
        <v>1985334.0599999998</v>
      </c>
      <c r="AE50" s="5">
        <f t="shared" si="15"/>
        <v>1280444.24</v>
      </c>
      <c r="AF50" s="228">
        <f t="shared" si="15"/>
        <v>59344856.429999992</v>
      </c>
      <c r="AG50" s="5">
        <f t="shared" si="15"/>
        <v>11144191.039999999</v>
      </c>
      <c r="AH50" s="5">
        <f t="shared" si="15"/>
        <v>812987.27999999991</v>
      </c>
      <c r="AI50" s="5">
        <f t="shared" si="15"/>
        <v>1163118.0399999998</v>
      </c>
      <c r="AJ50" s="5">
        <f t="shared" si="15"/>
        <v>2305699.42</v>
      </c>
      <c r="AK50" s="5">
        <f t="shared" si="15"/>
        <v>8545949.0899999999</v>
      </c>
      <c r="AL50" s="5">
        <f t="shared" si="15"/>
        <v>8963546.8099999987</v>
      </c>
      <c r="AM50" s="5">
        <f t="shared" si="15"/>
        <v>7437364.4399999995</v>
      </c>
      <c r="AN50" s="5">
        <f t="shared" si="15"/>
        <v>7101060.1600000001</v>
      </c>
      <c r="AO50" s="5">
        <f t="shared" si="15"/>
        <v>3768593.39</v>
      </c>
      <c r="AP50" s="5">
        <f t="shared" si="15"/>
        <v>3579648.8</v>
      </c>
      <c r="AQ50" s="5">
        <f t="shared" si="15"/>
        <v>2545163.7699999996</v>
      </c>
      <c r="AR50" s="157">
        <f t="shared" si="15"/>
        <v>2376192.41</v>
      </c>
      <c r="AS50" s="5">
        <f t="shared" si="15"/>
        <v>1859666.81</v>
      </c>
      <c r="AT50" s="5">
        <f t="shared" si="15"/>
        <v>14686010.810000001</v>
      </c>
      <c r="AU50" s="5">
        <f t="shared" si="15"/>
        <v>4489659.5600000005</v>
      </c>
      <c r="AV50" s="228">
        <f t="shared" si="15"/>
        <v>21582413.68</v>
      </c>
      <c r="AW50" s="5">
        <f t="shared" si="15"/>
        <v>4824804.9500000011</v>
      </c>
      <c r="AX50" s="5">
        <f t="shared" si="15"/>
        <v>807149.05</v>
      </c>
      <c r="AY50" s="5">
        <f t="shared" si="15"/>
        <v>2208993.33</v>
      </c>
      <c r="AZ50" s="5">
        <f t="shared" si="15"/>
        <v>1275762.01</v>
      </c>
      <c r="BA50" s="5">
        <f t="shared" si="15"/>
        <v>4749485.7300000004</v>
      </c>
      <c r="BB50" s="5">
        <f t="shared" si="15"/>
        <v>5549569.9700000007</v>
      </c>
      <c r="BC50" s="5">
        <f t="shared" si="15"/>
        <v>59376030.939999998</v>
      </c>
      <c r="BD50" s="5">
        <f t="shared" si="15"/>
        <v>16777073.080000002</v>
      </c>
      <c r="BE50" s="5">
        <f t="shared" si="15"/>
        <v>2676821.08</v>
      </c>
      <c r="BF50" s="5">
        <f t="shared" si="15"/>
        <v>4573959.8900000006</v>
      </c>
      <c r="BG50" s="5">
        <f t="shared" si="15"/>
        <v>4077717.3800000004</v>
      </c>
      <c r="BH50" s="5">
        <f t="shared" si="15"/>
        <v>1638093.57</v>
      </c>
      <c r="BI50" s="5">
        <f t="shared" si="15"/>
        <v>6474926.4100000001</v>
      </c>
      <c r="BJ50" s="5">
        <f t="shared" si="15"/>
        <v>3828252.92</v>
      </c>
      <c r="BK50" s="5">
        <f t="shared" si="15"/>
        <v>5097043.9000000004</v>
      </c>
      <c r="BL50" s="5">
        <f t="shared" si="15"/>
        <v>5508197</v>
      </c>
      <c r="BM50" s="5">
        <f t="shared" si="15"/>
        <v>2469286.02</v>
      </c>
      <c r="BN50" s="157">
        <f t="shared" si="15"/>
        <v>28676246.449999999</v>
      </c>
      <c r="BO50" s="5">
        <f t="shared" si="15"/>
        <v>831776.15999999992</v>
      </c>
      <c r="BP50" s="5">
        <f t="shared" si="15"/>
        <v>4172593.88</v>
      </c>
      <c r="BQ50" s="5">
        <f t="shared" si="15"/>
        <v>3527357.04</v>
      </c>
      <c r="BR50" s="5">
        <f t="shared" si="15"/>
        <v>14944397.58</v>
      </c>
      <c r="BS50" s="5">
        <f t="shared" si="15"/>
        <v>1378233.1300000004</v>
      </c>
      <c r="BT50" s="5">
        <f t="shared" si="15"/>
        <v>1440511.8900000001</v>
      </c>
      <c r="BU50" s="5">
        <f t="shared" si="15"/>
        <v>976842.42999999993</v>
      </c>
      <c r="BV50" s="5">
        <f t="shared" si="15"/>
        <v>65835206.359999999</v>
      </c>
      <c r="BW50" s="5">
        <f t="shared" ref="BW50:EH50" si="16">SUM(BW47:BW49)</f>
        <v>35538166.009999998</v>
      </c>
      <c r="BX50" s="5">
        <f t="shared" si="16"/>
        <v>1020408.22</v>
      </c>
      <c r="BY50" s="5">
        <f t="shared" si="16"/>
        <v>61328349.029999994</v>
      </c>
      <c r="BZ50" s="5">
        <f t="shared" si="16"/>
        <v>17048064.610000003</v>
      </c>
      <c r="CA50" s="5">
        <f t="shared" si="16"/>
        <v>7781813.8000000007</v>
      </c>
      <c r="CB50" s="5">
        <f t="shared" si="16"/>
        <v>1731501.7199999997</v>
      </c>
      <c r="CC50" s="5">
        <f t="shared" si="16"/>
        <v>2654085.9900000002</v>
      </c>
      <c r="CD50" s="5">
        <f t="shared" si="16"/>
        <v>1247711.4700000002</v>
      </c>
      <c r="CE50" s="5">
        <f t="shared" si="16"/>
        <v>1050096.72</v>
      </c>
      <c r="CF50" s="5">
        <f t="shared" si="16"/>
        <v>15250015.950000001</v>
      </c>
      <c r="CG50" s="5">
        <f t="shared" si="16"/>
        <v>1744476.02</v>
      </c>
      <c r="CH50" s="5">
        <f t="shared" si="16"/>
        <v>1388486.29</v>
      </c>
      <c r="CI50" s="157">
        <f t="shared" si="16"/>
        <v>4948924.62</v>
      </c>
      <c r="CJ50" s="5">
        <f t="shared" si="16"/>
        <v>3405593.95</v>
      </c>
      <c r="CK50" s="5">
        <f t="shared" si="16"/>
        <v>3706883.0100000002</v>
      </c>
      <c r="CL50" s="5">
        <f t="shared" si="16"/>
        <v>11043921.16</v>
      </c>
      <c r="CM50" s="5">
        <f t="shared" si="16"/>
        <v>5459485.8999999994</v>
      </c>
      <c r="CN50" s="5">
        <f t="shared" si="16"/>
        <v>25170563.84</v>
      </c>
      <c r="CO50" s="5">
        <f t="shared" si="16"/>
        <v>30912075.390000001</v>
      </c>
      <c r="CP50" s="5">
        <f t="shared" si="16"/>
        <v>2369362.86</v>
      </c>
      <c r="CQ50" s="5">
        <f t="shared" si="16"/>
        <v>1382627.5</v>
      </c>
      <c r="CR50" s="5">
        <f t="shared" si="16"/>
        <v>1572870.42</v>
      </c>
      <c r="CS50" s="5">
        <f t="shared" si="16"/>
        <v>75109629.060000002</v>
      </c>
      <c r="CT50" s="5">
        <f t="shared" si="16"/>
        <v>11435753.189999999</v>
      </c>
      <c r="CU50" s="5">
        <f t="shared" si="16"/>
        <v>1795179.02</v>
      </c>
      <c r="CV50" s="5">
        <f t="shared" si="16"/>
        <v>2883401.14</v>
      </c>
      <c r="CW50" s="5">
        <f t="shared" si="16"/>
        <v>2813403.2899999996</v>
      </c>
      <c r="CX50" s="5">
        <f t="shared" si="16"/>
        <v>2570700.5599999996</v>
      </c>
      <c r="CY50" s="5">
        <f t="shared" si="16"/>
        <v>5231849.18</v>
      </c>
      <c r="CZ50" s="5">
        <f t="shared" si="16"/>
        <v>3111513.65</v>
      </c>
      <c r="DA50" s="5">
        <f t="shared" si="16"/>
        <v>5213437.1500000004</v>
      </c>
      <c r="DB50" s="5">
        <f t="shared" si="16"/>
        <v>6138416.8000000007</v>
      </c>
      <c r="DC50" s="5">
        <f t="shared" si="16"/>
        <v>8701092.1999999993</v>
      </c>
      <c r="DD50" s="157">
        <f t="shared" si="16"/>
        <v>4371455.1000000006</v>
      </c>
      <c r="DE50" s="89">
        <f t="shared" si="16"/>
        <v>9298938.6500000004</v>
      </c>
      <c r="DF50" s="5">
        <f t="shared" si="16"/>
        <v>2049523</v>
      </c>
      <c r="DG50" s="5">
        <f t="shared" si="16"/>
        <v>7535229.4200000009</v>
      </c>
      <c r="DH50" s="5">
        <f t="shared" si="16"/>
        <v>2587310.2700000005</v>
      </c>
      <c r="DI50" s="5">
        <f t="shared" si="16"/>
        <v>2411612.96</v>
      </c>
      <c r="DJ50" s="5">
        <f t="shared" si="16"/>
        <v>410472.56999999995</v>
      </c>
      <c r="DK50" s="5">
        <f t="shared" si="16"/>
        <v>1107942.79</v>
      </c>
      <c r="DL50" s="5">
        <f t="shared" si="16"/>
        <v>2123774.66</v>
      </c>
      <c r="DM50" s="5">
        <f t="shared" si="16"/>
        <v>50167296.210000001</v>
      </c>
      <c r="DN50" s="5">
        <f t="shared" si="16"/>
        <v>62238522.229999997</v>
      </c>
      <c r="DO50" s="5">
        <f t="shared" si="16"/>
        <v>30393751.460000001</v>
      </c>
      <c r="DP50" s="5">
        <f t="shared" si="16"/>
        <v>1699758.73</v>
      </c>
      <c r="DQ50" s="5">
        <f t="shared" si="16"/>
        <v>2135749.11</v>
      </c>
      <c r="DR50" s="89">
        <f t="shared" si="16"/>
        <v>1360641.18</v>
      </c>
      <c r="DS50" s="5">
        <f t="shared" si="16"/>
        <v>902064.25</v>
      </c>
      <c r="DT50" s="5">
        <f t="shared" si="16"/>
        <v>1038180.35</v>
      </c>
      <c r="DU50" s="5">
        <f t="shared" si="16"/>
        <v>3271413.66</v>
      </c>
      <c r="DV50" s="5">
        <f t="shared" si="16"/>
        <v>5725856.5499999998</v>
      </c>
      <c r="DW50" s="5">
        <f t="shared" si="16"/>
        <v>5693568.79</v>
      </c>
      <c r="DX50" s="5">
        <f t="shared" si="16"/>
        <v>7740697.1400000006</v>
      </c>
      <c r="DY50" s="5">
        <f t="shared" si="16"/>
        <v>808816.48</v>
      </c>
      <c r="DZ50" s="157">
        <f t="shared" si="16"/>
        <v>5263003.71</v>
      </c>
      <c r="EA50" s="5">
        <f t="shared" si="16"/>
        <v>2087260.0200000003</v>
      </c>
      <c r="EB50" s="5">
        <f t="shared" si="16"/>
        <v>3772014.9400000004</v>
      </c>
      <c r="EC50" s="5">
        <f t="shared" si="16"/>
        <v>8486357.5600000005</v>
      </c>
      <c r="ED50" s="5">
        <f t="shared" si="16"/>
        <v>15943665.93</v>
      </c>
      <c r="EE50" s="5">
        <f t="shared" si="16"/>
        <v>1049467.95</v>
      </c>
      <c r="EF50" s="5">
        <f t="shared" si="16"/>
        <v>4695844.2300000004</v>
      </c>
      <c r="EG50" s="33">
        <f t="shared" si="16"/>
        <v>127490514.18000001</v>
      </c>
      <c r="EH50" s="5">
        <f t="shared" si="16"/>
        <v>10422062.359999999</v>
      </c>
      <c r="EI50" s="5">
        <f t="shared" ref="EI50:GT50" si="17">SUM(EI47:EI49)</f>
        <v>836695.15</v>
      </c>
      <c r="EJ50" s="5">
        <f t="shared" si="17"/>
        <v>1691199.8199999998</v>
      </c>
      <c r="EK50" s="76">
        <f t="shared" si="17"/>
        <v>60657361.050000004</v>
      </c>
      <c r="EL50" s="5">
        <f t="shared" si="17"/>
        <v>15664088.859999999</v>
      </c>
      <c r="EM50" s="5">
        <f t="shared" si="17"/>
        <v>4900228.8899999997</v>
      </c>
      <c r="EN50" s="5">
        <f t="shared" si="17"/>
        <v>4295608.4000000004</v>
      </c>
      <c r="EO50" s="5">
        <f t="shared" si="17"/>
        <v>1152747.1400000001</v>
      </c>
      <c r="EP50" s="5">
        <f t="shared" si="17"/>
        <v>3247164.2299999995</v>
      </c>
      <c r="EQ50" s="5">
        <f t="shared" si="17"/>
        <v>7291817.4299999997</v>
      </c>
      <c r="ER50" s="5">
        <f t="shared" si="17"/>
        <v>570289.65999999992</v>
      </c>
      <c r="ES50" s="5">
        <f t="shared" si="17"/>
        <v>2832217.0200000005</v>
      </c>
      <c r="ET50" s="5">
        <f t="shared" si="17"/>
        <v>659820.8600000001</v>
      </c>
      <c r="EU50" s="157">
        <f t="shared" si="17"/>
        <v>1866994.79</v>
      </c>
      <c r="EV50" s="5">
        <f t="shared" si="17"/>
        <v>2625003.5800000005</v>
      </c>
      <c r="EW50" s="5">
        <f t="shared" si="17"/>
        <v>1957015.3999999997</v>
      </c>
      <c r="EX50" s="5">
        <f t="shared" si="17"/>
        <v>1858459.4</v>
      </c>
      <c r="EY50" s="5">
        <f t="shared" si="17"/>
        <v>16633547.85</v>
      </c>
      <c r="EZ50" s="5">
        <f t="shared" si="17"/>
        <v>772596.22</v>
      </c>
      <c r="FA50" s="5">
        <f t="shared" si="17"/>
        <v>70072712.5</v>
      </c>
      <c r="FB50" s="5">
        <f t="shared" si="17"/>
        <v>1690833.7999999998</v>
      </c>
      <c r="FC50" s="5">
        <f t="shared" si="17"/>
        <v>1075819.9099999999</v>
      </c>
      <c r="FD50" s="5">
        <f t="shared" si="17"/>
        <v>629691.37</v>
      </c>
      <c r="FE50" s="228">
        <f t="shared" si="17"/>
        <v>60582938.829999998</v>
      </c>
      <c r="FF50" s="5">
        <f t="shared" si="17"/>
        <v>11148167.389999999</v>
      </c>
      <c r="FG50" s="5">
        <f t="shared" si="17"/>
        <v>9317629.1399999987</v>
      </c>
      <c r="FH50" s="5">
        <f t="shared" si="17"/>
        <v>2078059.8399999999</v>
      </c>
      <c r="FI50" s="228">
        <f t="shared" si="17"/>
        <v>4754642.75</v>
      </c>
      <c r="FJ50" s="5">
        <f t="shared" si="17"/>
        <v>7183364.3300000001</v>
      </c>
      <c r="FK50" s="5">
        <f t="shared" si="17"/>
        <v>9656616.0700000003</v>
      </c>
      <c r="FL50" s="76">
        <f t="shared" si="17"/>
        <v>17674211.77</v>
      </c>
      <c r="FM50" s="5">
        <f t="shared" si="17"/>
        <v>121082678.14</v>
      </c>
      <c r="FN50" s="5">
        <f t="shared" si="17"/>
        <v>912181.25999999989</v>
      </c>
      <c r="FO50" s="5">
        <f t="shared" si="17"/>
        <v>3034880.2</v>
      </c>
      <c r="FP50" s="157">
        <f t="shared" si="17"/>
        <v>3761373.34</v>
      </c>
      <c r="FQ50" s="5">
        <f t="shared" si="17"/>
        <v>1135191.3999999999</v>
      </c>
      <c r="FR50" s="5">
        <f t="shared" si="17"/>
        <v>2048483.79</v>
      </c>
      <c r="FS50" s="5">
        <f t="shared" si="17"/>
        <v>5612298.5899999999</v>
      </c>
      <c r="FT50" s="5">
        <f t="shared" si="17"/>
        <v>16488692.360000003</v>
      </c>
      <c r="FU50" s="5">
        <f t="shared" si="17"/>
        <v>4063116.9600000004</v>
      </c>
      <c r="FV50" s="5">
        <f t="shared" si="17"/>
        <v>998891.48</v>
      </c>
      <c r="FW50" s="5">
        <f t="shared" si="17"/>
        <v>811425.85</v>
      </c>
      <c r="FX50" s="5">
        <f t="shared" si="17"/>
        <v>1138057.93</v>
      </c>
      <c r="FY50" s="5">
        <f t="shared" si="17"/>
        <v>3213209.0700000003</v>
      </c>
      <c r="FZ50" s="228">
        <f t="shared" si="17"/>
        <v>148110796.72999999</v>
      </c>
      <c r="GA50" s="5">
        <f t="shared" si="17"/>
        <v>2005456.26</v>
      </c>
      <c r="GB50" s="5">
        <f t="shared" si="17"/>
        <v>5436046.3200000003</v>
      </c>
      <c r="GC50" s="5">
        <f t="shared" si="17"/>
        <v>7113450.2199999997</v>
      </c>
      <c r="GD50" s="5">
        <f t="shared" si="17"/>
        <v>2124251.67</v>
      </c>
      <c r="GE50" s="5">
        <f t="shared" si="17"/>
        <v>2068869.65</v>
      </c>
      <c r="GF50" s="5">
        <f t="shared" si="17"/>
        <v>1352807.6099999999</v>
      </c>
      <c r="GG50" s="5">
        <f t="shared" si="17"/>
        <v>1118902.1899999997</v>
      </c>
      <c r="GH50" s="5">
        <f t="shared" si="17"/>
        <v>89683568.900000006</v>
      </c>
      <c r="GI50" s="5">
        <f t="shared" si="17"/>
        <v>85782016.760000005</v>
      </c>
      <c r="GJ50" s="5">
        <f t="shared" si="17"/>
        <v>2042494.46</v>
      </c>
      <c r="GK50" s="5">
        <f t="shared" si="17"/>
        <v>1824494.2799999998</v>
      </c>
      <c r="GL50" s="157">
        <f t="shared" si="17"/>
        <v>5067302.6800000006</v>
      </c>
      <c r="GM50" s="5">
        <f t="shared" si="17"/>
        <v>2874346.06</v>
      </c>
      <c r="GN50" s="5">
        <f t="shared" si="17"/>
        <v>1220153.49</v>
      </c>
      <c r="GO50" s="5">
        <f t="shared" si="17"/>
        <v>2017178.45</v>
      </c>
      <c r="GP50" s="5">
        <f t="shared" si="17"/>
        <v>15563332.490000002</v>
      </c>
      <c r="GQ50" s="5">
        <f t="shared" si="17"/>
        <v>866439.39000000013</v>
      </c>
      <c r="GR50" s="5">
        <f t="shared" si="17"/>
        <v>4347789.79</v>
      </c>
      <c r="GS50" s="5">
        <f t="shared" si="17"/>
        <v>2003403.5</v>
      </c>
      <c r="GT50" s="5">
        <f t="shared" si="17"/>
        <v>2755153.31</v>
      </c>
      <c r="GU50" s="197">
        <f t="shared" ref="GU50:IT50" si="18">SUM(GU47:GU49)</f>
        <v>76968081.050000012</v>
      </c>
      <c r="GV50" s="5">
        <f t="shared" si="18"/>
        <v>3808249.03</v>
      </c>
      <c r="GW50" s="5">
        <f t="shared" si="18"/>
        <v>2205998.37</v>
      </c>
      <c r="GX50" s="5">
        <f t="shared" si="18"/>
        <v>6069774.04</v>
      </c>
      <c r="GY50" s="5">
        <f t="shared" si="18"/>
        <v>2355488.13</v>
      </c>
      <c r="GZ50" s="5">
        <f t="shared" si="18"/>
        <v>1588672.15</v>
      </c>
      <c r="HA50" s="5">
        <f t="shared" si="18"/>
        <v>8927535.3199999984</v>
      </c>
      <c r="HB50" s="5">
        <f t="shared" si="18"/>
        <v>3095458.94</v>
      </c>
      <c r="HC50" s="5">
        <f t="shared" si="18"/>
        <v>4209075.83</v>
      </c>
      <c r="HD50" s="157">
        <f t="shared" si="18"/>
        <v>1184570.6400000001</v>
      </c>
      <c r="HE50" s="5">
        <f t="shared" si="18"/>
        <v>8083660.0300000003</v>
      </c>
      <c r="HF50" s="5">
        <f t="shared" si="18"/>
        <v>5037495.8600000003</v>
      </c>
      <c r="HG50" s="5">
        <f t="shared" si="18"/>
        <v>6122362.4100000001</v>
      </c>
      <c r="HH50" s="5">
        <f t="shared" si="18"/>
        <v>2970078.83</v>
      </c>
      <c r="HI50" s="5">
        <f t="shared" si="18"/>
        <v>15988821.470000001</v>
      </c>
      <c r="HJ50" s="5">
        <f t="shared" si="18"/>
        <v>4868168.18</v>
      </c>
      <c r="HK50" s="5">
        <f t="shared" si="18"/>
        <v>6352149.5</v>
      </c>
      <c r="HL50" s="5">
        <f t="shared" si="18"/>
        <v>2228159.62</v>
      </c>
      <c r="HM50" s="5">
        <f t="shared" si="18"/>
        <v>8178917.5</v>
      </c>
      <c r="HN50" s="132">
        <f t="shared" si="18"/>
        <v>4342610.8499999996</v>
      </c>
      <c r="HO50" s="145">
        <f t="shared" si="18"/>
        <v>76445130.760000005</v>
      </c>
      <c r="HP50" s="5">
        <f t="shared" si="18"/>
        <v>4804805.76</v>
      </c>
      <c r="HQ50" s="5">
        <f t="shared" si="18"/>
        <v>1603443.31</v>
      </c>
      <c r="HR50" s="5">
        <f t="shared" si="18"/>
        <v>2512898.7999999998</v>
      </c>
      <c r="HS50" s="5">
        <f t="shared" si="18"/>
        <v>2571120.62</v>
      </c>
      <c r="HT50" s="5">
        <f t="shared" si="18"/>
        <v>20697164.370000001</v>
      </c>
      <c r="HU50" s="5">
        <f t="shared" si="18"/>
        <v>10313078.83</v>
      </c>
      <c r="HV50" s="5">
        <f t="shared" si="18"/>
        <v>18744918.960000001</v>
      </c>
      <c r="HW50" s="5">
        <f t="shared" si="18"/>
        <v>8947475.3000000007</v>
      </c>
      <c r="HX50" s="5">
        <f t="shared" si="18"/>
        <v>1810814.9600000002</v>
      </c>
      <c r="HY50" s="5">
        <f t="shared" si="18"/>
        <v>16162649.189999999</v>
      </c>
      <c r="HZ50" s="157">
        <f t="shared" si="18"/>
        <v>7715544.1799999997</v>
      </c>
      <c r="IA50" s="5">
        <f t="shared" si="18"/>
        <v>19269933.260000002</v>
      </c>
      <c r="IB50" s="5">
        <f t="shared" si="18"/>
        <v>1109298.49</v>
      </c>
      <c r="IC50" s="5">
        <f t="shared" si="18"/>
        <v>32026890.509999998</v>
      </c>
      <c r="ID50" s="5">
        <f t="shared" si="18"/>
        <v>815693.34999999986</v>
      </c>
      <c r="IE50" s="5">
        <f t="shared" si="18"/>
        <v>12851986.720000001</v>
      </c>
      <c r="IF50" s="5">
        <f t="shared" si="18"/>
        <v>17247207.890000001</v>
      </c>
      <c r="IG50" s="5">
        <f t="shared" si="18"/>
        <v>101797021.36</v>
      </c>
      <c r="IH50" s="104">
        <f t="shared" si="18"/>
        <v>53820243.57</v>
      </c>
      <c r="II50" s="5">
        <f t="shared" si="18"/>
        <v>22175295.399999999</v>
      </c>
      <c r="IJ50" s="5">
        <f t="shared" si="18"/>
        <v>70611359.859999999</v>
      </c>
      <c r="IK50" s="5">
        <f t="shared" si="18"/>
        <v>9896398.9700000007</v>
      </c>
      <c r="IL50" s="5">
        <f t="shared" si="18"/>
        <v>51623833.869999997</v>
      </c>
      <c r="IM50" s="5">
        <f t="shared" si="18"/>
        <v>7474510.1799999997</v>
      </c>
      <c r="IN50" s="5">
        <f t="shared" si="18"/>
        <v>7916748.2800000003</v>
      </c>
      <c r="IO50" s="5">
        <f t="shared" si="18"/>
        <v>4576799.18</v>
      </c>
      <c r="IP50" s="5">
        <f t="shared" si="18"/>
        <v>11089424.1</v>
      </c>
      <c r="IQ50" s="5">
        <f t="shared" si="18"/>
        <v>23830424.260000002</v>
      </c>
      <c r="IR50" s="5">
        <f t="shared" si="18"/>
        <v>29011383.240000002</v>
      </c>
      <c r="IS50" s="5">
        <f t="shared" si="18"/>
        <v>1728209.8599999999</v>
      </c>
      <c r="IT50" s="157">
        <f t="shared" si="18"/>
        <v>18563359.800000001</v>
      </c>
      <c r="IU50" s="4"/>
    </row>
    <row r="51" spans="1:256" s="42" customFormat="1" ht="14.1" customHeight="1" thickBot="1">
      <c r="A51" s="64" t="s">
        <v>40</v>
      </c>
      <c r="B51" s="60"/>
      <c r="C51" s="60">
        <f t="shared" ref="C51:BN51" si="19">+C6+C26-C50</f>
        <v>120440.00000000373</v>
      </c>
      <c r="D51" s="60">
        <f t="shared" si="19"/>
        <v>219084.00000000745</v>
      </c>
      <c r="E51" s="60">
        <f t="shared" si="19"/>
        <v>289343.4299999997</v>
      </c>
      <c r="F51" s="60">
        <f t="shared" si="19"/>
        <v>329904.94999999553</v>
      </c>
      <c r="G51" s="60">
        <f t="shared" si="19"/>
        <v>-23552.469999998808</v>
      </c>
      <c r="H51" s="60">
        <f t="shared" si="19"/>
        <v>114820.93999999762</v>
      </c>
      <c r="I51" s="60">
        <f t="shared" si="19"/>
        <v>110655</v>
      </c>
      <c r="J51" s="60">
        <f t="shared" si="19"/>
        <v>103010.8899999999</v>
      </c>
      <c r="K51" s="60">
        <f t="shared" si="19"/>
        <v>107751.00000000047</v>
      </c>
      <c r="L51" s="60">
        <f t="shared" si="19"/>
        <v>171542</v>
      </c>
      <c r="M51" s="60">
        <f t="shared" si="19"/>
        <v>146397</v>
      </c>
      <c r="N51" s="67">
        <f t="shared" si="19"/>
        <v>117817</v>
      </c>
      <c r="O51" s="60">
        <f t="shared" si="19"/>
        <v>125910.98000000045</v>
      </c>
      <c r="P51" s="60">
        <f t="shared" si="19"/>
        <v>175542.41000000015</v>
      </c>
      <c r="Q51" s="60">
        <f t="shared" si="19"/>
        <v>206511</v>
      </c>
      <c r="R51" s="60">
        <f t="shared" si="19"/>
        <v>200914</v>
      </c>
      <c r="S51" s="60">
        <f t="shared" si="19"/>
        <v>119564</v>
      </c>
      <c r="T51" s="60">
        <f t="shared" si="19"/>
        <v>138427</v>
      </c>
      <c r="U51" s="60">
        <f t="shared" si="19"/>
        <v>110639.41000000015</v>
      </c>
      <c r="V51" s="60">
        <f t="shared" si="19"/>
        <v>107484</v>
      </c>
      <c r="W51" s="60">
        <f t="shared" si="19"/>
        <v>105658.99999999907</v>
      </c>
      <c r="X51" s="60">
        <f t="shared" si="19"/>
        <v>134605</v>
      </c>
      <c r="Y51" s="60">
        <f t="shared" si="19"/>
        <v>184703</v>
      </c>
      <c r="Z51" s="60">
        <f t="shared" si="19"/>
        <v>157058</v>
      </c>
      <c r="AA51" s="60">
        <f t="shared" si="19"/>
        <v>310163</v>
      </c>
      <c r="AB51" s="60">
        <f t="shared" si="19"/>
        <v>281129</v>
      </c>
      <c r="AC51" s="60">
        <f t="shared" si="19"/>
        <v>137690.09999999963</v>
      </c>
      <c r="AD51" s="60">
        <f t="shared" si="19"/>
        <v>132184.00000000023</v>
      </c>
      <c r="AE51" s="60">
        <f t="shared" si="19"/>
        <v>104593</v>
      </c>
      <c r="AF51" s="67">
        <f t="shared" si="19"/>
        <v>100177.00000000745</v>
      </c>
      <c r="AG51" s="60">
        <f t="shared" si="19"/>
        <v>100000</v>
      </c>
      <c r="AH51" s="60">
        <f t="shared" si="19"/>
        <v>100000.00000000012</v>
      </c>
      <c r="AI51" s="60">
        <f t="shared" si="19"/>
        <v>106477.00000000023</v>
      </c>
      <c r="AJ51" s="60">
        <f t="shared" si="19"/>
        <v>173244</v>
      </c>
      <c r="AK51" s="60">
        <f t="shared" si="19"/>
        <v>136361</v>
      </c>
      <c r="AL51" s="60">
        <f t="shared" si="19"/>
        <v>122616</v>
      </c>
      <c r="AM51" s="60">
        <f t="shared" si="19"/>
        <v>120696</v>
      </c>
      <c r="AN51" s="60">
        <f t="shared" si="19"/>
        <v>114807</v>
      </c>
      <c r="AO51" s="60">
        <f t="shared" si="19"/>
        <v>217770.99999999953</v>
      </c>
      <c r="AP51" s="60">
        <f t="shared" si="19"/>
        <v>249779</v>
      </c>
      <c r="AQ51" s="60">
        <f t="shared" si="19"/>
        <v>129227.00000000047</v>
      </c>
      <c r="AR51" s="60">
        <f t="shared" si="19"/>
        <v>126885</v>
      </c>
      <c r="AS51" s="60">
        <f t="shared" si="19"/>
        <v>128590.00999999978</v>
      </c>
      <c r="AT51" s="60">
        <f t="shared" si="19"/>
        <v>113842</v>
      </c>
      <c r="AU51" s="60">
        <f t="shared" si="19"/>
        <v>129732</v>
      </c>
      <c r="AV51" s="67">
        <f t="shared" si="19"/>
        <v>144515</v>
      </c>
      <c r="AW51" s="60">
        <f t="shared" si="19"/>
        <v>135907.99999999907</v>
      </c>
      <c r="AX51" s="60">
        <f t="shared" si="19"/>
        <v>127487</v>
      </c>
      <c r="AY51" s="60">
        <f t="shared" si="19"/>
        <v>151765</v>
      </c>
      <c r="AZ51" s="60">
        <f t="shared" si="19"/>
        <v>176423</v>
      </c>
      <c r="BA51" s="60">
        <f t="shared" si="19"/>
        <v>201392</v>
      </c>
      <c r="BB51" s="60">
        <f t="shared" si="19"/>
        <v>143084.99999999907</v>
      </c>
      <c r="BC51" s="60">
        <f t="shared" si="19"/>
        <v>125947</v>
      </c>
      <c r="BD51" s="60">
        <f t="shared" si="19"/>
        <v>117134.99999999627</v>
      </c>
      <c r="BE51" s="60">
        <f t="shared" si="19"/>
        <v>193360</v>
      </c>
      <c r="BF51" s="60">
        <f t="shared" si="19"/>
        <v>149447.99999999907</v>
      </c>
      <c r="BG51" s="60">
        <f t="shared" si="19"/>
        <v>109554</v>
      </c>
      <c r="BH51" s="60">
        <f t="shared" si="19"/>
        <v>134123</v>
      </c>
      <c r="BI51" s="60">
        <f t="shared" si="19"/>
        <v>134554.99999999907</v>
      </c>
      <c r="BJ51" s="60">
        <f t="shared" si="19"/>
        <v>169904</v>
      </c>
      <c r="BK51" s="60">
        <f t="shared" si="19"/>
        <v>147209.99999999907</v>
      </c>
      <c r="BL51" s="60">
        <f t="shared" si="19"/>
        <v>144152</v>
      </c>
      <c r="BM51" s="60">
        <f t="shared" si="19"/>
        <v>138694</v>
      </c>
      <c r="BN51" s="60">
        <f t="shared" si="19"/>
        <v>111910</v>
      </c>
      <c r="BO51" s="60">
        <f t="shared" ref="BO51:DZ51" si="20">+BO6+BO26-BO50</f>
        <v>127733.00000000012</v>
      </c>
      <c r="BP51" s="60">
        <f t="shared" si="20"/>
        <v>153339</v>
      </c>
      <c r="BQ51" s="60">
        <f t="shared" si="20"/>
        <v>134027</v>
      </c>
      <c r="BR51" s="60">
        <f t="shared" si="20"/>
        <v>140202</v>
      </c>
      <c r="BS51" s="60">
        <f t="shared" si="20"/>
        <v>133693.99999999953</v>
      </c>
      <c r="BT51" s="60">
        <f t="shared" si="20"/>
        <v>109049.99999999977</v>
      </c>
      <c r="BU51" s="60">
        <f t="shared" si="20"/>
        <v>112154</v>
      </c>
      <c r="BV51" s="60">
        <f t="shared" si="20"/>
        <v>109100</v>
      </c>
      <c r="BW51" s="60">
        <f t="shared" si="20"/>
        <v>108332.00000000745</v>
      </c>
      <c r="BX51" s="60">
        <f t="shared" si="20"/>
        <v>104841.00000000023</v>
      </c>
      <c r="BY51" s="60">
        <f t="shared" si="20"/>
        <v>124221.00000000745</v>
      </c>
      <c r="BZ51" s="60">
        <f t="shared" si="20"/>
        <v>119535.99999999627</v>
      </c>
      <c r="CA51" s="60">
        <f t="shared" si="20"/>
        <v>124279.99999999907</v>
      </c>
      <c r="CB51" s="60">
        <f t="shared" si="20"/>
        <v>309867.78000000026</v>
      </c>
      <c r="CC51" s="60">
        <f t="shared" si="20"/>
        <v>425033.83000000007</v>
      </c>
      <c r="CD51" s="60">
        <f t="shared" si="20"/>
        <v>141021.38999999966</v>
      </c>
      <c r="CE51" s="60">
        <f t="shared" si="20"/>
        <v>152701</v>
      </c>
      <c r="CF51" s="60">
        <f t="shared" si="20"/>
        <v>130909</v>
      </c>
      <c r="CG51" s="60">
        <f t="shared" si="20"/>
        <v>149965</v>
      </c>
      <c r="CH51" s="60">
        <f t="shared" si="20"/>
        <v>168613</v>
      </c>
      <c r="CI51" s="60">
        <f t="shared" si="20"/>
        <v>175861</v>
      </c>
      <c r="CJ51" s="60">
        <f t="shared" si="20"/>
        <v>109962</v>
      </c>
      <c r="CK51" s="60">
        <f t="shared" si="20"/>
        <v>101697.99999999953</v>
      </c>
      <c r="CL51" s="60">
        <f t="shared" si="20"/>
        <v>100143</v>
      </c>
      <c r="CM51" s="60">
        <f t="shared" si="20"/>
        <v>169196.00000000093</v>
      </c>
      <c r="CN51" s="60">
        <f t="shared" si="20"/>
        <v>129297</v>
      </c>
      <c r="CO51" s="60">
        <f t="shared" si="20"/>
        <v>107456</v>
      </c>
      <c r="CP51" s="60">
        <f t="shared" si="20"/>
        <v>114733</v>
      </c>
      <c r="CQ51" s="60">
        <f t="shared" si="20"/>
        <v>104071</v>
      </c>
      <c r="CR51" s="60">
        <f t="shared" si="20"/>
        <v>162335</v>
      </c>
      <c r="CS51" s="60">
        <f t="shared" si="20"/>
        <v>253100</v>
      </c>
      <c r="CT51" s="60">
        <f t="shared" si="20"/>
        <v>113899</v>
      </c>
      <c r="CU51" s="60">
        <f t="shared" si="20"/>
        <v>158744</v>
      </c>
      <c r="CV51" s="60">
        <f t="shared" si="20"/>
        <v>113803</v>
      </c>
      <c r="CW51" s="60">
        <f t="shared" si="20"/>
        <v>139892.00000000047</v>
      </c>
      <c r="CX51" s="60">
        <f t="shared" si="20"/>
        <v>142872.10000000056</v>
      </c>
      <c r="CY51" s="60">
        <f t="shared" si="20"/>
        <v>110474</v>
      </c>
      <c r="CZ51" s="60">
        <f t="shared" si="20"/>
        <v>121687.00000000047</v>
      </c>
      <c r="DA51" s="60">
        <f t="shared" si="20"/>
        <v>129091.99999999907</v>
      </c>
      <c r="DB51" s="60">
        <f t="shared" si="20"/>
        <v>133289</v>
      </c>
      <c r="DC51" s="60">
        <f t="shared" si="20"/>
        <v>105447</v>
      </c>
      <c r="DD51" s="60">
        <f t="shared" si="20"/>
        <v>104197.99999999907</v>
      </c>
      <c r="DE51" s="60">
        <f t="shared" si="20"/>
        <v>210531</v>
      </c>
      <c r="DF51" s="60">
        <f t="shared" si="20"/>
        <v>201020</v>
      </c>
      <c r="DG51" s="60">
        <f t="shared" si="20"/>
        <v>688483.99999999907</v>
      </c>
      <c r="DH51" s="60">
        <f t="shared" si="20"/>
        <v>531400.16999999946</v>
      </c>
      <c r="DI51" s="60">
        <f t="shared" si="20"/>
        <v>134089</v>
      </c>
      <c r="DJ51" s="60">
        <f t="shared" si="20"/>
        <v>100000.00000000006</v>
      </c>
      <c r="DK51" s="60">
        <f t="shared" si="20"/>
        <v>100000</v>
      </c>
      <c r="DL51" s="60">
        <f t="shared" si="20"/>
        <v>100000</v>
      </c>
      <c r="DM51" s="60">
        <f t="shared" si="20"/>
        <v>100000</v>
      </c>
      <c r="DN51" s="60">
        <f t="shared" si="20"/>
        <v>100000</v>
      </c>
      <c r="DO51" s="60">
        <f t="shared" si="20"/>
        <v>1554249</v>
      </c>
      <c r="DP51" s="60">
        <f t="shared" si="20"/>
        <v>358737.52</v>
      </c>
      <c r="DQ51" s="60">
        <f t="shared" si="20"/>
        <v>327541.48</v>
      </c>
      <c r="DR51" s="60">
        <f t="shared" si="20"/>
        <v>135124.47999999998</v>
      </c>
      <c r="DS51" s="60">
        <f t="shared" si="20"/>
        <v>345370.48</v>
      </c>
      <c r="DT51" s="60">
        <f t="shared" si="20"/>
        <v>182021.4800000001</v>
      </c>
      <c r="DU51" s="60">
        <f t="shared" si="20"/>
        <v>121773.47999999952</v>
      </c>
      <c r="DV51" s="60">
        <f t="shared" si="20"/>
        <v>111335.47999999952</v>
      </c>
      <c r="DW51" s="60">
        <f t="shared" si="20"/>
        <v>102465.47999999952</v>
      </c>
      <c r="DX51" s="60">
        <f t="shared" si="20"/>
        <v>202502.47999999858</v>
      </c>
      <c r="DY51" s="60">
        <f t="shared" si="20"/>
        <v>200822.47999999858</v>
      </c>
      <c r="DZ51" s="60">
        <f t="shared" si="20"/>
        <v>122632.47999999858</v>
      </c>
      <c r="EA51" s="60">
        <f t="shared" ref="EA51:GL51" si="21">+EA6+EA26-EA50</f>
        <v>454761.47999999835</v>
      </c>
      <c r="EB51" s="60">
        <f t="shared" si="21"/>
        <v>132239.47999999765</v>
      </c>
      <c r="EC51" s="60">
        <f t="shared" si="21"/>
        <v>125622.47999999858</v>
      </c>
      <c r="ED51" s="60">
        <f t="shared" si="21"/>
        <v>163018.47999999858</v>
      </c>
      <c r="EE51" s="60">
        <f t="shared" si="21"/>
        <v>176217.47999999858</v>
      </c>
      <c r="EF51" s="60">
        <f t="shared" si="21"/>
        <v>114888.47999999858</v>
      </c>
      <c r="EG51" s="60">
        <f t="shared" si="21"/>
        <v>-125233573.52000001</v>
      </c>
      <c r="EH51" s="60">
        <f t="shared" si="21"/>
        <v>-125234401.52000001</v>
      </c>
      <c r="EI51" s="60">
        <f t="shared" si="21"/>
        <v>-125225766.52000001</v>
      </c>
      <c r="EJ51" s="60">
        <f t="shared" si="21"/>
        <v>-125063305.52000001</v>
      </c>
      <c r="EK51" s="67">
        <f t="shared" si="21"/>
        <v>-125067250.52000001</v>
      </c>
      <c r="EL51" s="60">
        <f t="shared" si="21"/>
        <v>-125205599.52000001</v>
      </c>
      <c r="EM51" s="60">
        <f t="shared" si="21"/>
        <v>-126172232.16000001</v>
      </c>
      <c r="EN51" s="60">
        <f t="shared" si="21"/>
        <v>-125239410.52000001</v>
      </c>
      <c r="EO51" s="60">
        <f t="shared" si="21"/>
        <v>-125026108.52000001</v>
      </c>
      <c r="EP51" s="60">
        <f t="shared" si="21"/>
        <v>-125022285.52000001</v>
      </c>
      <c r="EQ51" s="60">
        <f t="shared" si="21"/>
        <v>-125034234.55000001</v>
      </c>
      <c r="ER51" s="60">
        <f t="shared" si="21"/>
        <v>-125172816.55000001</v>
      </c>
      <c r="ES51" s="60">
        <f t="shared" si="21"/>
        <v>-125226099.55000001</v>
      </c>
      <c r="ET51" s="60">
        <f t="shared" si="21"/>
        <v>-125234538.54700001</v>
      </c>
      <c r="EU51" s="60">
        <f t="shared" si="21"/>
        <v>-125236556.54700001</v>
      </c>
      <c r="EV51" s="60">
        <f t="shared" si="21"/>
        <v>-125230039.54700001</v>
      </c>
      <c r="EW51" s="60">
        <f t="shared" si="21"/>
        <v>-125219921.46700001</v>
      </c>
      <c r="EX51" s="60">
        <f t="shared" si="21"/>
        <v>-125228973.86700001</v>
      </c>
      <c r="EY51" s="60">
        <f t="shared" si="21"/>
        <v>-125180813.86700001</v>
      </c>
      <c r="EZ51" s="60">
        <f t="shared" si="21"/>
        <v>-125141321.86700001</v>
      </c>
      <c r="FA51" s="60">
        <f t="shared" si="21"/>
        <v>-125173321.86700001</v>
      </c>
      <c r="FB51" s="60">
        <f t="shared" si="21"/>
        <v>-125234799.86700001</v>
      </c>
      <c r="FC51" s="60">
        <f t="shared" si="21"/>
        <v>-125225594.86700001</v>
      </c>
      <c r="FD51" s="60">
        <f t="shared" si="21"/>
        <v>-125222078.86700001</v>
      </c>
      <c r="FE51" s="67">
        <f t="shared" si="21"/>
        <v>-125221681.86700001</v>
      </c>
      <c r="FF51" s="60">
        <f t="shared" si="21"/>
        <v>-125228343.86700001</v>
      </c>
      <c r="FG51" s="60">
        <f t="shared" si="21"/>
        <v>-125238861.86700001</v>
      </c>
      <c r="FH51" s="60">
        <f t="shared" si="21"/>
        <v>-125225307.86700001</v>
      </c>
      <c r="FI51" s="67">
        <f t="shared" si="21"/>
        <v>-125208997.87700002</v>
      </c>
      <c r="FJ51" s="60">
        <f t="shared" si="21"/>
        <v>-125230474.87700002</v>
      </c>
      <c r="FK51" s="60">
        <f t="shared" si="21"/>
        <v>-125239494.877</v>
      </c>
      <c r="FL51" s="278">
        <f t="shared" si="21"/>
        <v>-125238553.87699999</v>
      </c>
      <c r="FM51" s="60">
        <f t="shared" si="21"/>
        <v>-125239965.457</v>
      </c>
      <c r="FN51" s="60">
        <f t="shared" si="21"/>
        <v>-125214306.457</v>
      </c>
      <c r="FO51" s="60">
        <f t="shared" si="21"/>
        <v>-125194957.617</v>
      </c>
      <c r="FP51" s="60">
        <f t="shared" si="21"/>
        <v>-125231835.617</v>
      </c>
      <c r="FQ51" s="60">
        <f t="shared" si="21"/>
        <v>-125022158.127</v>
      </c>
      <c r="FR51" s="60">
        <f t="shared" si="21"/>
        <v>-125174364.81700002</v>
      </c>
      <c r="FS51" s="60">
        <f t="shared" si="21"/>
        <v>-125217549.81700002</v>
      </c>
      <c r="FT51" s="60">
        <f t="shared" si="21"/>
        <v>-125217006.71700002</v>
      </c>
      <c r="FU51" s="60">
        <f t="shared" si="21"/>
        <v>-125181740.71700002</v>
      </c>
      <c r="FV51" s="60">
        <f t="shared" si="21"/>
        <v>-125202226.72700003</v>
      </c>
      <c r="FW51" s="60">
        <f t="shared" si="21"/>
        <v>-125462176.69700003</v>
      </c>
      <c r="FX51" s="60">
        <f t="shared" si="21"/>
        <v>-125043435.72700003</v>
      </c>
      <c r="FY51" s="60">
        <f t="shared" si="21"/>
        <v>-125217823.72700003</v>
      </c>
      <c r="FZ51" s="67">
        <f t="shared" si="21"/>
        <v>-125202767.72700003</v>
      </c>
      <c r="GA51" s="60">
        <f t="shared" si="21"/>
        <v>-125210077.72700003</v>
      </c>
      <c r="GB51" s="60">
        <f t="shared" si="21"/>
        <v>-125213566.72700003</v>
      </c>
      <c r="GC51" s="60">
        <f t="shared" si="21"/>
        <v>-125203494.72700003</v>
      </c>
      <c r="GD51" s="60">
        <f t="shared" si="21"/>
        <v>-125205221.72700003</v>
      </c>
      <c r="GE51" s="60">
        <f t="shared" si="21"/>
        <v>-125210895.72700003</v>
      </c>
      <c r="GF51" s="60">
        <f t="shared" si="21"/>
        <v>-125205342.72700003</v>
      </c>
      <c r="GG51" s="60">
        <f t="shared" si="21"/>
        <v>-124973254.08700003</v>
      </c>
      <c r="GH51" s="60">
        <f t="shared" si="21"/>
        <v>-125167149.17700003</v>
      </c>
      <c r="GI51" s="60">
        <f t="shared" si="21"/>
        <v>-125149614.17700003</v>
      </c>
      <c r="GJ51" s="60">
        <f t="shared" si="21"/>
        <v>-125226396.17700003</v>
      </c>
      <c r="GK51" s="60">
        <f t="shared" si="21"/>
        <v>-125227357.17700003</v>
      </c>
      <c r="GL51" s="60">
        <f t="shared" si="21"/>
        <v>-125232092.17700005</v>
      </c>
      <c r="GM51" s="60">
        <f t="shared" ref="GM51:IT51" si="22">+GM6+GM26-GM50</f>
        <v>-125231246.17700005</v>
      </c>
      <c r="GN51" s="60">
        <f t="shared" si="22"/>
        <v>-125234030.17700005</v>
      </c>
      <c r="GO51" s="60">
        <f t="shared" si="22"/>
        <v>-125232141.17700005</v>
      </c>
      <c r="GP51" s="60">
        <f t="shared" si="22"/>
        <v>-139183681.98700005</v>
      </c>
      <c r="GQ51" s="60">
        <f t="shared" si="22"/>
        <v>-125209146.17700005</v>
      </c>
      <c r="GR51" s="60">
        <f t="shared" si="22"/>
        <v>-125210974.17700006</v>
      </c>
      <c r="GS51" s="60">
        <f t="shared" si="22"/>
        <v>-125198264.17700006</v>
      </c>
      <c r="GT51" s="60">
        <f t="shared" si="22"/>
        <v>-125157764.17700006</v>
      </c>
      <c r="GU51" s="67">
        <f t="shared" si="22"/>
        <v>-125222089.17700008</v>
      </c>
      <c r="GV51" s="60">
        <f t="shared" si="22"/>
        <v>-125227619.17700008</v>
      </c>
      <c r="GW51" s="60">
        <f t="shared" si="22"/>
        <v>-125190562.17700008</v>
      </c>
      <c r="GX51" s="60">
        <f t="shared" si="22"/>
        <v>-125207964.17700009</v>
      </c>
      <c r="GY51" s="60">
        <f t="shared" si="22"/>
        <v>-125065498.17700009</v>
      </c>
      <c r="GZ51" s="60">
        <f t="shared" si="22"/>
        <v>-125207047.17700009</v>
      </c>
      <c r="HA51" s="60">
        <f t="shared" si="22"/>
        <v>-125221604.17700008</v>
      </c>
      <c r="HB51" s="60">
        <f t="shared" si="22"/>
        <v>-125226550.17700008</v>
      </c>
      <c r="HC51" s="60">
        <f t="shared" si="22"/>
        <v>-125236700.17700008</v>
      </c>
      <c r="HD51" s="60">
        <f t="shared" si="22"/>
        <v>-125241326.17700008</v>
      </c>
      <c r="HE51" s="60">
        <f t="shared" si="22"/>
        <v>-125241750.27700007</v>
      </c>
      <c r="HF51" s="60">
        <f t="shared" si="22"/>
        <v>-125198829.27700007</v>
      </c>
      <c r="HG51" s="60">
        <f t="shared" si="22"/>
        <v>-125014115.11700007</v>
      </c>
      <c r="HH51" s="60">
        <f t="shared" si="22"/>
        <v>-124897931.44700007</v>
      </c>
      <c r="HI51" s="60">
        <f t="shared" si="22"/>
        <v>-125184162.97700007</v>
      </c>
      <c r="HJ51" s="60">
        <f t="shared" si="22"/>
        <v>-125134034.97700009</v>
      </c>
      <c r="HK51" s="60">
        <f t="shared" si="22"/>
        <v>-125078437.97700009</v>
      </c>
      <c r="HL51" s="60">
        <f t="shared" si="22"/>
        <v>-125178863.97700009</v>
      </c>
      <c r="HM51" s="60">
        <f t="shared" si="22"/>
        <v>-125219345.97700009</v>
      </c>
      <c r="HN51" s="143">
        <f t="shared" si="22"/>
        <v>-125229454.97700009</v>
      </c>
      <c r="HO51" s="67">
        <f t="shared" si="22"/>
        <v>-125234086.97700009</v>
      </c>
      <c r="HP51" s="60">
        <f t="shared" si="22"/>
        <v>-125221324.97700009</v>
      </c>
      <c r="HQ51" s="60">
        <f t="shared" si="22"/>
        <v>-125222055.97700009</v>
      </c>
      <c r="HR51" s="60">
        <f t="shared" si="22"/>
        <v>-125207553.97700009</v>
      </c>
      <c r="HS51" s="60">
        <f t="shared" si="22"/>
        <v>-125023934.97700009</v>
      </c>
      <c r="HT51" s="60">
        <f t="shared" si="22"/>
        <v>-125217717.97700009</v>
      </c>
      <c r="HU51" s="60">
        <f t="shared" si="22"/>
        <v>-125237886.97700009</v>
      </c>
      <c r="HV51" s="60">
        <f t="shared" si="22"/>
        <v>-125241613.97700009</v>
      </c>
      <c r="HW51" s="60">
        <f t="shared" si="22"/>
        <v>-125241747.97700009</v>
      </c>
      <c r="HX51" s="60">
        <f t="shared" si="22"/>
        <v>-125241749.97700009</v>
      </c>
      <c r="HY51" s="60">
        <f t="shared" si="22"/>
        <v>-125241749.97700009</v>
      </c>
      <c r="HZ51" s="60">
        <f t="shared" si="22"/>
        <v>-125241749.97700009</v>
      </c>
      <c r="IA51" s="60">
        <f t="shared" si="22"/>
        <v>-125241749.97700009</v>
      </c>
      <c r="IB51" s="60">
        <f t="shared" si="22"/>
        <v>-125241749.97700009</v>
      </c>
      <c r="IC51" s="60">
        <f t="shared" si="22"/>
        <v>-125241749.97700009</v>
      </c>
      <c r="ID51" s="60">
        <f t="shared" si="22"/>
        <v>-125214657.97700009</v>
      </c>
      <c r="IE51" s="60">
        <f t="shared" si="22"/>
        <v>-125221136.97700009</v>
      </c>
      <c r="IF51" s="60">
        <f t="shared" si="22"/>
        <v>-125091878.97700009</v>
      </c>
      <c r="IG51" s="60">
        <f t="shared" si="22"/>
        <v>-124375632.97700009</v>
      </c>
      <c r="IH51" s="110">
        <f t="shared" si="22"/>
        <v>-124904954.6870001</v>
      </c>
      <c r="II51" s="60">
        <f t="shared" si="22"/>
        <v>-125148817.97700009</v>
      </c>
      <c r="IJ51" s="60">
        <f t="shared" si="22"/>
        <v>-125223705.97700009</v>
      </c>
      <c r="IK51" s="60">
        <f t="shared" si="22"/>
        <v>-125221871.97700009</v>
      </c>
      <c r="IL51" s="60">
        <f t="shared" si="22"/>
        <v>-125095941.97700009</v>
      </c>
      <c r="IM51" s="60">
        <f t="shared" si="22"/>
        <v>-125040725.97700009</v>
      </c>
      <c r="IN51" s="60">
        <f t="shared" si="22"/>
        <v>-125058990.97700009</v>
      </c>
      <c r="IO51" s="60">
        <f t="shared" si="22"/>
        <v>-125205680.97700009</v>
      </c>
      <c r="IP51" s="60">
        <f t="shared" si="22"/>
        <v>-125153297.97700009</v>
      </c>
      <c r="IQ51" s="60">
        <f t="shared" si="22"/>
        <v>-125236113.9770001</v>
      </c>
      <c r="IR51" s="60">
        <f t="shared" si="22"/>
        <v>-125193029.97700012</v>
      </c>
      <c r="IS51" s="60">
        <f t="shared" si="22"/>
        <v>-125231303.97700012</v>
      </c>
      <c r="IT51" s="60">
        <f t="shared" si="22"/>
        <v>-125228651.97700012</v>
      </c>
      <c r="IU51" s="60"/>
      <c r="IV51" s="8"/>
    </row>
    <row r="52" spans="1:256" s="8" customFormat="1" ht="14.1" customHeight="1">
      <c r="A52" s="7" t="s">
        <v>16</v>
      </c>
      <c r="B52" s="14"/>
      <c r="C52" s="39">
        <v>17200000</v>
      </c>
      <c r="D52" s="7">
        <v>55000000</v>
      </c>
      <c r="E52" s="7">
        <v>3800000</v>
      </c>
      <c r="F52" s="7">
        <v>37000000</v>
      </c>
      <c r="G52" s="7">
        <v>41200000</v>
      </c>
      <c r="H52" s="7">
        <f>25800000-350000000</f>
        <v>-324200000</v>
      </c>
      <c r="I52" s="7">
        <v>17300000</v>
      </c>
      <c r="J52" s="7">
        <v>-800000</v>
      </c>
      <c r="K52" s="7">
        <v>-1000000</v>
      </c>
      <c r="L52" s="7">
        <v>51700000</v>
      </c>
      <c r="M52" s="7">
        <v>-400000</v>
      </c>
      <c r="N52" s="229">
        <v>-58900000</v>
      </c>
      <c r="O52" s="7">
        <v>2300000</v>
      </c>
      <c r="P52" s="7">
        <v>4400000</v>
      </c>
      <c r="Q52" s="7">
        <v>-6700000</v>
      </c>
      <c r="R52" s="7">
        <v>5100000</v>
      </c>
      <c r="S52" s="7">
        <v>-5600000</v>
      </c>
      <c r="T52" s="7">
        <v>200000</v>
      </c>
      <c r="U52" s="7">
        <v>3300000</v>
      </c>
      <c r="V52" s="7">
        <v>3000000</v>
      </c>
      <c r="W52" s="160">
        <v>900000</v>
      </c>
      <c r="X52" s="7">
        <v>1900000</v>
      </c>
      <c r="Y52" s="7">
        <v>8400000</v>
      </c>
      <c r="Z52" s="7">
        <v>-3200000</v>
      </c>
      <c r="AA52" s="7">
        <v>-14000000</v>
      </c>
      <c r="AB52" s="7">
        <v>-3000000</v>
      </c>
      <c r="AC52" s="7">
        <v>-2600000</v>
      </c>
      <c r="AD52" s="7">
        <v>-1700000</v>
      </c>
      <c r="AE52" s="7">
        <v>-700000</v>
      </c>
      <c r="AF52" s="229">
        <v>-58900000</v>
      </c>
      <c r="AG52" s="7">
        <v>-9500000</v>
      </c>
      <c r="AH52" s="7">
        <v>-300000</v>
      </c>
      <c r="AI52" s="7">
        <v>-500000</v>
      </c>
      <c r="AJ52" s="7">
        <v>-1900000</v>
      </c>
      <c r="AK52" s="7">
        <v>-8000000</v>
      </c>
      <c r="AL52" s="7">
        <v>0</v>
      </c>
      <c r="AM52" s="7">
        <v>5700000</v>
      </c>
      <c r="AN52" s="7">
        <v>6300000</v>
      </c>
      <c r="AO52" s="7">
        <v>-2700000</v>
      </c>
      <c r="AP52" s="7">
        <v>2300000</v>
      </c>
      <c r="AQ52" s="7">
        <v>-1900000</v>
      </c>
      <c r="AR52" s="160">
        <v>-1800000</v>
      </c>
      <c r="AS52" s="7">
        <v>-750000</v>
      </c>
      <c r="AT52" s="7">
        <f>12000000-1500000</f>
        <v>10500000</v>
      </c>
      <c r="AU52" s="7">
        <v>2000000</v>
      </c>
      <c r="AV52" s="229">
        <v>-20700000</v>
      </c>
      <c r="AW52" s="7">
        <v>0</v>
      </c>
      <c r="AX52" s="7">
        <v>0</v>
      </c>
      <c r="AY52" s="7">
        <v>-1600000</v>
      </c>
      <c r="AZ52" s="7">
        <v>400000</v>
      </c>
      <c r="BA52" s="7">
        <v>-4100000</v>
      </c>
      <c r="BB52" s="7">
        <v>2000000</v>
      </c>
      <c r="BC52" s="7">
        <v>-8800000</v>
      </c>
      <c r="BD52" s="7">
        <v>-16000000</v>
      </c>
      <c r="BE52" s="7">
        <v>-2200000</v>
      </c>
      <c r="BF52" s="7">
        <v>-4200000</v>
      </c>
      <c r="BG52" s="7">
        <v>1300000</v>
      </c>
      <c r="BH52" s="7">
        <v>-1200000</v>
      </c>
      <c r="BI52" s="7">
        <v>4400000</v>
      </c>
      <c r="BJ52" s="7">
        <v>-1800000</v>
      </c>
      <c r="BK52" s="7">
        <v>4200000</v>
      </c>
      <c r="BL52" s="7">
        <v>-4500000</v>
      </c>
      <c r="BM52" s="7">
        <v>800000</v>
      </c>
      <c r="BN52" s="160">
        <v>-900000</v>
      </c>
      <c r="BO52" s="7">
        <v>-250000</v>
      </c>
      <c r="BP52" s="7">
        <v>-1400000</v>
      </c>
      <c r="BQ52" s="7">
        <v>-1900000</v>
      </c>
      <c r="BR52" s="7">
        <v>-14500000</v>
      </c>
      <c r="BS52" s="7">
        <v>-500000</v>
      </c>
      <c r="BT52" s="7">
        <v>300000</v>
      </c>
      <c r="BU52" s="7">
        <v>0</v>
      </c>
      <c r="BV52" s="7">
        <v>59900000</v>
      </c>
      <c r="BW52" s="7">
        <v>34600000</v>
      </c>
      <c r="BX52" s="7">
        <v>-400000</v>
      </c>
      <c r="BY52" s="7">
        <v>-60900000</v>
      </c>
      <c r="BZ52" s="7">
        <v>-16500000</v>
      </c>
      <c r="CA52" s="7">
        <v>-6500000</v>
      </c>
      <c r="CB52" s="7">
        <v>-1200000</v>
      </c>
      <c r="CC52" s="7">
        <v>-2300000</v>
      </c>
      <c r="CD52" s="7">
        <v>-500000</v>
      </c>
      <c r="CE52" s="7">
        <v>-600000</v>
      </c>
      <c r="CF52" s="7">
        <v>9600000</v>
      </c>
      <c r="CG52" s="7">
        <v>-1400000</v>
      </c>
      <c r="CH52" s="7">
        <v>-1150000</v>
      </c>
      <c r="CI52" s="160">
        <v>-4000000</v>
      </c>
      <c r="CJ52" s="7">
        <v>-1200000</v>
      </c>
      <c r="CK52" s="7">
        <v>-3000000</v>
      </c>
      <c r="CL52" s="7">
        <v>6000000</v>
      </c>
      <c r="CM52" s="7">
        <v>-2000000</v>
      </c>
      <c r="CN52" s="7">
        <v>5000000</v>
      </c>
      <c r="CO52" s="7">
        <v>28600000</v>
      </c>
      <c r="CP52" s="7">
        <v>-1750000</v>
      </c>
      <c r="CQ52" s="7">
        <v>-700000</v>
      </c>
      <c r="CR52" s="7">
        <v>500000</v>
      </c>
      <c r="CS52" s="7">
        <v>13200000</v>
      </c>
      <c r="CT52" s="7">
        <v>-10600000</v>
      </c>
      <c r="CU52" s="7">
        <v>-1600000</v>
      </c>
      <c r="CV52" s="7">
        <v>-2600000</v>
      </c>
      <c r="CW52" s="7">
        <v>-1700000</v>
      </c>
      <c r="CX52" s="7">
        <v>-2300000</v>
      </c>
      <c r="CY52" s="7">
        <v>-2300000</v>
      </c>
      <c r="CZ52" s="7">
        <v>750000</v>
      </c>
      <c r="DA52" s="7">
        <v>3000000</v>
      </c>
      <c r="DB52" s="7">
        <v>1300000</v>
      </c>
      <c r="DC52" s="7">
        <v>2600000</v>
      </c>
      <c r="DD52" s="160">
        <v>-800000</v>
      </c>
      <c r="DE52" s="92">
        <v>-8200000</v>
      </c>
      <c r="DF52" s="7">
        <v>-1100000</v>
      </c>
      <c r="DG52" s="7">
        <v>-6800000</v>
      </c>
      <c r="DH52" s="7">
        <v>-1500000</v>
      </c>
      <c r="DI52" s="7">
        <v>500000</v>
      </c>
      <c r="DJ52" s="7">
        <v>-200000</v>
      </c>
      <c r="DK52" s="7">
        <v>400000</v>
      </c>
      <c r="DL52" s="7">
        <v>-2000000</v>
      </c>
      <c r="DM52" s="7">
        <v>49200000</v>
      </c>
      <c r="DN52" s="7">
        <v>-62000000</v>
      </c>
      <c r="DO52" s="7">
        <v>18000000</v>
      </c>
      <c r="DP52" s="7">
        <v>1400000</v>
      </c>
      <c r="DQ52" s="7">
        <v>-1900000</v>
      </c>
      <c r="DR52" s="92">
        <v>800000</v>
      </c>
      <c r="DS52" s="7">
        <v>0</v>
      </c>
      <c r="DT52" s="7">
        <v>-600000</v>
      </c>
      <c r="DU52" s="7">
        <v>1200000</v>
      </c>
      <c r="DV52" s="7">
        <v>2200000</v>
      </c>
      <c r="DW52" s="7">
        <v>3000000</v>
      </c>
      <c r="DX52" s="7">
        <v>6800000</v>
      </c>
      <c r="DY52" s="7">
        <v>-600000</v>
      </c>
      <c r="DZ52" s="160">
        <v>-1400000</v>
      </c>
      <c r="EA52" s="7">
        <v>-1400000</v>
      </c>
      <c r="EB52" s="7">
        <v>-300000</v>
      </c>
      <c r="EC52" s="7">
        <f>-5000000-250000</f>
        <v>-5250000</v>
      </c>
      <c r="ED52" s="7">
        <v>-15400000</v>
      </c>
      <c r="EE52" s="7">
        <v>-800000</v>
      </c>
      <c r="EF52" s="7">
        <v>-1100000</v>
      </c>
      <c r="EG52" s="34">
        <v>126400000</v>
      </c>
      <c r="EH52" s="7">
        <f>-EH20+EH49</f>
        <v>10000000</v>
      </c>
      <c r="EI52" s="7">
        <f>-EI20+EI49</f>
        <v>-500000</v>
      </c>
      <c r="EJ52" s="7">
        <f>-EJ20+EJ49</f>
        <v>-1500000</v>
      </c>
      <c r="EK52" s="79">
        <f>-EK20+EK49</f>
        <v>-60500000</v>
      </c>
      <c r="EL52" s="7">
        <v>-11600000</v>
      </c>
      <c r="EM52" s="7">
        <v>3400000</v>
      </c>
      <c r="EN52" s="7">
        <v>3200000</v>
      </c>
      <c r="EO52" s="7">
        <v>-1000000</v>
      </c>
      <c r="EP52" s="7">
        <v>-3000000</v>
      </c>
      <c r="EQ52" s="7">
        <f>-EQ20+EQ49</f>
        <v>1900000</v>
      </c>
      <c r="ER52" s="7">
        <v>-100000</v>
      </c>
      <c r="ES52" s="7">
        <v>-2400000</v>
      </c>
      <c r="ET52" s="7">
        <v>-250000</v>
      </c>
      <c r="EU52" s="160">
        <v>-1300000</v>
      </c>
      <c r="EV52" s="7">
        <v>-2100000</v>
      </c>
      <c r="EW52" s="7">
        <v>-1600000</v>
      </c>
      <c r="EX52" s="7">
        <v>900000</v>
      </c>
      <c r="EY52" s="7">
        <v>-16300000</v>
      </c>
      <c r="EZ52" s="7">
        <v>-450000</v>
      </c>
      <c r="FA52" s="7">
        <v>68700000</v>
      </c>
      <c r="FB52" s="7">
        <v>900000</v>
      </c>
      <c r="FC52" s="7">
        <v>-750000</v>
      </c>
      <c r="FD52" s="7">
        <v>0</v>
      </c>
      <c r="FE52" s="229">
        <v>-60200000</v>
      </c>
      <c r="FF52" s="7">
        <v>-9150000</v>
      </c>
      <c r="FG52" s="7">
        <v>3700000</v>
      </c>
      <c r="FH52" s="7">
        <v>-1800000</v>
      </c>
      <c r="FI52" s="229">
        <v>-4500000</v>
      </c>
      <c r="FJ52" s="7">
        <v>5800000</v>
      </c>
      <c r="FK52" s="7">
        <v>7600000</v>
      </c>
      <c r="FL52" s="79">
        <v>15350000</v>
      </c>
      <c r="FM52" s="7">
        <v>119750000</v>
      </c>
      <c r="FN52" s="7">
        <v>-700000</v>
      </c>
      <c r="FO52" s="7">
        <v>-2800000</v>
      </c>
      <c r="FP52" s="160">
        <v>-2200000</v>
      </c>
      <c r="FQ52" s="7">
        <v>-700000</v>
      </c>
      <c r="FR52" s="7">
        <v>-1850000</v>
      </c>
      <c r="FS52" s="7">
        <v>-4300000</v>
      </c>
      <c r="FT52" s="7">
        <v>-4800000</v>
      </c>
      <c r="FU52" s="7">
        <v>-2700000</v>
      </c>
      <c r="FV52" s="7">
        <v>-700000</v>
      </c>
      <c r="FW52" s="7">
        <v>400000</v>
      </c>
      <c r="FX52" s="7">
        <v>-1300000</v>
      </c>
      <c r="FY52" s="7">
        <v>-2500000</v>
      </c>
      <c r="FZ52" s="229">
        <f>-70400000-75000000</f>
        <v>-145400000</v>
      </c>
      <c r="GA52" s="7">
        <v>-1000000</v>
      </c>
      <c r="GB52" s="7">
        <v>-5000000</v>
      </c>
      <c r="GC52" s="7">
        <v>-3750000</v>
      </c>
      <c r="GD52" s="7">
        <v>-1200000</v>
      </c>
      <c r="GE52" s="7">
        <v>-1000000</v>
      </c>
      <c r="GF52" s="7">
        <v>-750000</v>
      </c>
      <c r="GG52" s="7">
        <v>-800000</v>
      </c>
      <c r="GH52" s="7">
        <v>86500000</v>
      </c>
      <c r="GI52" s="7">
        <f>8800000</f>
        <v>8800000</v>
      </c>
      <c r="GJ52" s="7">
        <v>-1700000</v>
      </c>
      <c r="GK52" s="7">
        <v>-150000</v>
      </c>
      <c r="GL52" s="160">
        <v>-3500000</v>
      </c>
      <c r="GM52" s="7">
        <v>-2300000</v>
      </c>
      <c r="GN52" s="7">
        <v>-200000</v>
      </c>
      <c r="GO52" s="7">
        <v>600000</v>
      </c>
      <c r="GP52" s="7">
        <v>0</v>
      </c>
      <c r="GQ52" s="7">
        <v>-7200000</v>
      </c>
      <c r="GR52" s="7">
        <v>2000000</v>
      </c>
      <c r="GS52" s="7">
        <v>-500000</v>
      </c>
      <c r="GT52" s="7">
        <v>1500000</v>
      </c>
      <c r="GU52" s="250">
        <v>2600000</v>
      </c>
      <c r="GV52" s="7">
        <v>-1300000</v>
      </c>
      <c r="GW52" s="7">
        <v>1200000</v>
      </c>
      <c r="GX52" s="7">
        <v>4600000</v>
      </c>
      <c r="GY52" s="7">
        <v>1500000</v>
      </c>
      <c r="GZ52" s="7">
        <v>-100000</v>
      </c>
      <c r="HA52" s="7">
        <v>-7700000</v>
      </c>
      <c r="HB52" s="7">
        <v>1600000</v>
      </c>
      <c r="HC52" s="7">
        <v>-2800000</v>
      </c>
      <c r="HD52" s="160">
        <v>-750000</v>
      </c>
      <c r="HE52" s="7">
        <v>7200000</v>
      </c>
      <c r="HF52" s="7">
        <v>3500000</v>
      </c>
      <c r="HG52" s="7">
        <v>5300000</v>
      </c>
      <c r="HH52" s="7">
        <v>2600000</v>
      </c>
      <c r="HI52" s="7">
        <f>-HI20+HI49</f>
        <v>-13200000</v>
      </c>
      <c r="HJ52" s="7">
        <v>-3500000</v>
      </c>
      <c r="HK52" s="7">
        <v>2600000</v>
      </c>
      <c r="HL52" s="7">
        <v>1600000</v>
      </c>
      <c r="HM52" s="7">
        <v>7400000</v>
      </c>
      <c r="HN52" s="135">
        <v>900000</v>
      </c>
      <c r="HO52" s="79">
        <v>-73300000</v>
      </c>
      <c r="HP52" s="7">
        <v>3900000</v>
      </c>
      <c r="HQ52" s="7">
        <v>400000</v>
      </c>
      <c r="HR52" s="7">
        <v>900000</v>
      </c>
      <c r="HS52" s="7">
        <v>1600000</v>
      </c>
      <c r="HT52" s="7">
        <v>6600000</v>
      </c>
      <c r="HU52" s="7">
        <v>6600000</v>
      </c>
      <c r="HV52" s="7">
        <v>16500000</v>
      </c>
      <c r="HW52" s="7">
        <v>2000000</v>
      </c>
      <c r="HX52" s="7">
        <v>-1700000</v>
      </c>
      <c r="HY52" s="7">
        <v>15300000</v>
      </c>
      <c r="HZ52" s="160">
        <v>6200000</v>
      </c>
      <c r="IA52" s="7">
        <v>17500000</v>
      </c>
      <c r="IB52" s="7">
        <v>-800000</v>
      </c>
      <c r="IC52" s="7">
        <v>17300000</v>
      </c>
      <c r="ID52" s="7">
        <v>0</v>
      </c>
      <c r="IE52" s="7">
        <v>12200000</v>
      </c>
      <c r="IF52" s="7">
        <v>15000000</v>
      </c>
      <c r="IG52" s="7">
        <v>-88800000</v>
      </c>
      <c r="IH52" s="116">
        <v>53000000</v>
      </c>
      <c r="II52" s="7">
        <v>21200000</v>
      </c>
      <c r="IJ52" s="7">
        <v>-49800000</v>
      </c>
      <c r="IK52" s="7">
        <v>8600000</v>
      </c>
      <c r="IL52" s="7">
        <v>-46000000</v>
      </c>
      <c r="IM52" s="7">
        <v>4750000</v>
      </c>
      <c r="IN52" s="7">
        <v>4900000</v>
      </c>
      <c r="IO52" s="7">
        <v>1200000</v>
      </c>
      <c r="IP52" s="7">
        <v>9200000</v>
      </c>
      <c r="IQ52" s="7">
        <v>4600000</v>
      </c>
      <c r="IR52" s="7">
        <v>27600000</v>
      </c>
      <c r="IS52" s="7">
        <v>-1000000</v>
      </c>
      <c r="IT52" s="160">
        <v>16800000</v>
      </c>
      <c r="IU52" s="7"/>
    </row>
    <row r="53" spans="1:256" s="8" customFormat="1" ht="14.1" customHeight="1">
      <c r="A53" s="21"/>
      <c r="B53" s="14"/>
      <c r="C53" s="152"/>
      <c r="N53" s="213"/>
      <c r="S53" s="8" t="s">
        <v>50</v>
      </c>
      <c r="W53" s="152"/>
      <c r="AF53" s="213"/>
      <c r="AR53" s="152"/>
      <c r="AV53" s="213"/>
      <c r="BN53" s="152"/>
      <c r="CI53" s="152"/>
      <c r="DD53" s="152"/>
      <c r="DE53" s="83"/>
      <c r="DR53" s="83"/>
      <c r="DZ53" s="152"/>
      <c r="EG53" s="38"/>
      <c r="EK53" s="71"/>
      <c r="EU53" s="152"/>
      <c r="FE53" s="213"/>
      <c r="FI53" s="213"/>
      <c r="FL53" s="71"/>
      <c r="FP53" s="152"/>
      <c r="FZ53" s="213"/>
      <c r="GL53" s="152"/>
      <c r="GU53" s="240"/>
      <c r="HD53" s="152"/>
      <c r="HM53" s="140"/>
      <c r="HN53" s="127"/>
      <c r="HO53" s="71"/>
      <c r="HZ53" s="152"/>
      <c r="IH53" s="98"/>
      <c r="IT53" s="152"/>
    </row>
    <row r="54" spans="1:256" s="8" customFormat="1" ht="14.1" customHeight="1">
      <c r="A54" s="22" t="s">
        <v>23</v>
      </c>
      <c r="B54" s="22" t="s">
        <v>42</v>
      </c>
      <c r="C54" s="152"/>
      <c r="N54" s="213"/>
      <c r="W54" s="152"/>
      <c r="AF54" s="213"/>
      <c r="AR54" s="152"/>
      <c r="AV54" s="213"/>
      <c r="BN54" s="152"/>
      <c r="CI54" s="152"/>
      <c r="DD54" s="152"/>
      <c r="DE54" s="83"/>
      <c r="DR54" s="83"/>
      <c r="DZ54" s="152"/>
      <c r="EG54" s="38"/>
      <c r="EK54" s="71"/>
      <c r="EU54" s="152"/>
      <c r="FE54" s="213"/>
      <c r="FI54" s="213"/>
      <c r="FL54" s="71"/>
      <c r="FP54" s="152"/>
      <c r="FZ54" s="213"/>
      <c r="GL54" s="152"/>
      <c r="GU54" s="240"/>
      <c r="HD54" s="152"/>
      <c r="HM54" s="140"/>
      <c r="HN54" s="127"/>
      <c r="HO54" s="71"/>
      <c r="HZ54" s="152"/>
      <c r="IH54" s="98"/>
      <c r="IT54" s="152"/>
    </row>
    <row r="55" spans="1:256" s="8" customFormat="1" ht="14.1" customHeight="1">
      <c r="A55" s="14" t="s">
        <v>17</v>
      </c>
      <c r="B55" s="14"/>
      <c r="C55" s="39">
        <v>320038041.02999997</v>
      </c>
      <c r="D55" s="14">
        <f t="shared" ref="D55:V55" si="23">C55+D52</f>
        <v>375038041.02999997</v>
      </c>
      <c r="E55" s="14">
        <f t="shared" si="23"/>
        <v>378838041.02999997</v>
      </c>
      <c r="F55" s="14">
        <f t="shared" si="23"/>
        <v>415838041.02999997</v>
      </c>
      <c r="G55" s="14">
        <f t="shared" si="23"/>
        <v>457038041.02999997</v>
      </c>
      <c r="H55" s="14">
        <f t="shared" si="23"/>
        <v>132838041.02999997</v>
      </c>
      <c r="I55" s="14">
        <f t="shared" si="23"/>
        <v>150138041.02999997</v>
      </c>
      <c r="J55" s="14">
        <f t="shared" si="23"/>
        <v>149338041.02999997</v>
      </c>
      <c r="K55" s="14">
        <f t="shared" si="23"/>
        <v>148338041.02999997</v>
      </c>
      <c r="L55" s="14">
        <f t="shared" si="23"/>
        <v>200038041.02999997</v>
      </c>
      <c r="M55" s="14">
        <f t="shared" si="23"/>
        <v>199638041.02999997</v>
      </c>
      <c r="N55" s="230">
        <f t="shared" si="23"/>
        <v>140738041.02999997</v>
      </c>
      <c r="O55" s="14">
        <f t="shared" si="23"/>
        <v>143038041.02999997</v>
      </c>
      <c r="P55" s="14">
        <f t="shared" si="23"/>
        <v>147438041.02999997</v>
      </c>
      <c r="Q55" s="14">
        <f t="shared" si="23"/>
        <v>140738041.02999997</v>
      </c>
      <c r="R55" s="14">
        <f t="shared" si="23"/>
        <v>145838041.02999997</v>
      </c>
      <c r="S55" s="14">
        <f t="shared" si="23"/>
        <v>140238041.02999997</v>
      </c>
      <c r="T55" s="14">
        <f t="shared" si="23"/>
        <v>140438041.02999997</v>
      </c>
      <c r="U55" s="14">
        <f t="shared" si="23"/>
        <v>143738041.02999997</v>
      </c>
      <c r="V55" s="14">
        <f t="shared" si="23"/>
        <v>146738041.02999997</v>
      </c>
      <c r="W55" s="39">
        <f>V55+W52+589286.85</f>
        <v>148227327.87999997</v>
      </c>
      <c r="X55" s="14">
        <f t="shared" ref="X55:AQ55" si="24">W55+X52</f>
        <v>150127327.87999997</v>
      </c>
      <c r="Y55" s="14">
        <f t="shared" si="24"/>
        <v>158527327.87999997</v>
      </c>
      <c r="Z55" s="14">
        <f t="shared" si="24"/>
        <v>155327327.87999997</v>
      </c>
      <c r="AA55" s="14">
        <f t="shared" si="24"/>
        <v>141327327.87999997</v>
      </c>
      <c r="AB55" s="14">
        <f t="shared" si="24"/>
        <v>138327327.87999997</v>
      </c>
      <c r="AC55" s="14">
        <f t="shared" si="24"/>
        <v>135727327.87999997</v>
      </c>
      <c r="AD55" s="14">
        <f t="shared" si="24"/>
        <v>134027327.87999997</v>
      </c>
      <c r="AE55" s="14">
        <f t="shared" si="24"/>
        <v>133327327.87999997</v>
      </c>
      <c r="AF55" s="230">
        <f t="shared" si="24"/>
        <v>74427327.879999965</v>
      </c>
      <c r="AG55" s="14">
        <f t="shared" si="24"/>
        <v>64927327.879999965</v>
      </c>
      <c r="AH55" s="14">
        <f t="shared" si="24"/>
        <v>64627327.879999965</v>
      </c>
      <c r="AI55" s="14">
        <f t="shared" si="24"/>
        <v>64127327.879999965</v>
      </c>
      <c r="AJ55" s="14">
        <f t="shared" si="24"/>
        <v>62227327.879999965</v>
      </c>
      <c r="AK55" s="14">
        <f t="shared" si="24"/>
        <v>54227327.879999965</v>
      </c>
      <c r="AL55" s="14">
        <f t="shared" si="24"/>
        <v>54227327.879999965</v>
      </c>
      <c r="AM55" s="14">
        <f t="shared" si="24"/>
        <v>59927327.879999965</v>
      </c>
      <c r="AN55" s="14">
        <f t="shared" si="24"/>
        <v>66227327.879999965</v>
      </c>
      <c r="AO55" s="14">
        <f t="shared" si="24"/>
        <v>63527327.879999965</v>
      </c>
      <c r="AP55" s="14">
        <f t="shared" si="24"/>
        <v>65827327.879999965</v>
      </c>
      <c r="AQ55" s="14">
        <f t="shared" si="24"/>
        <v>63927327.879999965</v>
      </c>
      <c r="AR55" s="39">
        <f>AQ55+AR52+265126.71</f>
        <v>62392454.589999966</v>
      </c>
      <c r="AS55" s="14">
        <f t="shared" ref="AS55:BM55" si="25">AR55+AS52</f>
        <v>61642454.589999966</v>
      </c>
      <c r="AT55" s="14">
        <f t="shared" si="25"/>
        <v>72142454.589999974</v>
      </c>
      <c r="AU55" s="14">
        <f t="shared" si="25"/>
        <v>74142454.589999974</v>
      </c>
      <c r="AV55" s="230">
        <f t="shared" si="25"/>
        <v>53442454.589999974</v>
      </c>
      <c r="AW55" s="14">
        <f t="shared" si="25"/>
        <v>53442454.589999974</v>
      </c>
      <c r="AX55" s="14">
        <f t="shared" si="25"/>
        <v>53442454.589999974</v>
      </c>
      <c r="AY55" s="14">
        <f t="shared" si="25"/>
        <v>51842454.589999974</v>
      </c>
      <c r="AZ55" s="14">
        <f t="shared" si="25"/>
        <v>52242454.589999974</v>
      </c>
      <c r="BA55" s="14">
        <f t="shared" si="25"/>
        <v>48142454.589999974</v>
      </c>
      <c r="BB55" s="14">
        <f t="shared" si="25"/>
        <v>50142454.589999974</v>
      </c>
      <c r="BC55" s="14">
        <f t="shared" si="25"/>
        <v>41342454.589999974</v>
      </c>
      <c r="BD55" s="14">
        <f t="shared" si="25"/>
        <v>25342454.589999974</v>
      </c>
      <c r="BE55" s="14">
        <f t="shared" si="25"/>
        <v>23142454.589999974</v>
      </c>
      <c r="BF55" s="14">
        <f t="shared" si="25"/>
        <v>18942454.589999974</v>
      </c>
      <c r="BG55" s="14">
        <f t="shared" si="25"/>
        <v>20242454.589999974</v>
      </c>
      <c r="BH55" s="14">
        <f t="shared" si="25"/>
        <v>19042454.589999974</v>
      </c>
      <c r="BI55" s="14">
        <f t="shared" si="25"/>
        <v>23442454.589999974</v>
      </c>
      <c r="BJ55" s="14">
        <f t="shared" si="25"/>
        <v>21642454.589999974</v>
      </c>
      <c r="BK55" s="14">
        <f t="shared" si="25"/>
        <v>25842454.589999974</v>
      </c>
      <c r="BL55" s="14">
        <f t="shared" si="25"/>
        <v>21342454.589999974</v>
      </c>
      <c r="BM55" s="14">
        <f t="shared" si="25"/>
        <v>22142454.589999974</v>
      </c>
      <c r="BN55" s="39">
        <f>BM55+BN52+89811.47</f>
        <v>21332266.059999973</v>
      </c>
      <c r="BO55" s="14">
        <f t="shared" ref="BO55:CH55" si="26">BN55+BO52</f>
        <v>21082266.059999973</v>
      </c>
      <c r="BP55" s="14">
        <f t="shared" si="26"/>
        <v>19682266.059999973</v>
      </c>
      <c r="BQ55" s="14">
        <f t="shared" si="26"/>
        <v>17782266.059999973</v>
      </c>
      <c r="BR55" s="14">
        <f t="shared" si="26"/>
        <v>3282266.0599999726</v>
      </c>
      <c r="BS55" s="14">
        <f t="shared" si="26"/>
        <v>2782266.0599999726</v>
      </c>
      <c r="BT55" s="14">
        <f t="shared" si="26"/>
        <v>3082266.0599999726</v>
      </c>
      <c r="BU55" s="14">
        <f t="shared" si="26"/>
        <v>3082266.0599999726</v>
      </c>
      <c r="BV55" s="14">
        <f t="shared" si="26"/>
        <v>62982266.059999973</v>
      </c>
      <c r="BW55" s="14">
        <f t="shared" si="26"/>
        <v>97582266.059999973</v>
      </c>
      <c r="BX55" s="14">
        <f t="shared" si="26"/>
        <v>97182266.059999973</v>
      </c>
      <c r="BY55" s="14">
        <f t="shared" si="26"/>
        <v>36282266.059999973</v>
      </c>
      <c r="BZ55" s="14">
        <f t="shared" si="26"/>
        <v>19782266.059999973</v>
      </c>
      <c r="CA55" s="14">
        <f t="shared" si="26"/>
        <v>13282266.059999973</v>
      </c>
      <c r="CB55" s="14">
        <f t="shared" si="26"/>
        <v>12082266.059999973</v>
      </c>
      <c r="CC55" s="14">
        <f t="shared" si="26"/>
        <v>9782266.0599999726</v>
      </c>
      <c r="CD55" s="14">
        <f t="shared" si="26"/>
        <v>9282266.0599999726</v>
      </c>
      <c r="CE55" s="14">
        <f t="shared" si="26"/>
        <v>8682266.0599999726</v>
      </c>
      <c r="CF55" s="14">
        <f t="shared" si="26"/>
        <v>18282266.059999973</v>
      </c>
      <c r="CG55" s="14">
        <f t="shared" si="26"/>
        <v>16882266.059999973</v>
      </c>
      <c r="CH55" s="14">
        <f t="shared" si="26"/>
        <v>15732266.059999973</v>
      </c>
      <c r="CI55" s="39">
        <f>CH55+CI52+42943.9</f>
        <v>11775209.959999973</v>
      </c>
      <c r="CJ55" s="14">
        <f t="shared" ref="CJ55:DC55" si="27">CI55+CJ52</f>
        <v>10575209.959999973</v>
      </c>
      <c r="CK55" s="14">
        <f t="shared" si="27"/>
        <v>7575209.959999973</v>
      </c>
      <c r="CL55" s="14">
        <f t="shared" si="27"/>
        <v>13575209.959999973</v>
      </c>
      <c r="CM55" s="14">
        <f t="shared" si="27"/>
        <v>11575209.959999973</v>
      </c>
      <c r="CN55" s="14">
        <f t="shared" si="27"/>
        <v>16575209.959999973</v>
      </c>
      <c r="CO55" s="14">
        <f t="shared" si="27"/>
        <v>45175209.959999971</v>
      </c>
      <c r="CP55" s="14">
        <f t="shared" si="27"/>
        <v>43425209.959999971</v>
      </c>
      <c r="CQ55" s="14">
        <f t="shared" si="27"/>
        <v>42725209.959999971</v>
      </c>
      <c r="CR55" s="14">
        <f t="shared" si="27"/>
        <v>43225209.959999971</v>
      </c>
      <c r="CS55" s="14">
        <f t="shared" si="27"/>
        <v>56425209.959999971</v>
      </c>
      <c r="CT55" s="14">
        <f t="shared" si="27"/>
        <v>45825209.959999971</v>
      </c>
      <c r="CU55" s="14">
        <f t="shared" si="27"/>
        <v>44225209.959999971</v>
      </c>
      <c r="CV55" s="14">
        <f t="shared" si="27"/>
        <v>41625209.959999971</v>
      </c>
      <c r="CW55" s="14">
        <f t="shared" si="27"/>
        <v>39925209.959999971</v>
      </c>
      <c r="CX55" s="14">
        <f t="shared" si="27"/>
        <v>37625209.959999971</v>
      </c>
      <c r="CY55" s="14">
        <f t="shared" si="27"/>
        <v>35325209.959999971</v>
      </c>
      <c r="CZ55" s="14">
        <f t="shared" si="27"/>
        <v>36075209.959999971</v>
      </c>
      <c r="DA55" s="14">
        <f t="shared" si="27"/>
        <v>39075209.959999971</v>
      </c>
      <c r="DB55" s="14">
        <f t="shared" si="27"/>
        <v>40375209.959999971</v>
      </c>
      <c r="DC55" s="14">
        <f t="shared" si="27"/>
        <v>42975209.959999971</v>
      </c>
      <c r="DD55" s="39">
        <f>DC55+DD52+72665.59</f>
        <v>42247875.549999975</v>
      </c>
      <c r="DE55" s="93">
        <f t="shared" ref="DE55:DY55" si="28">DD55+DE52</f>
        <v>34047875.549999975</v>
      </c>
      <c r="DF55" s="14">
        <f t="shared" si="28"/>
        <v>32947875.549999975</v>
      </c>
      <c r="DG55" s="14">
        <f t="shared" si="28"/>
        <v>26147875.549999975</v>
      </c>
      <c r="DH55" s="14">
        <f t="shared" si="28"/>
        <v>24647875.549999975</v>
      </c>
      <c r="DI55" s="14">
        <f t="shared" si="28"/>
        <v>25147875.549999975</v>
      </c>
      <c r="DJ55" s="14">
        <f t="shared" si="28"/>
        <v>24947875.549999975</v>
      </c>
      <c r="DK55" s="14">
        <f t="shared" si="28"/>
        <v>25347875.549999975</v>
      </c>
      <c r="DL55" s="14">
        <f t="shared" si="28"/>
        <v>23347875.549999975</v>
      </c>
      <c r="DM55" s="14">
        <f t="shared" si="28"/>
        <v>72547875.549999982</v>
      </c>
      <c r="DN55" s="14">
        <f t="shared" si="28"/>
        <v>10547875.549999982</v>
      </c>
      <c r="DO55" s="14">
        <f t="shared" si="28"/>
        <v>28547875.549999982</v>
      </c>
      <c r="DP55" s="14">
        <f t="shared" si="28"/>
        <v>29947875.549999982</v>
      </c>
      <c r="DQ55" s="14">
        <f t="shared" si="28"/>
        <v>28047875.549999982</v>
      </c>
      <c r="DR55" s="93">
        <f t="shared" si="28"/>
        <v>28847875.549999982</v>
      </c>
      <c r="DS55" s="14">
        <f t="shared" si="28"/>
        <v>28847875.549999982</v>
      </c>
      <c r="DT55" s="14">
        <f t="shared" si="28"/>
        <v>28247875.549999982</v>
      </c>
      <c r="DU55" s="14">
        <f t="shared" si="28"/>
        <v>29447875.549999982</v>
      </c>
      <c r="DV55" s="14">
        <f t="shared" si="28"/>
        <v>31647875.549999982</v>
      </c>
      <c r="DW55" s="14">
        <f t="shared" si="28"/>
        <v>34647875.549999982</v>
      </c>
      <c r="DX55" s="14">
        <f t="shared" si="28"/>
        <v>41447875.549999982</v>
      </c>
      <c r="DY55" s="14">
        <f t="shared" si="28"/>
        <v>40847875.549999982</v>
      </c>
      <c r="DZ55" s="39">
        <f>DY55+DZ52+64335.2</f>
        <v>39512210.749999985</v>
      </c>
      <c r="EA55" s="14">
        <f t="shared" ref="EA55:ET55" si="29">DZ55+EA52</f>
        <v>38112210.749999985</v>
      </c>
      <c r="EB55" s="14">
        <f t="shared" si="29"/>
        <v>37812210.749999985</v>
      </c>
      <c r="EC55" s="14">
        <f t="shared" si="29"/>
        <v>32562210.749999985</v>
      </c>
      <c r="ED55" s="14">
        <f t="shared" si="29"/>
        <v>17162210.749999985</v>
      </c>
      <c r="EE55" s="14">
        <f t="shared" si="29"/>
        <v>16362210.749999985</v>
      </c>
      <c r="EF55" s="14">
        <f t="shared" si="29"/>
        <v>15262210.749999985</v>
      </c>
      <c r="EG55" s="27">
        <f t="shared" si="29"/>
        <v>141662210.75</v>
      </c>
      <c r="EH55" s="14">
        <f t="shared" si="29"/>
        <v>151662210.75</v>
      </c>
      <c r="EI55" s="14">
        <f t="shared" si="29"/>
        <v>151162210.75</v>
      </c>
      <c r="EJ55" s="14">
        <f t="shared" si="29"/>
        <v>149662210.75</v>
      </c>
      <c r="EK55" s="80">
        <f t="shared" si="29"/>
        <v>89162210.75</v>
      </c>
      <c r="EL55" s="14">
        <f t="shared" si="29"/>
        <v>77562210.75</v>
      </c>
      <c r="EM55" s="14">
        <f t="shared" si="29"/>
        <v>80962210.75</v>
      </c>
      <c r="EN55" s="14">
        <f t="shared" si="29"/>
        <v>84162210.75</v>
      </c>
      <c r="EO55" s="14">
        <f t="shared" si="29"/>
        <v>83162210.75</v>
      </c>
      <c r="EP55" s="14">
        <f t="shared" si="29"/>
        <v>80162210.75</v>
      </c>
      <c r="EQ55" s="14">
        <f t="shared" si="29"/>
        <v>82062210.75</v>
      </c>
      <c r="ER55" s="14">
        <f t="shared" si="29"/>
        <v>81962210.75</v>
      </c>
      <c r="ES55" s="14">
        <f t="shared" si="29"/>
        <v>79562210.75</v>
      </c>
      <c r="ET55" s="14">
        <f t="shared" si="29"/>
        <v>79312210.75</v>
      </c>
      <c r="EU55" s="39">
        <f>ET55+EU52+156572.77</f>
        <v>78168783.519999996</v>
      </c>
      <c r="EV55" s="14">
        <f t="shared" ref="EV55:FO55" si="30">EU55+EV52</f>
        <v>76068783.519999996</v>
      </c>
      <c r="EW55" s="14">
        <f t="shared" si="30"/>
        <v>74468783.519999996</v>
      </c>
      <c r="EX55" s="14">
        <f t="shared" si="30"/>
        <v>75368783.519999996</v>
      </c>
      <c r="EY55" s="14">
        <f t="shared" si="30"/>
        <v>59068783.519999996</v>
      </c>
      <c r="EZ55" s="14">
        <f t="shared" si="30"/>
        <v>58618783.519999996</v>
      </c>
      <c r="FA55" s="14">
        <f t="shared" si="30"/>
        <v>127318783.52</v>
      </c>
      <c r="FB55" s="14">
        <f t="shared" si="30"/>
        <v>128218783.52</v>
      </c>
      <c r="FC55" s="14">
        <f t="shared" si="30"/>
        <v>127468783.52</v>
      </c>
      <c r="FD55" s="14">
        <f t="shared" si="30"/>
        <v>127468783.52</v>
      </c>
      <c r="FE55" s="230">
        <f t="shared" si="30"/>
        <v>67268783.519999996</v>
      </c>
      <c r="FF55" s="14">
        <f t="shared" si="30"/>
        <v>58118783.519999996</v>
      </c>
      <c r="FG55" s="14">
        <f t="shared" si="30"/>
        <v>61818783.519999996</v>
      </c>
      <c r="FH55" s="14">
        <f t="shared" si="30"/>
        <v>60018783.519999996</v>
      </c>
      <c r="FI55" s="230">
        <f t="shared" si="30"/>
        <v>55518783.519999996</v>
      </c>
      <c r="FJ55" s="14">
        <f t="shared" si="30"/>
        <v>61318783.519999996</v>
      </c>
      <c r="FK55" s="14">
        <f t="shared" si="30"/>
        <v>68918783.519999996</v>
      </c>
      <c r="FL55" s="80">
        <f t="shared" si="30"/>
        <v>84268783.519999996</v>
      </c>
      <c r="FM55" s="14">
        <f t="shared" si="30"/>
        <v>204018783.51999998</v>
      </c>
      <c r="FN55" s="14">
        <f t="shared" si="30"/>
        <v>203318783.51999998</v>
      </c>
      <c r="FO55" s="14">
        <f t="shared" si="30"/>
        <v>200518783.51999998</v>
      </c>
      <c r="FP55" s="39">
        <f>FO55+FP52+213825.72</f>
        <v>198532609.23999998</v>
      </c>
      <c r="FQ55" s="14">
        <f t="shared" ref="FQ55:GK55" si="31">FP55+FQ52</f>
        <v>197832609.23999998</v>
      </c>
      <c r="FR55" s="14">
        <f t="shared" si="31"/>
        <v>195982609.23999998</v>
      </c>
      <c r="FS55" s="14">
        <f t="shared" si="31"/>
        <v>191682609.23999998</v>
      </c>
      <c r="FT55" s="14">
        <f t="shared" si="31"/>
        <v>186882609.23999998</v>
      </c>
      <c r="FU55" s="14">
        <f t="shared" si="31"/>
        <v>184182609.23999998</v>
      </c>
      <c r="FV55" s="14">
        <f t="shared" si="31"/>
        <v>183482609.23999998</v>
      </c>
      <c r="FW55" s="14">
        <f t="shared" si="31"/>
        <v>183882609.23999998</v>
      </c>
      <c r="FX55" s="14">
        <f t="shared" si="31"/>
        <v>182582609.23999998</v>
      </c>
      <c r="FY55" s="14">
        <f t="shared" si="31"/>
        <v>180082609.23999998</v>
      </c>
      <c r="FZ55" s="230">
        <f t="shared" si="31"/>
        <v>34682609.23999998</v>
      </c>
      <c r="GA55" s="14">
        <f t="shared" si="31"/>
        <v>33682609.23999998</v>
      </c>
      <c r="GB55" s="14">
        <f t="shared" si="31"/>
        <v>28682609.23999998</v>
      </c>
      <c r="GC55" s="14">
        <f t="shared" si="31"/>
        <v>24932609.23999998</v>
      </c>
      <c r="GD55" s="14">
        <f t="shared" si="31"/>
        <v>23732609.23999998</v>
      </c>
      <c r="GE55" s="14">
        <f t="shared" si="31"/>
        <v>22732609.23999998</v>
      </c>
      <c r="GF55" s="14">
        <f t="shared" si="31"/>
        <v>21982609.23999998</v>
      </c>
      <c r="GG55" s="14">
        <f t="shared" si="31"/>
        <v>21182609.23999998</v>
      </c>
      <c r="GH55" s="14">
        <f t="shared" si="31"/>
        <v>107682609.23999998</v>
      </c>
      <c r="GI55" s="14">
        <f t="shared" si="31"/>
        <v>116482609.23999998</v>
      </c>
      <c r="GJ55" s="14">
        <f t="shared" si="31"/>
        <v>114782609.23999998</v>
      </c>
      <c r="GK55" s="14">
        <f t="shared" si="31"/>
        <v>114632609.23999998</v>
      </c>
      <c r="GL55" s="39">
        <f>GK55+GL52+222685.28</f>
        <v>111355294.51999998</v>
      </c>
      <c r="GM55" s="14">
        <f t="shared" ref="GM55:HC55" si="32">GL55+GM52</f>
        <v>109055294.51999998</v>
      </c>
      <c r="GN55" s="14">
        <f t="shared" si="32"/>
        <v>108855294.51999998</v>
      </c>
      <c r="GO55" s="14">
        <f t="shared" si="32"/>
        <v>109455294.51999998</v>
      </c>
      <c r="GP55" s="14">
        <f t="shared" si="32"/>
        <v>109455294.51999998</v>
      </c>
      <c r="GQ55" s="14">
        <f t="shared" si="32"/>
        <v>102255294.51999998</v>
      </c>
      <c r="GR55" s="14">
        <f t="shared" si="32"/>
        <v>104255294.51999998</v>
      </c>
      <c r="GS55" s="14">
        <f t="shared" si="32"/>
        <v>103755294.51999998</v>
      </c>
      <c r="GT55" s="14">
        <f t="shared" si="32"/>
        <v>105255294.51999998</v>
      </c>
      <c r="GU55" s="243">
        <f t="shared" si="32"/>
        <v>107855294.51999998</v>
      </c>
      <c r="GV55" s="14">
        <f t="shared" si="32"/>
        <v>106555294.51999998</v>
      </c>
      <c r="GW55" s="14">
        <f t="shared" si="32"/>
        <v>107755294.51999998</v>
      </c>
      <c r="GX55" s="14">
        <f t="shared" si="32"/>
        <v>112355294.51999998</v>
      </c>
      <c r="GY55" s="14">
        <f t="shared" si="32"/>
        <v>113855294.51999998</v>
      </c>
      <c r="GZ55" s="14">
        <f t="shared" si="32"/>
        <v>113755294.51999998</v>
      </c>
      <c r="HA55" s="14">
        <f t="shared" si="32"/>
        <v>106055294.51999998</v>
      </c>
      <c r="HB55" s="14">
        <f t="shared" si="32"/>
        <v>107655294.51999998</v>
      </c>
      <c r="HC55" s="14">
        <f t="shared" si="32"/>
        <v>104855294.51999998</v>
      </c>
      <c r="HD55" s="39">
        <f>HC55+HD52+199498.2</f>
        <v>104304792.71999998</v>
      </c>
      <c r="HE55" s="14">
        <f t="shared" ref="HE55:HY55" si="33">HD55+HE52</f>
        <v>111504792.71999998</v>
      </c>
      <c r="HF55" s="14">
        <f t="shared" si="33"/>
        <v>115004792.71999998</v>
      </c>
      <c r="HG55" s="14">
        <f t="shared" si="33"/>
        <v>120304792.71999998</v>
      </c>
      <c r="HH55" s="14">
        <f t="shared" si="33"/>
        <v>122904792.71999998</v>
      </c>
      <c r="HI55" s="14">
        <f t="shared" si="33"/>
        <v>109704792.71999998</v>
      </c>
      <c r="HJ55" s="14">
        <f t="shared" si="33"/>
        <v>106204792.71999998</v>
      </c>
      <c r="HK55" s="14">
        <f t="shared" si="33"/>
        <v>108804792.71999998</v>
      </c>
      <c r="HL55" s="14">
        <f t="shared" si="33"/>
        <v>110404792.71999998</v>
      </c>
      <c r="HM55" s="14">
        <f t="shared" si="33"/>
        <v>117804792.71999998</v>
      </c>
      <c r="HN55" s="136">
        <f t="shared" si="33"/>
        <v>118704792.71999998</v>
      </c>
      <c r="HO55" s="80">
        <f t="shared" si="33"/>
        <v>45404792.719999984</v>
      </c>
      <c r="HP55" s="14">
        <f t="shared" si="33"/>
        <v>49304792.719999984</v>
      </c>
      <c r="HQ55" s="14">
        <f t="shared" si="33"/>
        <v>49704792.719999984</v>
      </c>
      <c r="HR55" s="14">
        <f t="shared" si="33"/>
        <v>50604792.719999984</v>
      </c>
      <c r="HS55" s="14">
        <f t="shared" si="33"/>
        <v>52204792.719999984</v>
      </c>
      <c r="HT55" s="14">
        <f t="shared" si="33"/>
        <v>58804792.719999984</v>
      </c>
      <c r="HU55" s="14">
        <f t="shared" si="33"/>
        <v>65404792.719999984</v>
      </c>
      <c r="HV55" s="14">
        <f t="shared" si="33"/>
        <v>81904792.719999984</v>
      </c>
      <c r="HW55" s="14">
        <f t="shared" si="33"/>
        <v>83904792.719999984</v>
      </c>
      <c r="HX55" s="14">
        <f t="shared" si="33"/>
        <v>82204792.719999984</v>
      </c>
      <c r="HY55" s="14">
        <f t="shared" si="33"/>
        <v>97504792.719999984</v>
      </c>
      <c r="HZ55" s="39">
        <f>HY55+HZ52+132240.73</f>
        <v>103837033.44999999</v>
      </c>
      <c r="IA55" s="14">
        <f t="shared" ref="IA55:IT55" si="34">HZ55+IA52</f>
        <v>121337033.44999999</v>
      </c>
      <c r="IB55" s="14">
        <f t="shared" si="34"/>
        <v>120537033.44999999</v>
      </c>
      <c r="IC55" s="14">
        <f t="shared" si="34"/>
        <v>137837033.44999999</v>
      </c>
      <c r="ID55" s="14">
        <f t="shared" si="34"/>
        <v>137837033.44999999</v>
      </c>
      <c r="IE55" s="14">
        <f t="shared" si="34"/>
        <v>150037033.44999999</v>
      </c>
      <c r="IF55" s="14">
        <f t="shared" si="34"/>
        <v>165037033.44999999</v>
      </c>
      <c r="IG55" s="14">
        <f t="shared" si="34"/>
        <v>76237033.449999988</v>
      </c>
      <c r="IH55" s="112">
        <f t="shared" si="34"/>
        <v>129237033.44999999</v>
      </c>
      <c r="II55" s="14">
        <f t="shared" si="34"/>
        <v>150437033.44999999</v>
      </c>
      <c r="IJ55" s="14">
        <f t="shared" si="34"/>
        <v>100637033.44999999</v>
      </c>
      <c r="IK55" s="14">
        <f t="shared" si="34"/>
        <v>109237033.44999999</v>
      </c>
      <c r="IL55" s="14">
        <f t="shared" si="34"/>
        <v>63237033.449999988</v>
      </c>
      <c r="IM55" s="14">
        <f t="shared" si="34"/>
        <v>67987033.449999988</v>
      </c>
      <c r="IN55" s="14">
        <f t="shared" si="34"/>
        <v>72887033.449999988</v>
      </c>
      <c r="IO55" s="14">
        <f t="shared" si="34"/>
        <v>74087033.449999988</v>
      </c>
      <c r="IP55" s="14">
        <f t="shared" si="34"/>
        <v>83287033.449999988</v>
      </c>
      <c r="IQ55" s="14">
        <f t="shared" si="34"/>
        <v>87887033.449999988</v>
      </c>
      <c r="IR55" s="14">
        <f t="shared" si="34"/>
        <v>115487033.44999999</v>
      </c>
      <c r="IS55" s="14">
        <f t="shared" si="34"/>
        <v>114487033.44999999</v>
      </c>
      <c r="IT55" s="39">
        <f t="shared" si="34"/>
        <v>131287033.44999999</v>
      </c>
      <c r="IU55" s="14"/>
    </row>
    <row r="56" spans="1:256" s="8" customFormat="1" ht="14.1" customHeight="1">
      <c r="A56" s="14" t="s">
        <v>69</v>
      </c>
      <c r="B56" s="14"/>
      <c r="C56" s="39">
        <v>0</v>
      </c>
      <c r="D56" s="14">
        <f t="shared" ref="D56:AI56" si="35">+C56</f>
        <v>0</v>
      </c>
      <c r="E56" s="14">
        <f t="shared" si="35"/>
        <v>0</v>
      </c>
      <c r="F56" s="14">
        <f t="shared" si="35"/>
        <v>0</v>
      </c>
      <c r="G56" s="14">
        <f t="shared" si="35"/>
        <v>0</v>
      </c>
      <c r="H56" s="14">
        <f t="shared" si="35"/>
        <v>0</v>
      </c>
      <c r="I56" s="14">
        <f t="shared" si="35"/>
        <v>0</v>
      </c>
      <c r="J56" s="14">
        <f t="shared" si="35"/>
        <v>0</v>
      </c>
      <c r="K56" s="14">
        <f t="shared" si="35"/>
        <v>0</v>
      </c>
      <c r="L56" s="14">
        <f t="shared" si="35"/>
        <v>0</v>
      </c>
      <c r="M56" s="14">
        <f t="shared" si="35"/>
        <v>0</v>
      </c>
      <c r="N56" s="230">
        <f t="shared" si="35"/>
        <v>0</v>
      </c>
      <c r="O56" s="14">
        <f t="shared" si="35"/>
        <v>0</v>
      </c>
      <c r="P56" s="14">
        <f t="shared" si="35"/>
        <v>0</v>
      </c>
      <c r="Q56" s="14">
        <f t="shared" si="35"/>
        <v>0</v>
      </c>
      <c r="R56" s="14">
        <f t="shared" si="35"/>
        <v>0</v>
      </c>
      <c r="S56" s="14">
        <f t="shared" si="35"/>
        <v>0</v>
      </c>
      <c r="T56" s="14">
        <f t="shared" si="35"/>
        <v>0</v>
      </c>
      <c r="U56" s="14">
        <f t="shared" si="35"/>
        <v>0</v>
      </c>
      <c r="V56" s="14">
        <f t="shared" si="35"/>
        <v>0</v>
      </c>
      <c r="W56" s="39">
        <f t="shared" si="35"/>
        <v>0</v>
      </c>
      <c r="X56" s="14">
        <f t="shared" si="35"/>
        <v>0</v>
      </c>
      <c r="Y56" s="14">
        <f t="shared" si="35"/>
        <v>0</v>
      </c>
      <c r="Z56" s="14">
        <f t="shared" si="35"/>
        <v>0</v>
      </c>
      <c r="AA56" s="14">
        <f t="shared" si="35"/>
        <v>0</v>
      </c>
      <c r="AB56" s="14">
        <f t="shared" si="35"/>
        <v>0</v>
      </c>
      <c r="AC56" s="14">
        <f t="shared" si="35"/>
        <v>0</v>
      </c>
      <c r="AD56" s="14">
        <f t="shared" si="35"/>
        <v>0</v>
      </c>
      <c r="AE56" s="14">
        <f t="shared" si="35"/>
        <v>0</v>
      </c>
      <c r="AF56" s="230">
        <f t="shared" si="35"/>
        <v>0</v>
      </c>
      <c r="AG56" s="14">
        <f t="shared" si="35"/>
        <v>0</v>
      </c>
      <c r="AH56" s="14">
        <f t="shared" si="35"/>
        <v>0</v>
      </c>
      <c r="AI56" s="14">
        <f t="shared" si="35"/>
        <v>0</v>
      </c>
      <c r="AJ56" s="14">
        <f t="shared" ref="AJ56:BO56" si="36">+AI56</f>
        <v>0</v>
      </c>
      <c r="AK56" s="14">
        <f t="shared" si="36"/>
        <v>0</v>
      </c>
      <c r="AL56" s="14">
        <f t="shared" si="36"/>
        <v>0</v>
      </c>
      <c r="AM56" s="14">
        <f t="shared" si="36"/>
        <v>0</v>
      </c>
      <c r="AN56" s="14">
        <f t="shared" si="36"/>
        <v>0</v>
      </c>
      <c r="AO56" s="14">
        <f t="shared" si="36"/>
        <v>0</v>
      </c>
      <c r="AP56" s="14">
        <f t="shared" si="36"/>
        <v>0</v>
      </c>
      <c r="AQ56" s="14">
        <f t="shared" si="36"/>
        <v>0</v>
      </c>
      <c r="AR56" s="39">
        <f t="shared" si="36"/>
        <v>0</v>
      </c>
      <c r="AS56" s="14">
        <f t="shared" si="36"/>
        <v>0</v>
      </c>
      <c r="AT56" s="14">
        <f t="shared" si="36"/>
        <v>0</v>
      </c>
      <c r="AU56" s="14">
        <f t="shared" si="36"/>
        <v>0</v>
      </c>
      <c r="AV56" s="230">
        <f t="shared" si="36"/>
        <v>0</v>
      </c>
      <c r="AW56" s="14">
        <f t="shared" si="36"/>
        <v>0</v>
      </c>
      <c r="AX56" s="14">
        <f t="shared" si="36"/>
        <v>0</v>
      </c>
      <c r="AY56" s="14">
        <f t="shared" si="36"/>
        <v>0</v>
      </c>
      <c r="AZ56" s="14">
        <f t="shared" si="36"/>
        <v>0</v>
      </c>
      <c r="BA56" s="14">
        <f t="shared" si="36"/>
        <v>0</v>
      </c>
      <c r="BB56" s="14">
        <f t="shared" si="36"/>
        <v>0</v>
      </c>
      <c r="BC56" s="14">
        <f t="shared" si="36"/>
        <v>0</v>
      </c>
      <c r="BD56" s="14">
        <f t="shared" si="36"/>
        <v>0</v>
      </c>
      <c r="BE56" s="14">
        <f t="shared" si="36"/>
        <v>0</v>
      </c>
      <c r="BF56" s="14">
        <f t="shared" si="36"/>
        <v>0</v>
      </c>
      <c r="BG56" s="14">
        <f t="shared" si="36"/>
        <v>0</v>
      </c>
      <c r="BH56" s="14">
        <f t="shared" si="36"/>
        <v>0</v>
      </c>
      <c r="BI56" s="14">
        <f t="shared" si="36"/>
        <v>0</v>
      </c>
      <c r="BJ56" s="14">
        <f t="shared" si="36"/>
        <v>0</v>
      </c>
      <c r="BK56" s="14">
        <f t="shared" si="36"/>
        <v>0</v>
      </c>
      <c r="BL56" s="14">
        <f t="shared" si="36"/>
        <v>0</v>
      </c>
      <c r="BM56" s="14">
        <f t="shared" si="36"/>
        <v>0</v>
      </c>
      <c r="BN56" s="39">
        <f t="shared" si="36"/>
        <v>0</v>
      </c>
      <c r="BO56" s="14">
        <f t="shared" si="36"/>
        <v>0</v>
      </c>
      <c r="BP56" s="14">
        <f t="shared" ref="BP56:CU56" si="37">+BO56</f>
        <v>0</v>
      </c>
      <c r="BQ56" s="14">
        <f t="shared" si="37"/>
        <v>0</v>
      </c>
      <c r="BR56" s="14">
        <f t="shared" si="37"/>
        <v>0</v>
      </c>
      <c r="BS56" s="14">
        <f t="shared" si="37"/>
        <v>0</v>
      </c>
      <c r="BT56" s="14">
        <f t="shared" si="37"/>
        <v>0</v>
      </c>
      <c r="BU56" s="14">
        <f t="shared" si="37"/>
        <v>0</v>
      </c>
      <c r="BV56" s="14">
        <f t="shared" si="37"/>
        <v>0</v>
      </c>
      <c r="BW56" s="14">
        <f t="shared" si="37"/>
        <v>0</v>
      </c>
      <c r="BX56" s="14">
        <f t="shared" si="37"/>
        <v>0</v>
      </c>
      <c r="BY56" s="14">
        <f t="shared" si="37"/>
        <v>0</v>
      </c>
      <c r="BZ56" s="14">
        <f t="shared" si="37"/>
        <v>0</v>
      </c>
      <c r="CA56" s="14">
        <f t="shared" si="37"/>
        <v>0</v>
      </c>
      <c r="CB56" s="14">
        <f t="shared" si="37"/>
        <v>0</v>
      </c>
      <c r="CC56" s="14">
        <f t="shared" si="37"/>
        <v>0</v>
      </c>
      <c r="CD56" s="14">
        <f t="shared" si="37"/>
        <v>0</v>
      </c>
      <c r="CE56" s="14">
        <f t="shared" si="37"/>
        <v>0</v>
      </c>
      <c r="CF56" s="14">
        <f t="shared" si="37"/>
        <v>0</v>
      </c>
      <c r="CG56" s="14">
        <f t="shared" si="37"/>
        <v>0</v>
      </c>
      <c r="CH56" s="14">
        <f t="shared" si="37"/>
        <v>0</v>
      </c>
      <c r="CI56" s="39">
        <f t="shared" si="37"/>
        <v>0</v>
      </c>
      <c r="CJ56" s="14">
        <f t="shared" si="37"/>
        <v>0</v>
      </c>
      <c r="CK56" s="14">
        <f t="shared" si="37"/>
        <v>0</v>
      </c>
      <c r="CL56" s="14">
        <f t="shared" si="37"/>
        <v>0</v>
      </c>
      <c r="CM56" s="14">
        <f t="shared" si="37"/>
        <v>0</v>
      </c>
      <c r="CN56" s="14">
        <f t="shared" si="37"/>
        <v>0</v>
      </c>
      <c r="CO56" s="14">
        <f t="shared" si="37"/>
        <v>0</v>
      </c>
      <c r="CP56" s="14">
        <f t="shared" si="37"/>
        <v>0</v>
      </c>
      <c r="CQ56" s="14">
        <f t="shared" si="37"/>
        <v>0</v>
      </c>
      <c r="CR56" s="14">
        <f t="shared" si="37"/>
        <v>0</v>
      </c>
      <c r="CS56" s="14">
        <f t="shared" si="37"/>
        <v>0</v>
      </c>
      <c r="CT56" s="14">
        <f t="shared" si="37"/>
        <v>0</v>
      </c>
      <c r="CU56" s="14">
        <f t="shared" si="37"/>
        <v>0</v>
      </c>
      <c r="CV56" s="14">
        <f t="shared" ref="CV56:EA56" si="38">+CU56</f>
        <v>0</v>
      </c>
      <c r="CW56" s="14">
        <f t="shared" si="38"/>
        <v>0</v>
      </c>
      <c r="CX56" s="14">
        <f t="shared" si="38"/>
        <v>0</v>
      </c>
      <c r="CY56" s="14">
        <f t="shared" si="38"/>
        <v>0</v>
      </c>
      <c r="CZ56" s="14">
        <f t="shared" si="38"/>
        <v>0</v>
      </c>
      <c r="DA56" s="14">
        <f t="shared" si="38"/>
        <v>0</v>
      </c>
      <c r="DB56" s="14">
        <f t="shared" si="38"/>
        <v>0</v>
      </c>
      <c r="DC56" s="14">
        <f t="shared" si="38"/>
        <v>0</v>
      </c>
      <c r="DD56" s="39">
        <f t="shared" si="38"/>
        <v>0</v>
      </c>
      <c r="DE56" s="93">
        <f t="shared" si="38"/>
        <v>0</v>
      </c>
      <c r="DF56" s="14">
        <f t="shared" si="38"/>
        <v>0</v>
      </c>
      <c r="DG56" s="14">
        <f t="shared" si="38"/>
        <v>0</v>
      </c>
      <c r="DH56" s="14">
        <f t="shared" si="38"/>
        <v>0</v>
      </c>
      <c r="DI56" s="14">
        <f t="shared" si="38"/>
        <v>0</v>
      </c>
      <c r="DJ56" s="14">
        <f t="shared" si="38"/>
        <v>0</v>
      </c>
      <c r="DK56" s="14">
        <f t="shared" si="38"/>
        <v>0</v>
      </c>
      <c r="DL56" s="14">
        <f t="shared" si="38"/>
        <v>0</v>
      </c>
      <c r="DM56" s="14">
        <f t="shared" si="38"/>
        <v>0</v>
      </c>
      <c r="DN56" s="14">
        <f t="shared" si="38"/>
        <v>0</v>
      </c>
      <c r="DO56" s="14">
        <f t="shared" si="38"/>
        <v>0</v>
      </c>
      <c r="DP56" s="14">
        <f t="shared" si="38"/>
        <v>0</v>
      </c>
      <c r="DQ56" s="14">
        <f t="shared" si="38"/>
        <v>0</v>
      </c>
      <c r="DR56" s="93">
        <f t="shared" si="38"/>
        <v>0</v>
      </c>
      <c r="DS56" s="14">
        <f t="shared" si="38"/>
        <v>0</v>
      </c>
      <c r="DT56" s="14">
        <f t="shared" si="38"/>
        <v>0</v>
      </c>
      <c r="DU56" s="14">
        <f t="shared" si="38"/>
        <v>0</v>
      </c>
      <c r="DV56" s="14">
        <f t="shared" si="38"/>
        <v>0</v>
      </c>
      <c r="DW56" s="14">
        <f t="shared" si="38"/>
        <v>0</v>
      </c>
      <c r="DX56" s="14">
        <f t="shared" si="38"/>
        <v>0</v>
      </c>
      <c r="DY56" s="14">
        <f t="shared" si="38"/>
        <v>0</v>
      </c>
      <c r="DZ56" s="39">
        <f t="shared" si="38"/>
        <v>0</v>
      </c>
      <c r="EA56" s="14">
        <f t="shared" si="38"/>
        <v>0</v>
      </c>
      <c r="EB56" s="14">
        <f t="shared" ref="EB56:FG56" si="39">+EA56</f>
        <v>0</v>
      </c>
      <c r="EC56" s="14">
        <f t="shared" si="39"/>
        <v>0</v>
      </c>
      <c r="ED56" s="14">
        <f t="shared" si="39"/>
        <v>0</v>
      </c>
      <c r="EE56" s="14">
        <f t="shared" si="39"/>
        <v>0</v>
      </c>
      <c r="EF56" s="14">
        <f t="shared" si="39"/>
        <v>0</v>
      </c>
      <c r="EG56" s="27">
        <f t="shared" si="39"/>
        <v>0</v>
      </c>
      <c r="EH56" s="14">
        <f t="shared" si="39"/>
        <v>0</v>
      </c>
      <c r="EI56" s="14">
        <f t="shared" si="39"/>
        <v>0</v>
      </c>
      <c r="EJ56" s="14">
        <f t="shared" si="39"/>
        <v>0</v>
      </c>
      <c r="EK56" s="243">
        <f>+EK66</f>
        <v>0</v>
      </c>
      <c r="EL56" s="14">
        <f>+EK56</f>
        <v>0</v>
      </c>
      <c r="EM56" s="14">
        <f t="shared" si="39"/>
        <v>0</v>
      </c>
      <c r="EN56" s="14">
        <f t="shared" si="39"/>
        <v>0</v>
      </c>
      <c r="EO56" s="14">
        <f t="shared" si="39"/>
        <v>0</v>
      </c>
      <c r="EP56" s="14">
        <f t="shared" si="39"/>
        <v>0</v>
      </c>
      <c r="EQ56" s="14">
        <f t="shared" si="39"/>
        <v>0</v>
      </c>
      <c r="ER56" s="14">
        <f t="shared" si="39"/>
        <v>0</v>
      </c>
      <c r="ES56" s="14">
        <f t="shared" si="39"/>
        <v>0</v>
      </c>
      <c r="ET56" s="14">
        <f t="shared" si="39"/>
        <v>0</v>
      </c>
      <c r="EU56" s="39">
        <f t="shared" si="39"/>
        <v>0</v>
      </c>
      <c r="EV56" s="14">
        <f>+EU56</f>
        <v>0</v>
      </c>
      <c r="EW56" s="14">
        <f>+EV56</f>
        <v>0</v>
      </c>
      <c r="EX56" s="14">
        <f t="shared" si="39"/>
        <v>0</v>
      </c>
      <c r="EY56" s="14">
        <f>+EX56</f>
        <v>0</v>
      </c>
      <c r="EZ56" s="14">
        <f t="shared" si="39"/>
        <v>0</v>
      </c>
      <c r="FA56" s="14">
        <f t="shared" si="39"/>
        <v>0</v>
      </c>
      <c r="FB56" s="14">
        <f t="shared" si="39"/>
        <v>0</v>
      </c>
      <c r="FC56" s="14">
        <f t="shared" si="39"/>
        <v>0</v>
      </c>
      <c r="FD56" s="14">
        <f t="shared" si="39"/>
        <v>0</v>
      </c>
      <c r="FE56" s="243">
        <f>+FD56+FE66</f>
        <v>0</v>
      </c>
      <c r="FF56" s="14">
        <f>+FE56</f>
        <v>0</v>
      </c>
      <c r="FG56" s="14">
        <f t="shared" si="39"/>
        <v>0</v>
      </c>
      <c r="FH56" s="14">
        <f t="shared" ref="FH56:FY56" si="40">+FG56</f>
        <v>0</v>
      </c>
      <c r="FI56" s="230">
        <f t="shared" si="40"/>
        <v>0</v>
      </c>
      <c r="FJ56" s="14">
        <f t="shared" si="40"/>
        <v>0</v>
      </c>
      <c r="FK56" s="14">
        <f t="shared" si="40"/>
        <v>0</v>
      </c>
      <c r="FL56" s="80">
        <f t="shared" si="40"/>
        <v>0</v>
      </c>
      <c r="FM56" s="14">
        <f t="shared" si="40"/>
        <v>0</v>
      </c>
      <c r="FN56" s="14">
        <f t="shared" si="40"/>
        <v>0</v>
      </c>
      <c r="FO56" s="14">
        <f t="shared" si="40"/>
        <v>0</v>
      </c>
      <c r="FP56" s="39">
        <f t="shared" si="40"/>
        <v>0</v>
      </c>
      <c r="FQ56" s="14">
        <f t="shared" si="40"/>
        <v>0</v>
      </c>
      <c r="FR56" s="14">
        <f t="shared" si="40"/>
        <v>0</v>
      </c>
      <c r="FS56" s="14">
        <f t="shared" si="40"/>
        <v>0</v>
      </c>
      <c r="FT56" s="14">
        <f t="shared" si="40"/>
        <v>0</v>
      </c>
      <c r="FU56" s="14">
        <f t="shared" si="40"/>
        <v>0</v>
      </c>
      <c r="FV56" s="14">
        <f t="shared" si="40"/>
        <v>0</v>
      </c>
      <c r="FW56" s="14">
        <f t="shared" si="40"/>
        <v>0</v>
      </c>
      <c r="FX56" s="14">
        <f t="shared" si="40"/>
        <v>0</v>
      </c>
      <c r="FY56" s="14">
        <f t="shared" si="40"/>
        <v>0</v>
      </c>
      <c r="FZ56" s="230">
        <f>+FX56+75000000</f>
        <v>75000000</v>
      </c>
      <c r="GA56" s="14">
        <f t="shared" ref="GA56:GT56" si="41">+FZ56</f>
        <v>75000000</v>
      </c>
      <c r="GB56" s="14">
        <f t="shared" si="41"/>
        <v>75000000</v>
      </c>
      <c r="GC56" s="14">
        <f t="shared" si="41"/>
        <v>75000000</v>
      </c>
      <c r="GD56" s="14">
        <f t="shared" si="41"/>
        <v>75000000</v>
      </c>
      <c r="GE56" s="14">
        <f t="shared" si="41"/>
        <v>75000000</v>
      </c>
      <c r="GF56" s="14">
        <f t="shared" si="41"/>
        <v>75000000</v>
      </c>
      <c r="GG56" s="14">
        <f t="shared" si="41"/>
        <v>75000000</v>
      </c>
      <c r="GH56" s="14">
        <f t="shared" si="41"/>
        <v>75000000</v>
      </c>
      <c r="GI56" s="14">
        <f t="shared" si="41"/>
        <v>75000000</v>
      </c>
      <c r="GJ56" s="14">
        <f t="shared" si="41"/>
        <v>75000000</v>
      </c>
      <c r="GK56" s="14">
        <f t="shared" si="41"/>
        <v>75000000</v>
      </c>
      <c r="GL56" s="39">
        <f t="shared" si="41"/>
        <v>75000000</v>
      </c>
      <c r="GM56" s="14">
        <f t="shared" si="41"/>
        <v>75000000</v>
      </c>
      <c r="GN56" s="14">
        <f t="shared" si="41"/>
        <v>75000000</v>
      </c>
      <c r="GO56" s="14">
        <f t="shared" si="41"/>
        <v>75000000</v>
      </c>
      <c r="GP56" s="14">
        <f t="shared" si="41"/>
        <v>75000000</v>
      </c>
      <c r="GQ56" s="14">
        <f t="shared" si="41"/>
        <v>75000000</v>
      </c>
      <c r="GR56" s="14">
        <f t="shared" si="41"/>
        <v>75000000</v>
      </c>
      <c r="GS56" s="14">
        <f t="shared" si="41"/>
        <v>75000000</v>
      </c>
      <c r="GT56" s="14">
        <f t="shared" si="41"/>
        <v>75000000</v>
      </c>
      <c r="GU56" s="243">
        <f>+GS56</f>
        <v>75000000</v>
      </c>
      <c r="GV56" s="14">
        <f t="shared" ref="GV56:IA56" si="42">+GU56</f>
        <v>75000000</v>
      </c>
      <c r="GW56" s="14">
        <f t="shared" si="42"/>
        <v>75000000</v>
      </c>
      <c r="GX56" s="14">
        <f t="shared" si="42"/>
        <v>75000000</v>
      </c>
      <c r="GY56" s="14">
        <f t="shared" si="42"/>
        <v>75000000</v>
      </c>
      <c r="GZ56" s="14">
        <f t="shared" si="42"/>
        <v>75000000</v>
      </c>
      <c r="HA56" s="14">
        <f t="shared" si="42"/>
        <v>75000000</v>
      </c>
      <c r="HB56" s="14">
        <f t="shared" si="42"/>
        <v>75000000</v>
      </c>
      <c r="HC56" s="14">
        <f t="shared" si="42"/>
        <v>75000000</v>
      </c>
      <c r="HD56" s="39">
        <f t="shared" si="42"/>
        <v>75000000</v>
      </c>
      <c r="HE56" s="14">
        <f t="shared" si="42"/>
        <v>75000000</v>
      </c>
      <c r="HF56" s="14">
        <f t="shared" si="42"/>
        <v>75000000</v>
      </c>
      <c r="HG56" s="14">
        <f t="shared" si="42"/>
        <v>75000000</v>
      </c>
      <c r="HH56" s="14">
        <f t="shared" si="42"/>
        <v>75000000</v>
      </c>
      <c r="HI56" s="14">
        <f t="shared" si="42"/>
        <v>75000000</v>
      </c>
      <c r="HJ56" s="14">
        <f t="shared" si="42"/>
        <v>75000000</v>
      </c>
      <c r="HK56" s="14">
        <f t="shared" si="42"/>
        <v>75000000</v>
      </c>
      <c r="HL56" s="14">
        <f t="shared" si="42"/>
        <v>75000000</v>
      </c>
      <c r="HM56" s="14">
        <f t="shared" si="42"/>
        <v>75000000</v>
      </c>
      <c r="HN56" s="136">
        <f t="shared" si="42"/>
        <v>75000000</v>
      </c>
      <c r="HO56" s="80">
        <f t="shared" si="42"/>
        <v>75000000</v>
      </c>
      <c r="HP56" s="14">
        <f t="shared" si="42"/>
        <v>75000000</v>
      </c>
      <c r="HQ56" s="14">
        <f t="shared" si="42"/>
        <v>75000000</v>
      </c>
      <c r="HR56" s="14">
        <f t="shared" si="42"/>
        <v>75000000</v>
      </c>
      <c r="HS56" s="14">
        <f t="shared" si="42"/>
        <v>75000000</v>
      </c>
      <c r="HT56" s="14">
        <f t="shared" si="42"/>
        <v>75000000</v>
      </c>
      <c r="HU56" s="14">
        <f t="shared" si="42"/>
        <v>75000000</v>
      </c>
      <c r="HV56" s="14">
        <f t="shared" si="42"/>
        <v>75000000</v>
      </c>
      <c r="HW56" s="14">
        <f t="shared" si="42"/>
        <v>75000000</v>
      </c>
      <c r="HX56" s="14">
        <f t="shared" si="42"/>
        <v>75000000</v>
      </c>
      <c r="HY56" s="14">
        <f t="shared" si="42"/>
        <v>75000000</v>
      </c>
      <c r="HZ56" s="39">
        <f t="shared" si="42"/>
        <v>75000000</v>
      </c>
      <c r="IA56" s="14">
        <f t="shared" si="42"/>
        <v>75000000</v>
      </c>
      <c r="IB56" s="14">
        <f t="shared" ref="IB56:IT56" si="43">+IA56</f>
        <v>75000000</v>
      </c>
      <c r="IC56" s="14">
        <f t="shared" si="43"/>
        <v>75000000</v>
      </c>
      <c r="ID56" s="14">
        <f t="shared" si="43"/>
        <v>75000000</v>
      </c>
      <c r="IE56" s="14">
        <f t="shared" si="43"/>
        <v>75000000</v>
      </c>
      <c r="IF56" s="14">
        <f t="shared" si="43"/>
        <v>75000000</v>
      </c>
      <c r="IG56" s="14">
        <f t="shared" si="43"/>
        <v>75000000</v>
      </c>
      <c r="IH56" s="112">
        <f t="shared" si="43"/>
        <v>75000000</v>
      </c>
      <c r="II56" s="14">
        <f t="shared" si="43"/>
        <v>75000000</v>
      </c>
      <c r="IJ56" s="14">
        <f t="shared" si="43"/>
        <v>75000000</v>
      </c>
      <c r="IK56" s="14">
        <f t="shared" si="43"/>
        <v>75000000</v>
      </c>
      <c r="IL56" s="14">
        <f t="shared" si="43"/>
        <v>75000000</v>
      </c>
      <c r="IM56" s="14">
        <f t="shared" si="43"/>
        <v>75000000</v>
      </c>
      <c r="IN56" s="14">
        <f t="shared" si="43"/>
        <v>75000000</v>
      </c>
      <c r="IO56" s="14">
        <f t="shared" si="43"/>
        <v>75000000</v>
      </c>
      <c r="IP56" s="14">
        <f t="shared" si="43"/>
        <v>75000000</v>
      </c>
      <c r="IQ56" s="14">
        <f t="shared" si="43"/>
        <v>75000000</v>
      </c>
      <c r="IR56" s="14">
        <f t="shared" si="43"/>
        <v>75000000</v>
      </c>
      <c r="IS56" s="14">
        <f t="shared" si="43"/>
        <v>75000000</v>
      </c>
      <c r="IT56" s="39">
        <f t="shared" si="43"/>
        <v>75000000</v>
      </c>
      <c r="IU56" s="14"/>
    </row>
    <row r="57" spans="1:256" s="8" customFormat="1" ht="14.1" customHeight="1">
      <c r="A57" s="14" t="s">
        <v>22</v>
      </c>
      <c r="B57" s="14"/>
      <c r="C57" s="39">
        <v>31708.12</v>
      </c>
      <c r="D57" s="14">
        <f t="shared" ref="D57:G59" si="44">C57-D22</f>
        <v>31708.12</v>
      </c>
      <c r="E57" s="14">
        <f t="shared" si="44"/>
        <v>31708.12</v>
      </c>
      <c r="F57" s="14">
        <f t="shared" si="44"/>
        <v>31708.12</v>
      </c>
      <c r="G57" s="14">
        <f t="shared" si="44"/>
        <v>31708.12</v>
      </c>
      <c r="H57" s="14">
        <f>G57-H22+50000000</f>
        <v>50031708.119999997</v>
      </c>
      <c r="I57" s="14">
        <f t="shared" ref="I57:V57" si="45">H57-I22</f>
        <v>50031708.119999997</v>
      </c>
      <c r="J57" s="14">
        <f t="shared" si="45"/>
        <v>50031708.119999997</v>
      </c>
      <c r="K57" s="14">
        <f t="shared" si="45"/>
        <v>50031708.119999997</v>
      </c>
      <c r="L57" s="14">
        <f t="shared" si="45"/>
        <v>50031708.119999997</v>
      </c>
      <c r="M57" s="14">
        <f t="shared" si="45"/>
        <v>50031708.119999997</v>
      </c>
      <c r="N57" s="230">
        <f t="shared" si="45"/>
        <v>50031708.119999997</v>
      </c>
      <c r="O57" s="14">
        <f t="shared" si="45"/>
        <v>50031708.119999997</v>
      </c>
      <c r="P57" s="14">
        <f t="shared" si="45"/>
        <v>50031708.119999997</v>
      </c>
      <c r="Q57" s="14">
        <f t="shared" si="45"/>
        <v>50031708.119999997</v>
      </c>
      <c r="R57" s="14">
        <f t="shared" si="45"/>
        <v>50031708.119999997</v>
      </c>
      <c r="S57" s="14">
        <f t="shared" si="45"/>
        <v>50031708.119999997</v>
      </c>
      <c r="T57" s="14">
        <f t="shared" si="45"/>
        <v>50031708.119999997</v>
      </c>
      <c r="U57" s="14">
        <f t="shared" si="45"/>
        <v>50031708.119999997</v>
      </c>
      <c r="V57" s="14">
        <f t="shared" si="45"/>
        <v>50031708.119999997</v>
      </c>
      <c r="W57" s="39">
        <f>V57-W22+107628.55</f>
        <v>50139336.669999994</v>
      </c>
      <c r="X57" s="14">
        <f t="shared" ref="X57:AQ57" si="46">W57-X22</f>
        <v>50139336.669999994</v>
      </c>
      <c r="Y57" s="14">
        <f t="shared" si="46"/>
        <v>50139336.669999994</v>
      </c>
      <c r="Z57" s="14">
        <f t="shared" si="46"/>
        <v>50139336.669999994</v>
      </c>
      <c r="AA57" s="14">
        <f t="shared" si="46"/>
        <v>50139336.669999994</v>
      </c>
      <c r="AB57" s="14">
        <f t="shared" si="46"/>
        <v>50139336.669999994</v>
      </c>
      <c r="AC57" s="14">
        <f t="shared" si="46"/>
        <v>50139336.669999994</v>
      </c>
      <c r="AD57" s="14">
        <f t="shared" si="46"/>
        <v>50139336.669999994</v>
      </c>
      <c r="AE57" s="14">
        <f t="shared" si="46"/>
        <v>50139336.669999994</v>
      </c>
      <c r="AF57" s="230">
        <f t="shared" si="46"/>
        <v>50139336.669999994</v>
      </c>
      <c r="AG57" s="14">
        <f t="shared" si="46"/>
        <v>50139336.669999994</v>
      </c>
      <c r="AH57" s="14">
        <f t="shared" si="46"/>
        <v>50139336.669999994</v>
      </c>
      <c r="AI57" s="14">
        <f t="shared" si="46"/>
        <v>50139336.669999994</v>
      </c>
      <c r="AJ57" s="14">
        <f t="shared" si="46"/>
        <v>50139336.669999994</v>
      </c>
      <c r="AK57" s="14">
        <f t="shared" si="46"/>
        <v>50139336.669999994</v>
      </c>
      <c r="AL57" s="14">
        <f t="shared" si="46"/>
        <v>50139336.669999994</v>
      </c>
      <c r="AM57" s="14">
        <f t="shared" si="46"/>
        <v>50139336.669999994</v>
      </c>
      <c r="AN57" s="14">
        <f t="shared" si="46"/>
        <v>50139336.669999994</v>
      </c>
      <c r="AO57" s="14">
        <f t="shared" si="46"/>
        <v>50139336.669999994</v>
      </c>
      <c r="AP57" s="14">
        <f t="shared" si="46"/>
        <v>50139336.669999994</v>
      </c>
      <c r="AQ57" s="14">
        <f t="shared" si="46"/>
        <v>50139336.669999994</v>
      </c>
      <c r="AR57" s="39">
        <f>AQ57-AR22+126570.62</f>
        <v>50265907.289999992</v>
      </c>
      <c r="AS57" s="14">
        <f t="shared" ref="AS57:BM57" si="47">AR57-AS22</f>
        <v>50265907.289999992</v>
      </c>
      <c r="AT57" s="14">
        <f t="shared" si="47"/>
        <v>50265907.289999992</v>
      </c>
      <c r="AU57" s="14">
        <f t="shared" si="47"/>
        <v>50265907.289999992</v>
      </c>
      <c r="AV57" s="230">
        <f t="shared" si="47"/>
        <v>50265907.289999992</v>
      </c>
      <c r="AW57" s="14">
        <f t="shared" si="47"/>
        <v>50265907.289999992</v>
      </c>
      <c r="AX57" s="14">
        <f t="shared" si="47"/>
        <v>50265907.289999992</v>
      </c>
      <c r="AY57" s="14">
        <f t="shared" si="47"/>
        <v>50265907.289999992</v>
      </c>
      <c r="AZ57" s="14">
        <f t="shared" si="47"/>
        <v>50265907.289999992</v>
      </c>
      <c r="BA57" s="14">
        <f t="shared" si="47"/>
        <v>50265907.289999992</v>
      </c>
      <c r="BB57" s="14">
        <f t="shared" si="47"/>
        <v>50265907.289999992</v>
      </c>
      <c r="BC57" s="14">
        <f t="shared" si="47"/>
        <v>50265907.289999992</v>
      </c>
      <c r="BD57" s="14">
        <f t="shared" si="47"/>
        <v>50265907.289999992</v>
      </c>
      <c r="BE57" s="14">
        <f t="shared" si="47"/>
        <v>50265907.289999992</v>
      </c>
      <c r="BF57" s="14">
        <f t="shared" si="47"/>
        <v>50265907.289999992</v>
      </c>
      <c r="BG57" s="14">
        <f t="shared" si="47"/>
        <v>50265907.289999992</v>
      </c>
      <c r="BH57" s="14">
        <f t="shared" si="47"/>
        <v>50265907.289999992</v>
      </c>
      <c r="BI57" s="14">
        <f t="shared" si="47"/>
        <v>50265907.289999992</v>
      </c>
      <c r="BJ57" s="14">
        <f t="shared" si="47"/>
        <v>50265907.289999992</v>
      </c>
      <c r="BK57" s="14">
        <f t="shared" si="47"/>
        <v>50265907.289999992</v>
      </c>
      <c r="BL57" s="14">
        <f t="shared" si="47"/>
        <v>50265907.289999992</v>
      </c>
      <c r="BM57" s="14">
        <f t="shared" si="47"/>
        <v>50265907.289999992</v>
      </c>
      <c r="BN57" s="39">
        <f>BM57-BN22+101099.21</f>
        <v>50367006.499999993</v>
      </c>
      <c r="BO57" s="14">
        <f t="shared" ref="BO57:CH57" si="48">BN57-BO22</f>
        <v>50367006.499999993</v>
      </c>
      <c r="BP57" s="14">
        <f t="shared" si="48"/>
        <v>50367006.499999993</v>
      </c>
      <c r="BQ57" s="14">
        <f t="shared" si="48"/>
        <v>50367006.499999993</v>
      </c>
      <c r="BR57" s="14">
        <f t="shared" si="48"/>
        <v>50367006.499999993</v>
      </c>
      <c r="BS57" s="14">
        <f t="shared" si="48"/>
        <v>50367006.499999993</v>
      </c>
      <c r="BT57" s="14">
        <f t="shared" si="48"/>
        <v>50367006.499999993</v>
      </c>
      <c r="BU57" s="14">
        <f t="shared" si="48"/>
        <v>50367006.499999993</v>
      </c>
      <c r="BV57" s="14">
        <f t="shared" si="48"/>
        <v>50367006.499999993</v>
      </c>
      <c r="BW57" s="14">
        <f t="shared" si="48"/>
        <v>25367006.499999993</v>
      </c>
      <c r="BX57" s="14">
        <f t="shared" si="48"/>
        <v>25367006.499999993</v>
      </c>
      <c r="BY57" s="14">
        <f t="shared" si="48"/>
        <v>25367006.499999993</v>
      </c>
      <c r="BZ57" s="14">
        <f t="shared" si="48"/>
        <v>25367006.499999993</v>
      </c>
      <c r="CA57" s="14">
        <f t="shared" si="48"/>
        <v>25367006.499999993</v>
      </c>
      <c r="CB57" s="14">
        <f t="shared" si="48"/>
        <v>25367006.499999993</v>
      </c>
      <c r="CC57" s="14">
        <f t="shared" si="48"/>
        <v>25367006.499999993</v>
      </c>
      <c r="CD57" s="14">
        <f t="shared" si="48"/>
        <v>25367006.499999993</v>
      </c>
      <c r="CE57" s="14">
        <f t="shared" si="48"/>
        <v>25367006.499999993</v>
      </c>
      <c r="CF57" s="14">
        <f t="shared" si="48"/>
        <v>25367006.499999993</v>
      </c>
      <c r="CG57" s="14">
        <f t="shared" si="48"/>
        <v>25367006.499999993</v>
      </c>
      <c r="CH57" s="14">
        <f t="shared" si="48"/>
        <v>25367006.499999993</v>
      </c>
      <c r="CI57" s="39">
        <f>CH57-CI22+67546.4</f>
        <v>25434552.899999991</v>
      </c>
      <c r="CJ57" s="14">
        <f t="shared" ref="CJ57:DC57" si="49">CI57-CJ22</f>
        <v>25434552.899999991</v>
      </c>
      <c r="CK57" s="14">
        <f t="shared" si="49"/>
        <v>25434552.899999991</v>
      </c>
      <c r="CL57" s="14">
        <f t="shared" si="49"/>
        <v>25434552.899999991</v>
      </c>
      <c r="CM57" s="14">
        <f t="shared" si="49"/>
        <v>25434552.899999991</v>
      </c>
      <c r="CN57" s="14">
        <f t="shared" si="49"/>
        <v>25434552.899999991</v>
      </c>
      <c r="CO57" s="14">
        <f t="shared" si="49"/>
        <v>15434552.899999991</v>
      </c>
      <c r="CP57" s="14">
        <f t="shared" si="49"/>
        <v>15434552.899999991</v>
      </c>
      <c r="CQ57" s="14">
        <f t="shared" si="49"/>
        <v>15434552.899999991</v>
      </c>
      <c r="CR57" s="14">
        <f t="shared" si="49"/>
        <v>15434552.899999991</v>
      </c>
      <c r="CS57" s="14">
        <f t="shared" si="49"/>
        <v>10434552.899999991</v>
      </c>
      <c r="CT57" s="14">
        <f t="shared" si="49"/>
        <v>10434552.899999991</v>
      </c>
      <c r="CU57" s="14">
        <f t="shared" si="49"/>
        <v>10434552.899999991</v>
      </c>
      <c r="CV57" s="14">
        <f t="shared" si="49"/>
        <v>10434552.899999991</v>
      </c>
      <c r="CW57" s="14">
        <f t="shared" si="49"/>
        <v>10434552.899999991</v>
      </c>
      <c r="CX57" s="14">
        <f t="shared" si="49"/>
        <v>10434552.899999991</v>
      </c>
      <c r="CY57" s="14">
        <f t="shared" si="49"/>
        <v>10434552.899999991</v>
      </c>
      <c r="CZ57" s="14">
        <f t="shared" si="49"/>
        <v>10434552.899999991</v>
      </c>
      <c r="DA57" s="14">
        <f t="shared" si="49"/>
        <v>10434552.899999991</v>
      </c>
      <c r="DB57" s="14">
        <f t="shared" si="49"/>
        <v>10434552.899999991</v>
      </c>
      <c r="DC57" s="14">
        <f t="shared" si="49"/>
        <v>10434552.899999991</v>
      </c>
      <c r="DD57" s="39">
        <f>DC57-DD22+28119.44</f>
        <v>10462672.339999991</v>
      </c>
      <c r="DE57" s="93">
        <f t="shared" ref="DE57:DY57" si="50">DD57-DE22</f>
        <v>10462672.339999991</v>
      </c>
      <c r="DF57" s="14">
        <f t="shared" si="50"/>
        <v>10462672.339999991</v>
      </c>
      <c r="DG57" s="14">
        <f t="shared" si="50"/>
        <v>10462672.339999991</v>
      </c>
      <c r="DH57" s="14">
        <f t="shared" si="50"/>
        <v>10462672.339999991</v>
      </c>
      <c r="DI57" s="14">
        <f t="shared" si="50"/>
        <v>10462672.339999991</v>
      </c>
      <c r="DJ57" s="14">
        <f t="shared" si="50"/>
        <v>10462672.339999991</v>
      </c>
      <c r="DK57" s="14">
        <f t="shared" si="50"/>
        <v>10462672.339999991</v>
      </c>
      <c r="DL57" s="14">
        <f t="shared" si="50"/>
        <v>10462672.339999991</v>
      </c>
      <c r="DM57" s="14">
        <f t="shared" si="50"/>
        <v>462672.33999999054</v>
      </c>
      <c r="DN57" s="14">
        <f t="shared" si="50"/>
        <v>462672.33999999054</v>
      </c>
      <c r="DO57" s="14">
        <f t="shared" si="50"/>
        <v>462672.33999999054</v>
      </c>
      <c r="DP57" s="14">
        <f t="shared" si="50"/>
        <v>462672.33999999054</v>
      </c>
      <c r="DQ57" s="14">
        <f t="shared" si="50"/>
        <v>462672.33999999054</v>
      </c>
      <c r="DR57" s="93">
        <f t="shared" si="50"/>
        <v>462672.33999999054</v>
      </c>
      <c r="DS57" s="14">
        <f t="shared" si="50"/>
        <v>462672.33999999054</v>
      </c>
      <c r="DT57" s="14">
        <f t="shared" si="50"/>
        <v>462672.33999999054</v>
      </c>
      <c r="DU57" s="14">
        <f t="shared" si="50"/>
        <v>462672.33999999054</v>
      </c>
      <c r="DV57" s="14">
        <f t="shared" si="50"/>
        <v>462672.33999999054</v>
      </c>
      <c r="DW57" s="14">
        <f t="shared" si="50"/>
        <v>462672.33999999054</v>
      </c>
      <c r="DX57" s="14">
        <f t="shared" si="50"/>
        <v>462672.33999999054</v>
      </c>
      <c r="DY57" s="14">
        <f t="shared" si="50"/>
        <v>462672.33999999054</v>
      </c>
      <c r="DZ57" s="39">
        <f>DY57-DZ22+8851.48</f>
        <v>471523.81999999052</v>
      </c>
      <c r="EA57" s="14">
        <f t="shared" ref="EA57:ET57" si="51">DZ57-EA22</f>
        <v>471523.81999999052</v>
      </c>
      <c r="EB57" s="14">
        <f t="shared" si="51"/>
        <v>471523.81999999052</v>
      </c>
      <c r="EC57" s="14">
        <f t="shared" si="51"/>
        <v>471523.81999999052</v>
      </c>
      <c r="ED57" s="14">
        <f t="shared" si="51"/>
        <v>471523.81999999052</v>
      </c>
      <c r="EE57" s="14">
        <f t="shared" si="51"/>
        <v>471523.81999999052</v>
      </c>
      <c r="EF57" s="14">
        <f t="shared" si="51"/>
        <v>471523.81999999052</v>
      </c>
      <c r="EG57" s="27">
        <f t="shared" si="51"/>
        <v>471523.81999999052</v>
      </c>
      <c r="EH57" s="14">
        <f t="shared" si="51"/>
        <v>471523.81999999052</v>
      </c>
      <c r="EI57" s="14">
        <f t="shared" si="51"/>
        <v>471523.81999999052</v>
      </c>
      <c r="EJ57" s="14">
        <f t="shared" si="51"/>
        <v>471523.81999999052</v>
      </c>
      <c r="EK57" s="80">
        <f t="shared" si="51"/>
        <v>471523.81999999052</v>
      </c>
      <c r="EL57" s="14">
        <f t="shared" si="51"/>
        <v>471523.81999999052</v>
      </c>
      <c r="EM57" s="14">
        <f t="shared" si="51"/>
        <v>471523.81999999052</v>
      </c>
      <c r="EN57" s="14">
        <f t="shared" si="51"/>
        <v>471523.81999999052</v>
      </c>
      <c r="EO57" s="14">
        <f t="shared" si="51"/>
        <v>471523.81999999052</v>
      </c>
      <c r="EP57" s="14">
        <f t="shared" si="51"/>
        <v>471523.81999999052</v>
      </c>
      <c r="EQ57" s="14">
        <f t="shared" si="51"/>
        <v>471523.81999999052</v>
      </c>
      <c r="ER57" s="14">
        <f t="shared" si="51"/>
        <v>471523.81999999052</v>
      </c>
      <c r="ES57" s="14">
        <f t="shared" si="51"/>
        <v>471523.81999999052</v>
      </c>
      <c r="ET57" s="14">
        <f t="shared" si="51"/>
        <v>471523.81999999052</v>
      </c>
      <c r="EU57" s="39">
        <f>ET57-EU22+916.19</f>
        <v>472440.00999999052</v>
      </c>
      <c r="EV57" s="14">
        <f t="shared" ref="EV57:FO57" si="52">EU57-EV22</f>
        <v>472440.00999999052</v>
      </c>
      <c r="EW57" s="14">
        <f t="shared" si="52"/>
        <v>472440.00999999052</v>
      </c>
      <c r="EX57" s="14">
        <f t="shared" si="52"/>
        <v>472440.00999999052</v>
      </c>
      <c r="EY57" s="14">
        <f t="shared" si="52"/>
        <v>472440.00999999052</v>
      </c>
      <c r="EZ57" s="14">
        <f t="shared" si="52"/>
        <v>472440.00999999052</v>
      </c>
      <c r="FA57" s="14">
        <f t="shared" si="52"/>
        <v>472440.00999999052</v>
      </c>
      <c r="FB57" s="14">
        <f t="shared" si="52"/>
        <v>472440.00999999052</v>
      </c>
      <c r="FC57" s="14">
        <f t="shared" si="52"/>
        <v>472440.00999999052</v>
      </c>
      <c r="FD57" s="14">
        <f t="shared" si="52"/>
        <v>472440.00999999052</v>
      </c>
      <c r="FE57" s="230">
        <f t="shared" si="52"/>
        <v>472440.00999999052</v>
      </c>
      <c r="FF57" s="14">
        <f t="shared" si="52"/>
        <v>9.9999905214644969E-3</v>
      </c>
      <c r="FG57" s="14">
        <f t="shared" si="52"/>
        <v>9.9999905214644969E-3</v>
      </c>
      <c r="FH57" s="14">
        <f t="shared" si="52"/>
        <v>9.9999905214644969E-3</v>
      </c>
      <c r="FI57" s="230">
        <f t="shared" si="52"/>
        <v>9.9999905214644969E-3</v>
      </c>
      <c r="FJ57" s="14">
        <f t="shared" si="52"/>
        <v>9.9999905214644969E-3</v>
      </c>
      <c r="FK57" s="14">
        <f t="shared" si="52"/>
        <v>9.9999905214644969E-3</v>
      </c>
      <c r="FL57" s="80">
        <f t="shared" si="52"/>
        <v>9.9999905214644969E-3</v>
      </c>
      <c r="FM57" s="14">
        <f t="shared" si="52"/>
        <v>9.9999905214644969E-3</v>
      </c>
      <c r="FN57" s="14">
        <f t="shared" si="52"/>
        <v>9.9999905214644969E-3</v>
      </c>
      <c r="FO57" s="14">
        <f t="shared" si="52"/>
        <v>9.9999905214644969E-3</v>
      </c>
      <c r="FP57" s="39">
        <f>FO57-FP22+461.78</f>
        <v>461.78999999052144</v>
      </c>
      <c r="FQ57" s="14">
        <f t="shared" ref="FQ57:GK57" si="53">FP57-FQ22</f>
        <v>461.78999999052144</v>
      </c>
      <c r="FR57" s="14">
        <f t="shared" si="53"/>
        <v>461.78999999052144</v>
      </c>
      <c r="FS57" s="14">
        <f t="shared" si="53"/>
        <v>461.78999999052144</v>
      </c>
      <c r="FT57" s="14">
        <f t="shared" si="53"/>
        <v>461.78999999052144</v>
      </c>
      <c r="FU57" s="14">
        <f t="shared" si="53"/>
        <v>461.78999999052144</v>
      </c>
      <c r="FV57" s="14">
        <f t="shared" si="53"/>
        <v>461.78999999052144</v>
      </c>
      <c r="FW57" s="14">
        <f t="shared" si="53"/>
        <v>461.78999999052144</v>
      </c>
      <c r="FX57" s="14">
        <f t="shared" si="53"/>
        <v>461.78999999052144</v>
      </c>
      <c r="FY57" s="14">
        <f t="shared" si="53"/>
        <v>461.78999999052144</v>
      </c>
      <c r="FZ57" s="230">
        <f t="shared" si="53"/>
        <v>461.78999999052144</v>
      </c>
      <c r="GA57" s="14">
        <f t="shared" si="53"/>
        <v>461.78999999052144</v>
      </c>
      <c r="GB57" s="14">
        <f t="shared" si="53"/>
        <v>461.78999999052144</v>
      </c>
      <c r="GC57" s="14">
        <f t="shared" si="53"/>
        <v>461.78999999052144</v>
      </c>
      <c r="GD57" s="14">
        <f t="shared" si="53"/>
        <v>461.78999999052144</v>
      </c>
      <c r="GE57" s="14">
        <f t="shared" si="53"/>
        <v>461.78999999052144</v>
      </c>
      <c r="GF57" s="14">
        <f t="shared" si="53"/>
        <v>461.78999999052144</v>
      </c>
      <c r="GG57" s="14">
        <f t="shared" si="53"/>
        <v>461.78999999052144</v>
      </c>
      <c r="GH57" s="14">
        <f t="shared" si="53"/>
        <v>461.78999999052144</v>
      </c>
      <c r="GI57" s="14">
        <f t="shared" si="53"/>
        <v>461.78999999052144</v>
      </c>
      <c r="GJ57" s="14">
        <f t="shared" si="53"/>
        <v>461.78999999052144</v>
      </c>
      <c r="GK57" s="14">
        <f t="shared" si="53"/>
        <v>461.78999999052144</v>
      </c>
      <c r="GL57" s="39">
        <f>GK57-GL22+0.77</f>
        <v>462.55999999052142</v>
      </c>
      <c r="GM57" s="14">
        <f t="shared" ref="GM57:HC57" si="54">GL57-GM22</f>
        <v>462.55999999052142</v>
      </c>
      <c r="GN57" s="14">
        <f t="shared" si="54"/>
        <v>462.55999999052142</v>
      </c>
      <c r="GO57" s="14">
        <f t="shared" si="54"/>
        <v>462.55999999052142</v>
      </c>
      <c r="GP57" s="14">
        <f t="shared" si="54"/>
        <v>462.55999999052142</v>
      </c>
      <c r="GQ57" s="14">
        <f t="shared" si="54"/>
        <v>462.55999999052142</v>
      </c>
      <c r="GR57" s="14">
        <f t="shared" si="54"/>
        <v>462.55999999052142</v>
      </c>
      <c r="GS57" s="14">
        <f t="shared" si="54"/>
        <v>462.55999999052142</v>
      </c>
      <c r="GT57" s="14">
        <f t="shared" si="54"/>
        <v>462.55999999052142</v>
      </c>
      <c r="GU57" s="243">
        <f t="shared" si="54"/>
        <v>462.55999999052142</v>
      </c>
      <c r="GV57" s="14">
        <f t="shared" si="54"/>
        <v>462.55999999052142</v>
      </c>
      <c r="GW57" s="14">
        <f t="shared" si="54"/>
        <v>462.55999999052142</v>
      </c>
      <c r="GX57" s="14">
        <f t="shared" si="54"/>
        <v>462.55999999052142</v>
      </c>
      <c r="GY57" s="14">
        <f t="shared" si="54"/>
        <v>462.55999999052142</v>
      </c>
      <c r="GZ57" s="14">
        <f t="shared" si="54"/>
        <v>462.55999999052142</v>
      </c>
      <c r="HA57" s="14">
        <f t="shared" si="54"/>
        <v>462.55999999052142</v>
      </c>
      <c r="HB57" s="14">
        <f t="shared" si="54"/>
        <v>462.55999999052142</v>
      </c>
      <c r="HC57" s="14">
        <f t="shared" si="54"/>
        <v>462.55999999052142</v>
      </c>
      <c r="HD57" s="39">
        <f>HC57-HD22+0.65</f>
        <v>463.2099999905214</v>
      </c>
      <c r="HE57" s="14">
        <f t="shared" ref="HE57:HY57" si="55">HD57-HE22</f>
        <v>463.2099999905214</v>
      </c>
      <c r="HF57" s="14">
        <f t="shared" si="55"/>
        <v>463.2099999905214</v>
      </c>
      <c r="HG57" s="14">
        <f t="shared" si="55"/>
        <v>463.2099999905214</v>
      </c>
      <c r="HH57" s="14">
        <f t="shared" si="55"/>
        <v>463.2099999905214</v>
      </c>
      <c r="HI57" s="14">
        <f t="shared" si="55"/>
        <v>463.2099999905214</v>
      </c>
      <c r="HJ57" s="14">
        <f t="shared" si="55"/>
        <v>463.2099999905214</v>
      </c>
      <c r="HK57" s="14">
        <f t="shared" si="55"/>
        <v>463.2099999905214</v>
      </c>
      <c r="HL57" s="14">
        <f t="shared" si="55"/>
        <v>463.2099999905214</v>
      </c>
      <c r="HM57" s="14">
        <f t="shared" si="55"/>
        <v>463.2099999905214</v>
      </c>
      <c r="HN57" s="136">
        <f t="shared" si="55"/>
        <v>463.2099999905214</v>
      </c>
      <c r="HO57" s="80">
        <f t="shared" si="55"/>
        <v>463.2099999905214</v>
      </c>
      <c r="HP57" s="14">
        <f t="shared" si="55"/>
        <v>463.2099999905214</v>
      </c>
      <c r="HQ57" s="14">
        <f t="shared" si="55"/>
        <v>463.2099999905214</v>
      </c>
      <c r="HR57" s="14">
        <f t="shared" si="55"/>
        <v>463.2099999905214</v>
      </c>
      <c r="HS57" s="14">
        <f t="shared" si="55"/>
        <v>463.2099999905214</v>
      </c>
      <c r="HT57" s="14">
        <f t="shared" si="55"/>
        <v>463.2099999905214</v>
      </c>
      <c r="HU57" s="14">
        <f t="shared" si="55"/>
        <v>463.2099999905214</v>
      </c>
      <c r="HV57" s="14">
        <f t="shared" si="55"/>
        <v>463.2099999905214</v>
      </c>
      <c r="HW57" s="14">
        <f t="shared" si="55"/>
        <v>463.2099999905214</v>
      </c>
      <c r="HX57" s="14">
        <f t="shared" si="55"/>
        <v>463.2099999905214</v>
      </c>
      <c r="HY57" s="14">
        <f t="shared" si="55"/>
        <v>463.2099999905214</v>
      </c>
      <c r="HZ57" s="39">
        <f>HY57-HZ22+0.61</f>
        <v>463.81999999052141</v>
      </c>
      <c r="IA57" s="14">
        <f t="shared" ref="IA57:IF59" si="56">HZ57-IA22</f>
        <v>463.81999999052141</v>
      </c>
      <c r="IB57" s="14">
        <f t="shared" si="56"/>
        <v>463.81999999052141</v>
      </c>
      <c r="IC57" s="14">
        <f t="shared" si="56"/>
        <v>463.81999999052141</v>
      </c>
      <c r="ID57" s="14">
        <f t="shared" si="56"/>
        <v>463.81999999052141</v>
      </c>
      <c r="IE57" s="14">
        <f t="shared" si="56"/>
        <v>463.81999999052141</v>
      </c>
      <c r="IF57" s="14">
        <f t="shared" si="56"/>
        <v>463.81999999052141</v>
      </c>
      <c r="IG57" s="14">
        <f>IF57-IG22+20000000</f>
        <v>20000463.819999989</v>
      </c>
      <c r="IH57" s="112">
        <f t="shared" ref="IH57:IK59" si="57">IG57-IH22</f>
        <v>20000463.819999989</v>
      </c>
      <c r="II57" s="14">
        <f t="shared" si="57"/>
        <v>20000463.819999989</v>
      </c>
      <c r="IJ57" s="14">
        <f t="shared" si="57"/>
        <v>20000463.819999989</v>
      </c>
      <c r="IK57" s="14">
        <f t="shared" si="57"/>
        <v>20000463.819999989</v>
      </c>
      <c r="IL57" s="14">
        <f>IK57-IL22+10000000</f>
        <v>30000463.819999989</v>
      </c>
      <c r="IM57" s="14">
        <f t="shared" ref="IM57:IT59" si="58">IL57-IM22</f>
        <v>30000463.819999989</v>
      </c>
      <c r="IN57" s="14">
        <f t="shared" si="58"/>
        <v>30000463.819999989</v>
      </c>
      <c r="IO57" s="14">
        <f t="shared" si="58"/>
        <v>30000463.819999989</v>
      </c>
      <c r="IP57" s="14">
        <f t="shared" si="58"/>
        <v>30000463.819999989</v>
      </c>
      <c r="IQ57" s="14">
        <f t="shared" si="58"/>
        <v>30000463.819999989</v>
      </c>
      <c r="IR57" s="14">
        <f t="shared" si="58"/>
        <v>30000463.819999989</v>
      </c>
      <c r="IS57" s="14">
        <f t="shared" si="58"/>
        <v>30000463.819999989</v>
      </c>
      <c r="IT57" s="39">
        <f t="shared" si="58"/>
        <v>30000463.819999989</v>
      </c>
      <c r="IU57" s="14"/>
    </row>
    <row r="58" spans="1:256" s="8" customFormat="1" ht="14.1" customHeight="1">
      <c r="A58" s="14" t="s">
        <v>18</v>
      </c>
      <c r="B58" s="14"/>
      <c r="C58" s="39">
        <v>5177236.1900000004</v>
      </c>
      <c r="D58" s="14">
        <f t="shared" si="44"/>
        <v>5177236.1900000004</v>
      </c>
      <c r="E58" s="14">
        <f t="shared" si="44"/>
        <v>5177236.1900000004</v>
      </c>
      <c r="F58" s="14">
        <f t="shared" si="44"/>
        <v>5177236.1900000004</v>
      </c>
      <c r="G58" s="14">
        <f t="shared" si="44"/>
        <v>5177236.1900000004</v>
      </c>
      <c r="H58" s="14">
        <f>G58-H23+75000000</f>
        <v>80177236.189999998</v>
      </c>
      <c r="I58" s="14">
        <f t="shared" ref="I58:V58" si="59">H58-I23</f>
        <v>80177236.189999998</v>
      </c>
      <c r="J58" s="14">
        <f t="shared" si="59"/>
        <v>80177236.189999998</v>
      </c>
      <c r="K58" s="14">
        <f t="shared" si="59"/>
        <v>80177236.189999998</v>
      </c>
      <c r="L58" s="14">
        <f t="shared" si="59"/>
        <v>80177236.189999998</v>
      </c>
      <c r="M58" s="14">
        <f t="shared" si="59"/>
        <v>80177236.189999998</v>
      </c>
      <c r="N58" s="230">
        <f t="shared" si="59"/>
        <v>80177236.189999998</v>
      </c>
      <c r="O58" s="14">
        <f t="shared" si="59"/>
        <v>80177236.189999998</v>
      </c>
      <c r="P58" s="14">
        <f t="shared" si="59"/>
        <v>80177236.189999998</v>
      </c>
      <c r="Q58" s="14">
        <f t="shared" si="59"/>
        <v>80177236.189999998</v>
      </c>
      <c r="R58" s="14">
        <f t="shared" si="59"/>
        <v>80177236.189999998</v>
      </c>
      <c r="S58" s="14">
        <f t="shared" si="59"/>
        <v>80177236.189999998</v>
      </c>
      <c r="T58" s="14">
        <f t="shared" si="59"/>
        <v>80177236.189999998</v>
      </c>
      <c r="U58" s="14">
        <f t="shared" si="59"/>
        <v>80177236.189999998</v>
      </c>
      <c r="V58" s="14">
        <f t="shared" si="59"/>
        <v>80177236.189999998</v>
      </c>
      <c r="W58" s="39">
        <f>V58-W23+181345.92</f>
        <v>80358582.109999999</v>
      </c>
      <c r="X58" s="14">
        <f t="shared" ref="X58:AQ58" si="60">W58-X23</f>
        <v>80358582.109999999</v>
      </c>
      <c r="Y58" s="14">
        <f t="shared" si="60"/>
        <v>80358582.109999999</v>
      </c>
      <c r="Z58" s="14">
        <f t="shared" si="60"/>
        <v>80358582.109999999</v>
      </c>
      <c r="AA58" s="14">
        <f t="shared" si="60"/>
        <v>80358582.109999999</v>
      </c>
      <c r="AB58" s="14">
        <f t="shared" si="60"/>
        <v>80358582.109999999</v>
      </c>
      <c r="AC58" s="14">
        <f t="shared" si="60"/>
        <v>80358582.109999999</v>
      </c>
      <c r="AD58" s="14">
        <f t="shared" si="60"/>
        <v>80358582.109999999</v>
      </c>
      <c r="AE58" s="14">
        <f t="shared" si="60"/>
        <v>80358582.109999999</v>
      </c>
      <c r="AF58" s="230">
        <f t="shared" si="60"/>
        <v>80358582.109999999</v>
      </c>
      <c r="AG58" s="14">
        <f t="shared" si="60"/>
        <v>80358582.109999999</v>
      </c>
      <c r="AH58" s="14">
        <f t="shared" si="60"/>
        <v>80358582.109999999</v>
      </c>
      <c r="AI58" s="14">
        <f t="shared" si="60"/>
        <v>80358582.109999999</v>
      </c>
      <c r="AJ58" s="14">
        <f t="shared" si="60"/>
        <v>80358582.109999999</v>
      </c>
      <c r="AK58" s="14">
        <f t="shared" si="60"/>
        <v>80358582.109999999</v>
      </c>
      <c r="AL58" s="14">
        <f t="shared" si="60"/>
        <v>80358582.109999999</v>
      </c>
      <c r="AM58" s="14">
        <f t="shared" si="60"/>
        <v>80358582.109999999</v>
      </c>
      <c r="AN58" s="14">
        <f t="shared" si="60"/>
        <v>80358582.109999999</v>
      </c>
      <c r="AO58" s="14">
        <f t="shared" si="60"/>
        <v>80358582.109999999</v>
      </c>
      <c r="AP58" s="14">
        <f t="shared" si="60"/>
        <v>80358582.109999999</v>
      </c>
      <c r="AQ58" s="14">
        <f t="shared" si="60"/>
        <v>80358582.109999999</v>
      </c>
      <c r="AR58" s="39">
        <f>AQ58-AR23+212485.43</f>
        <v>80571067.540000007</v>
      </c>
      <c r="AS58" s="14">
        <f t="shared" ref="AS58:BM58" si="61">AR58-AS23</f>
        <v>80571067.540000007</v>
      </c>
      <c r="AT58" s="14">
        <f t="shared" si="61"/>
        <v>80571067.540000007</v>
      </c>
      <c r="AU58" s="14">
        <f t="shared" si="61"/>
        <v>80571067.540000007</v>
      </c>
      <c r="AV58" s="230">
        <f t="shared" si="61"/>
        <v>80571067.540000007</v>
      </c>
      <c r="AW58" s="14">
        <f t="shared" si="61"/>
        <v>80571067.540000007</v>
      </c>
      <c r="AX58" s="14">
        <f t="shared" si="61"/>
        <v>80571067.540000007</v>
      </c>
      <c r="AY58" s="14">
        <f t="shared" si="61"/>
        <v>80571067.540000007</v>
      </c>
      <c r="AZ58" s="14">
        <f t="shared" si="61"/>
        <v>80571067.540000007</v>
      </c>
      <c r="BA58" s="14">
        <f t="shared" si="61"/>
        <v>80571067.540000007</v>
      </c>
      <c r="BB58" s="14">
        <f t="shared" si="61"/>
        <v>80571067.540000007</v>
      </c>
      <c r="BC58" s="14">
        <f t="shared" si="61"/>
        <v>80571067.540000007</v>
      </c>
      <c r="BD58" s="14">
        <f t="shared" si="61"/>
        <v>80571067.540000007</v>
      </c>
      <c r="BE58" s="14">
        <f t="shared" si="61"/>
        <v>80571067.540000007</v>
      </c>
      <c r="BF58" s="14">
        <f t="shared" si="61"/>
        <v>80571067.540000007</v>
      </c>
      <c r="BG58" s="14">
        <f t="shared" si="61"/>
        <v>80571067.540000007</v>
      </c>
      <c r="BH58" s="14">
        <f t="shared" si="61"/>
        <v>80571067.540000007</v>
      </c>
      <c r="BI58" s="14">
        <f t="shared" si="61"/>
        <v>80571067.540000007</v>
      </c>
      <c r="BJ58" s="14">
        <f t="shared" si="61"/>
        <v>80571067.540000007</v>
      </c>
      <c r="BK58" s="14">
        <f t="shared" si="61"/>
        <v>80571067.540000007</v>
      </c>
      <c r="BL58" s="14">
        <f t="shared" si="61"/>
        <v>80571067.540000007</v>
      </c>
      <c r="BM58" s="14">
        <f t="shared" si="61"/>
        <v>80571067.540000007</v>
      </c>
      <c r="BN58" s="39">
        <f>BM58-BN23+181374.13</f>
        <v>80752441.670000002</v>
      </c>
      <c r="BO58" s="14">
        <f t="shared" ref="BO58:CH58" si="62">BN58-BO23</f>
        <v>80752441.670000002</v>
      </c>
      <c r="BP58" s="14">
        <f t="shared" si="62"/>
        <v>80752441.670000002</v>
      </c>
      <c r="BQ58" s="14">
        <f t="shared" si="62"/>
        <v>80752441.670000002</v>
      </c>
      <c r="BR58" s="14">
        <f t="shared" si="62"/>
        <v>80752441.670000002</v>
      </c>
      <c r="BS58" s="14">
        <f t="shared" si="62"/>
        <v>80752441.670000002</v>
      </c>
      <c r="BT58" s="14">
        <f t="shared" si="62"/>
        <v>80752441.670000002</v>
      </c>
      <c r="BU58" s="14">
        <f t="shared" si="62"/>
        <v>80752441.670000002</v>
      </c>
      <c r="BV58" s="14">
        <f t="shared" si="62"/>
        <v>80752441.670000002</v>
      </c>
      <c r="BW58" s="14">
        <f t="shared" si="62"/>
        <v>70752441.670000002</v>
      </c>
      <c r="BX58" s="14">
        <f t="shared" si="62"/>
        <v>70752441.670000002</v>
      </c>
      <c r="BY58" s="14">
        <f t="shared" si="62"/>
        <v>70752441.670000002</v>
      </c>
      <c r="BZ58" s="14">
        <f t="shared" si="62"/>
        <v>70752441.670000002</v>
      </c>
      <c r="CA58" s="14">
        <f t="shared" si="62"/>
        <v>70752441.670000002</v>
      </c>
      <c r="CB58" s="14">
        <f t="shared" si="62"/>
        <v>70752441.670000002</v>
      </c>
      <c r="CC58" s="14">
        <f t="shared" si="62"/>
        <v>70752441.670000002</v>
      </c>
      <c r="CD58" s="14">
        <f t="shared" si="62"/>
        <v>70752441.670000002</v>
      </c>
      <c r="CE58" s="14">
        <f t="shared" si="62"/>
        <v>70752441.670000002</v>
      </c>
      <c r="CF58" s="14">
        <f t="shared" si="62"/>
        <v>70752441.670000002</v>
      </c>
      <c r="CG58" s="14">
        <f t="shared" si="62"/>
        <v>70752441.670000002</v>
      </c>
      <c r="CH58" s="14">
        <f t="shared" si="62"/>
        <v>70752441.670000002</v>
      </c>
      <c r="CI58" s="39">
        <f>CH58-CI23+160440.27</f>
        <v>70912881.939999998</v>
      </c>
      <c r="CJ58" s="14">
        <f t="shared" ref="CJ58:DC58" si="63">CI58-CJ23</f>
        <v>70912881.939999998</v>
      </c>
      <c r="CK58" s="14">
        <f t="shared" si="63"/>
        <v>70912881.939999998</v>
      </c>
      <c r="CL58" s="14">
        <f t="shared" si="63"/>
        <v>70912881.939999998</v>
      </c>
      <c r="CM58" s="14">
        <f t="shared" si="63"/>
        <v>70912881.939999998</v>
      </c>
      <c r="CN58" s="14">
        <f t="shared" si="63"/>
        <v>70912881.939999998</v>
      </c>
      <c r="CO58" s="14">
        <f t="shared" si="63"/>
        <v>60912881.939999998</v>
      </c>
      <c r="CP58" s="14">
        <f t="shared" si="63"/>
        <v>60912881.939999998</v>
      </c>
      <c r="CQ58" s="14">
        <f t="shared" si="63"/>
        <v>60912881.939999998</v>
      </c>
      <c r="CR58" s="14">
        <f t="shared" si="63"/>
        <v>60912881.939999998</v>
      </c>
      <c r="CS58" s="14">
        <f t="shared" si="63"/>
        <v>20912881.939999998</v>
      </c>
      <c r="CT58" s="14">
        <f t="shared" si="63"/>
        <v>20912881.939999998</v>
      </c>
      <c r="CU58" s="14">
        <f t="shared" si="63"/>
        <v>20912881.939999998</v>
      </c>
      <c r="CV58" s="14">
        <f t="shared" si="63"/>
        <v>20912881.939999998</v>
      </c>
      <c r="CW58" s="14">
        <f t="shared" si="63"/>
        <v>20912881.939999998</v>
      </c>
      <c r="CX58" s="14">
        <f t="shared" si="63"/>
        <v>20912881.939999998</v>
      </c>
      <c r="CY58" s="14">
        <f t="shared" si="63"/>
        <v>20912881.939999998</v>
      </c>
      <c r="CZ58" s="14">
        <f t="shared" si="63"/>
        <v>20912881.939999998</v>
      </c>
      <c r="DA58" s="14">
        <f t="shared" si="63"/>
        <v>20912881.939999998</v>
      </c>
      <c r="DB58" s="14">
        <f t="shared" si="63"/>
        <v>20912881.939999998</v>
      </c>
      <c r="DC58" s="14">
        <f t="shared" si="63"/>
        <v>20912881.939999998</v>
      </c>
      <c r="DD58" s="39">
        <f>DC58-DD23+80110.68</f>
        <v>20992992.619999997</v>
      </c>
      <c r="DE58" s="93">
        <f t="shared" ref="DE58:DY58" si="64">DD58-DE23</f>
        <v>20992992.619999997</v>
      </c>
      <c r="DF58" s="14">
        <f t="shared" si="64"/>
        <v>20992992.619999997</v>
      </c>
      <c r="DG58" s="14">
        <f t="shared" si="64"/>
        <v>20992992.619999997</v>
      </c>
      <c r="DH58" s="14">
        <f t="shared" si="64"/>
        <v>20992992.619999997</v>
      </c>
      <c r="DI58" s="14">
        <f t="shared" si="64"/>
        <v>20992992.619999997</v>
      </c>
      <c r="DJ58" s="14">
        <f t="shared" si="64"/>
        <v>20992992.619999997</v>
      </c>
      <c r="DK58" s="14">
        <f t="shared" si="64"/>
        <v>20992992.619999997</v>
      </c>
      <c r="DL58" s="14">
        <f t="shared" si="64"/>
        <v>20992992.619999997</v>
      </c>
      <c r="DM58" s="14">
        <f t="shared" si="64"/>
        <v>10992992.619999997</v>
      </c>
      <c r="DN58" s="14">
        <f t="shared" si="64"/>
        <v>10992992.619999997</v>
      </c>
      <c r="DO58" s="14">
        <f t="shared" si="64"/>
        <v>992992.61999999732</v>
      </c>
      <c r="DP58" s="14">
        <f t="shared" si="64"/>
        <v>992992.61999999732</v>
      </c>
      <c r="DQ58" s="14">
        <f t="shared" si="64"/>
        <v>992992.61999999732</v>
      </c>
      <c r="DR58" s="93">
        <f t="shared" si="64"/>
        <v>992992.61999999732</v>
      </c>
      <c r="DS58" s="14">
        <f t="shared" si="64"/>
        <v>992992.61999999732</v>
      </c>
      <c r="DT58" s="14">
        <f t="shared" si="64"/>
        <v>992992.61999999732</v>
      </c>
      <c r="DU58" s="14">
        <f t="shared" si="64"/>
        <v>992992.61999999732</v>
      </c>
      <c r="DV58" s="14">
        <f t="shared" si="64"/>
        <v>992992.61999999732</v>
      </c>
      <c r="DW58" s="14">
        <f t="shared" si="64"/>
        <v>992992.61999999732</v>
      </c>
      <c r="DX58" s="14">
        <f t="shared" si="64"/>
        <v>992992.61999999732</v>
      </c>
      <c r="DY58" s="14">
        <f t="shared" si="64"/>
        <v>992992.61999999732</v>
      </c>
      <c r="DZ58" s="39">
        <f>DY58-DZ23+21081.47</f>
        <v>1014074.0899999973</v>
      </c>
      <c r="EA58" s="14">
        <f t="shared" ref="EA58:ET58" si="65">DZ58-EA23</f>
        <v>1014074.0899999973</v>
      </c>
      <c r="EB58" s="14">
        <f t="shared" si="65"/>
        <v>1014074.0899999973</v>
      </c>
      <c r="EC58" s="14">
        <f t="shared" si="65"/>
        <v>1014074.0899999973</v>
      </c>
      <c r="ED58" s="14">
        <f t="shared" si="65"/>
        <v>1014074.0899999973</v>
      </c>
      <c r="EE58" s="14">
        <f t="shared" si="65"/>
        <v>1014074.0899999973</v>
      </c>
      <c r="EF58" s="14">
        <f t="shared" si="65"/>
        <v>1014074.0899999973</v>
      </c>
      <c r="EG58" s="27">
        <f t="shared" si="65"/>
        <v>1014074.0899999973</v>
      </c>
      <c r="EH58" s="14">
        <f t="shared" si="65"/>
        <v>1014074.0899999973</v>
      </c>
      <c r="EI58" s="14">
        <f t="shared" si="65"/>
        <v>1014074.0899999973</v>
      </c>
      <c r="EJ58" s="14">
        <f t="shared" si="65"/>
        <v>1014074.0899999973</v>
      </c>
      <c r="EK58" s="80">
        <f t="shared" si="65"/>
        <v>1014074.0899999973</v>
      </c>
      <c r="EL58" s="14">
        <f t="shared" si="65"/>
        <v>1014074.0899999973</v>
      </c>
      <c r="EM58" s="14">
        <f t="shared" si="65"/>
        <v>1014074.0899999973</v>
      </c>
      <c r="EN58" s="14">
        <f t="shared" si="65"/>
        <v>1014074.0899999973</v>
      </c>
      <c r="EO58" s="14">
        <f t="shared" si="65"/>
        <v>1014074.0899999973</v>
      </c>
      <c r="EP58" s="14">
        <f t="shared" si="65"/>
        <v>1014074.0899999973</v>
      </c>
      <c r="EQ58" s="14">
        <f t="shared" si="65"/>
        <v>1014074.0899999973</v>
      </c>
      <c r="ER58" s="14">
        <f t="shared" si="65"/>
        <v>1014074.0899999973</v>
      </c>
      <c r="ES58" s="14">
        <f t="shared" si="65"/>
        <v>1014074.0899999973</v>
      </c>
      <c r="ET58" s="14">
        <f t="shared" si="65"/>
        <v>1014074.0899999973</v>
      </c>
      <c r="EU58" s="39">
        <f>ET58-EU23+2128.3</f>
        <v>1016202.3899999973</v>
      </c>
      <c r="EV58" s="14">
        <f t="shared" ref="EV58:FO58" si="66">EU58-EV23</f>
        <v>1016202.3899999973</v>
      </c>
      <c r="EW58" s="14">
        <f t="shared" si="66"/>
        <v>1016202.3899999973</v>
      </c>
      <c r="EX58" s="14">
        <f t="shared" si="66"/>
        <v>1016202.3899999973</v>
      </c>
      <c r="EY58" s="14">
        <f t="shared" si="66"/>
        <v>1016202.3899999973</v>
      </c>
      <c r="EZ58" s="14">
        <f t="shared" si="66"/>
        <v>1016202.3899999973</v>
      </c>
      <c r="FA58" s="14">
        <f t="shared" si="66"/>
        <v>1016202.3899999973</v>
      </c>
      <c r="FB58" s="14">
        <f t="shared" si="66"/>
        <v>1016202.3899999973</v>
      </c>
      <c r="FC58" s="14">
        <f t="shared" si="66"/>
        <v>1016202.3899999973</v>
      </c>
      <c r="FD58" s="14">
        <f t="shared" si="66"/>
        <v>1016202.3899999973</v>
      </c>
      <c r="FE58" s="230">
        <f t="shared" si="66"/>
        <v>1016202.3899999973</v>
      </c>
      <c r="FF58" s="14">
        <f t="shared" si="66"/>
        <v>1016202.3899999973</v>
      </c>
      <c r="FG58" s="14">
        <f t="shared" si="66"/>
        <v>1016202.3899999973</v>
      </c>
      <c r="FH58" s="14">
        <f t="shared" si="66"/>
        <v>1016202.3899999973</v>
      </c>
      <c r="FI58" s="230">
        <f t="shared" si="66"/>
        <v>1016202.3899999973</v>
      </c>
      <c r="FJ58" s="14">
        <f t="shared" si="66"/>
        <v>1016202.3899999973</v>
      </c>
      <c r="FK58" s="14">
        <f t="shared" si="66"/>
        <v>1016202.3899999973</v>
      </c>
      <c r="FL58" s="80">
        <f t="shared" si="66"/>
        <v>1016202.3899999973</v>
      </c>
      <c r="FM58" s="14">
        <f t="shared" si="66"/>
        <v>1016202.3899999973</v>
      </c>
      <c r="FN58" s="14">
        <f t="shared" si="66"/>
        <v>1016202.3899999973</v>
      </c>
      <c r="FO58" s="14">
        <f t="shared" si="66"/>
        <v>1016202.3899999973</v>
      </c>
      <c r="FP58" s="39">
        <f>FO58-FP23+2035.26</f>
        <v>1018237.6499999973</v>
      </c>
      <c r="FQ58" s="14">
        <f t="shared" ref="FQ58:GK58" si="67">FP58-FQ23</f>
        <v>1018237.6499999973</v>
      </c>
      <c r="FR58" s="14">
        <f t="shared" si="67"/>
        <v>1018237.6499999973</v>
      </c>
      <c r="FS58" s="14">
        <f t="shared" si="67"/>
        <v>1018237.6499999973</v>
      </c>
      <c r="FT58" s="14">
        <f t="shared" si="67"/>
        <v>1018237.6499999973</v>
      </c>
      <c r="FU58" s="14">
        <f t="shared" si="67"/>
        <v>1018237.6499999973</v>
      </c>
      <c r="FV58" s="14">
        <f t="shared" si="67"/>
        <v>1018237.6499999973</v>
      </c>
      <c r="FW58" s="14">
        <f t="shared" si="67"/>
        <v>1018237.6499999973</v>
      </c>
      <c r="FX58" s="14">
        <f t="shared" si="67"/>
        <v>1018237.6499999973</v>
      </c>
      <c r="FY58" s="14">
        <f t="shared" si="67"/>
        <v>1018237.6499999973</v>
      </c>
      <c r="FZ58" s="230">
        <f t="shared" si="67"/>
        <v>1018237.6499999973</v>
      </c>
      <c r="GA58" s="14">
        <f t="shared" si="67"/>
        <v>1018237.6499999973</v>
      </c>
      <c r="GB58" s="14">
        <f t="shared" si="67"/>
        <v>1018237.6499999973</v>
      </c>
      <c r="GC58" s="14">
        <f t="shared" si="67"/>
        <v>1018237.6499999973</v>
      </c>
      <c r="GD58" s="14">
        <f t="shared" si="67"/>
        <v>1018237.6499999973</v>
      </c>
      <c r="GE58" s="14">
        <f t="shared" si="67"/>
        <v>1018237.6499999973</v>
      </c>
      <c r="GF58" s="14">
        <f t="shared" si="67"/>
        <v>1018237.6499999973</v>
      </c>
      <c r="GG58" s="14">
        <f t="shared" si="67"/>
        <v>1018237.6499999973</v>
      </c>
      <c r="GH58" s="14">
        <f t="shared" si="67"/>
        <v>1018237.6499999973</v>
      </c>
      <c r="GI58" s="14">
        <f t="shared" si="67"/>
        <v>1018237.6499999973</v>
      </c>
      <c r="GJ58" s="14">
        <f t="shared" si="67"/>
        <v>1018237.6499999973</v>
      </c>
      <c r="GK58" s="14">
        <f t="shared" si="67"/>
        <v>1018237.6499999973</v>
      </c>
      <c r="GL58" s="39">
        <f>GK58-GL23+1766.69</f>
        <v>1020004.3399999973</v>
      </c>
      <c r="GM58" s="14">
        <f t="shared" ref="GM58:HC58" si="68">GL58-GM23</f>
        <v>1020004.3399999973</v>
      </c>
      <c r="GN58" s="14">
        <f t="shared" si="68"/>
        <v>1020004.3399999973</v>
      </c>
      <c r="GO58" s="14">
        <f t="shared" si="68"/>
        <v>1020004.3399999973</v>
      </c>
      <c r="GP58" s="14">
        <f t="shared" si="68"/>
        <v>1020004.3399999973</v>
      </c>
      <c r="GQ58" s="14">
        <f t="shared" si="68"/>
        <v>1020004.3399999973</v>
      </c>
      <c r="GR58" s="14">
        <f t="shared" si="68"/>
        <v>1020004.3399999973</v>
      </c>
      <c r="GS58" s="14">
        <f t="shared" si="68"/>
        <v>1020004.3399999973</v>
      </c>
      <c r="GT58" s="14">
        <f t="shared" si="68"/>
        <v>1020004.3399999973</v>
      </c>
      <c r="GU58" s="243">
        <f t="shared" si="68"/>
        <v>1020004.3399999973</v>
      </c>
      <c r="GV58" s="14">
        <f t="shared" si="68"/>
        <v>1020004.3399999973</v>
      </c>
      <c r="GW58" s="14">
        <f t="shared" si="68"/>
        <v>1020004.3399999973</v>
      </c>
      <c r="GX58" s="14">
        <f t="shared" si="68"/>
        <v>1020004.3399999973</v>
      </c>
      <c r="GY58" s="14">
        <f t="shared" si="68"/>
        <v>1020004.3399999973</v>
      </c>
      <c r="GZ58" s="14">
        <f t="shared" si="68"/>
        <v>1020004.3399999973</v>
      </c>
      <c r="HA58" s="14">
        <f t="shared" si="68"/>
        <v>1020004.3399999973</v>
      </c>
      <c r="HB58" s="14">
        <f t="shared" si="68"/>
        <v>1020004.3399999973</v>
      </c>
      <c r="HC58" s="14">
        <f t="shared" si="68"/>
        <v>1020004.3399999973</v>
      </c>
      <c r="HD58" s="39">
        <f>HC58-HD23+1395.84</f>
        <v>1021400.1799999973</v>
      </c>
      <c r="HE58" s="14">
        <f t="shared" ref="HE58:HY58" si="69">HD58-HE23</f>
        <v>1021400.1799999973</v>
      </c>
      <c r="HF58" s="14">
        <f t="shared" si="69"/>
        <v>1021400.1799999973</v>
      </c>
      <c r="HG58" s="14">
        <f t="shared" si="69"/>
        <v>1021400.1799999973</v>
      </c>
      <c r="HH58" s="14">
        <f t="shared" si="69"/>
        <v>1021400.1799999973</v>
      </c>
      <c r="HI58" s="14">
        <f t="shared" si="69"/>
        <v>1021400.1799999973</v>
      </c>
      <c r="HJ58" s="14">
        <f t="shared" si="69"/>
        <v>1021400.1799999973</v>
      </c>
      <c r="HK58" s="14">
        <f t="shared" si="69"/>
        <v>1021400.1799999973</v>
      </c>
      <c r="HL58" s="14">
        <f t="shared" si="69"/>
        <v>1021400.1799999973</v>
      </c>
      <c r="HM58" s="14">
        <f t="shared" si="69"/>
        <v>1021400.1799999973</v>
      </c>
      <c r="HN58" s="136">
        <f t="shared" si="69"/>
        <v>1021400.1799999973</v>
      </c>
      <c r="HO58" s="80">
        <f t="shared" si="69"/>
        <v>1021400.1799999973</v>
      </c>
      <c r="HP58" s="14">
        <f t="shared" si="69"/>
        <v>1021400.1799999973</v>
      </c>
      <c r="HQ58" s="14">
        <f t="shared" si="69"/>
        <v>1021400.1799999973</v>
      </c>
      <c r="HR58" s="14">
        <f t="shared" si="69"/>
        <v>1021400.1799999973</v>
      </c>
      <c r="HS58" s="14">
        <f t="shared" si="69"/>
        <v>1021400.1799999973</v>
      </c>
      <c r="HT58" s="14">
        <f t="shared" si="69"/>
        <v>1021400.1799999973</v>
      </c>
      <c r="HU58" s="14">
        <f t="shared" si="69"/>
        <v>1021400.1799999973</v>
      </c>
      <c r="HV58" s="14">
        <f t="shared" si="69"/>
        <v>1021400.1799999973</v>
      </c>
      <c r="HW58" s="14">
        <f t="shared" si="69"/>
        <v>1021400.1799999973</v>
      </c>
      <c r="HX58" s="14">
        <f t="shared" si="69"/>
        <v>1021400.1799999973</v>
      </c>
      <c r="HY58" s="14">
        <f t="shared" si="69"/>
        <v>1021400.1799999973</v>
      </c>
      <c r="HZ58" s="39">
        <f>HY58-HZ23+1285.16</f>
        <v>1022685.3399999973</v>
      </c>
      <c r="IA58" s="14">
        <f t="shared" si="56"/>
        <v>1022685.3399999973</v>
      </c>
      <c r="IB58" s="14">
        <f t="shared" si="56"/>
        <v>1022685.3399999973</v>
      </c>
      <c r="IC58" s="14">
        <f t="shared" si="56"/>
        <v>1022685.3399999973</v>
      </c>
      <c r="ID58" s="14">
        <f t="shared" si="56"/>
        <v>1022685.3399999973</v>
      </c>
      <c r="IE58" s="14">
        <f t="shared" si="56"/>
        <v>1022685.3399999973</v>
      </c>
      <c r="IF58" s="14">
        <f t="shared" si="56"/>
        <v>1022685.3399999973</v>
      </c>
      <c r="IG58" s="14">
        <f>IF58-IG23+20000000</f>
        <v>21022685.339999996</v>
      </c>
      <c r="IH58" s="112">
        <f t="shared" si="57"/>
        <v>21022685.339999996</v>
      </c>
      <c r="II58" s="14">
        <f t="shared" si="57"/>
        <v>21022685.339999996</v>
      </c>
      <c r="IJ58" s="14">
        <f t="shared" si="57"/>
        <v>21022685.339999996</v>
      </c>
      <c r="IK58" s="14">
        <f t="shared" si="57"/>
        <v>21022685.339999996</v>
      </c>
      <c r="IL58" s="14">
        <f>IK58-IL23+5000000</f>
        <v>26022685.339999996</v>
      </c>
      <c r="IM58" s="14">
        <f t="shared" si="58"/>
        <v>26022685.339999996</v>
      </c>
      <c r="IN58" s="14">
        <f t="shared" si="58"/>
        <v>26022685.339999996</v>
      </c>
      <c r="IO58" s="14">
        <f t="shared" si="58"/>
        <v>26022685.339999996</v>
      </c>
      <c r="IP58" s="14">
        <f t="shared" si="58"/>
        <v>26022685.339999996</v>
      </c>
      <c r="IQ58" s="14">
        <f t="shared" si="58"/>
        <v>26022685.339999996</v>
      </c>
      <c r="IR58" s="14">
        <f t="shared" si="58"/>
        <v>26022685.339999996</v>
      </c>
      <c r="IS58" s="14">
        <f t="shared" si="58"/>
        <v>26022685.339999996</v>
      </c>
      <c r="IT58" s="39">
        <f t="shared" si="58"/>
        <v>26022685.339999996</v>
      </c>
      <c r="IU58" s="14"/>
    </row>
    <row r="59" spans="1:256" s="8" customFormat="1" ht="14.1" customHeight="1">
      <c r="A59" s="14" t="s">
        <v>19</v>
      </c>
      <c r="B59" s="14"/>
      <c r="C59" s="39">
        <v>5144751.42</v>
      </c>
      <c r="D59" s="14">
        <f t="shared" si="44"/>
        <v>5144751.42</v>
      </c>
      <c r="E59" s="14">
        <f t="shared" si="44"/>
        <v>5144751.42</v>
      </c>
      <c r="F59" s="14">
        <f t="shared" si="44"/>
        <v>5144751.42</v>
      </c>
      <c r="G59" s="14">
        <f t="shared" si="44"/>
        <v>5144751.42</v>
      </c>
      <c r="H59" s="14">
        <f>G59-H24+75000000</f>
        <v>80144751.420000002</v>
      </c>
      <c r="I59" s="14">
        <f t="shared" ref="I59:V59" si="70">H59-I24</f>
        <v>80144751.420000002</v>
      </c>
      <c r="J59" s="14">
        <f t="shared" si="70"/>
        <v>80144751.420000002</v>
      </c>
      <c r="K59" s="14">
        <f t="shared" si="70"/>
        <v>80144751.420000002</v>
      </c>
      <c r="L59" s="14">
        <f t="shared" si="70"/>
        <v>80144751.420000002</v>
      </c>
      <c r="M59" s="14">
        <f t="shared" si="70"/>
        <v>80144751.420000002</v>
      </c>
      <c r="N59" s="230">
        <f t="shared" si="70"/>
        <v>80144751.420000002</v>
      </c>
      <c r="O59" s="14">
        <f t="shared" si="70"/>
        <v>80144751.420000002</v>
      </c>
      <c r="P59" s="14">
        <f t="shared" si="70"/>
        <v>80144751.420000002</v>
      </c>
      <c r="Q59" s="14">
        <f t="shared" si="70"/>
        <v>80144751.420000002</v>
      </c>
      <c r="R59" s="14">
        <f t="shared" si="70"/>
        <v>80144751.420000002</v>
      </c>
      <c r="S59" s="14">
        <f t="shared" si="70"/>
        <v>80144751.420000002</v>
      </c>
      <c r="T59" s="14">
        <f t="shared" si="70"/>
        <v>80144751.420000002</v>
      </c>
      <c r="U59" s="14">
        <f t="shared" si="70"/>
        <v>80144751.420000002</v>
      </c>
      <c r="V59" s="14">
        <f t="shared" si="70"/>
        <v>80144751.420000002</v>
      </c>
      <c r="W59" s="39">
        <f>V59-W24+184822.89</f>
        <v>80329574.310000002</v>
      </c>
      <c r="X59" s="14">
        <f t="shared" ref="X59:AQ59" si="71">W59-X24</f>
        <v>80329574.310000002</v>
      </c>
      <c r="Y59" s="14">
        <f t="shared" si="71"/>
        <v>80329574.310000002</v>
      </c>
      <c r="Z59" s="14">
        <f t="shared" si="71"/>
        <v>80329574.310000002</v>
      </c>
      <c r="AA59" s="14">
        <f t="shared" si="71"/>
        <v>80329574.310000002</v>
      </c>
      <c r="AB59" s="14">
        <f t="shared" si="71"/>
        <v>80329574.310000002</v>
      </c>
      <c r="AC59" s="14">
        <f t="shared" si="71"/>
        <v>80329574.310000002</v>
      </c>
      <c r="AD59" s="14">
        <f t="shared" si="71"/>
        <v>80329574.310000002</v>
      </c>
      <c r="AE59" s="14">
        <f t="shared" si="71"/>
        <v>80329574.310000002</v>
      </c>
      <c r="AF59" s="230">
        <f t="shared" si="71"/>
        <v>80329574.310000002</v>
      </c>
      <c r="AG59" s="14">
        <f t="shared" si="71"/>
        <v>80329574.310000002</v>
      </c>
      <c r="AH59" s="14">
        <f t="shared" si="71"/>
        <v>80329574.310000002</v>
      </c>
      <c r="AI59" s="14">
        <f t="shared" si="71"/>
        <v>80329574.310000002</v>
      </c>
      <c r="AJ59" s="14">
        <f t="shared" si="71"/>
        <v>80329574.310000002</v>
      </c>
      <c r="AK59" s="14">
        <f t="shared" si="71"/>
        <v>80329574.310000002</v>
      </c>
      <c r="AL59" s="14">
        <f t="shared" si="71"/>
        <v>80329574.310000002</v>
      </c>
      <c r="AM59" s="14">
        <f t="shared" si="71"/>
        <v>80329574.310000002</v>
      </c>
      <c r="AN59" s="14">
        <f t="shared" si="71"/>
        <v>80329574.310000002</v>
      </c>
      <c r="AO59" s="14">
        <f t="shared" si="71"/>
        <v>80329574.310000002</v>
      </c>
      <c r="AP59" s="14">
        <f t="shared" si="71"/>
        <v>80329574.310000002</v>
      </c>
      <c r="AQ59" s="14">
        <f t="shared" si="71"/>
        <v>80329574.310000002</v>
      </c>
      <c r="AR59" s="39">
        <f>AQ59-AR24+217437.38</f>
        <v>80547011.689999998</v>
      </c>
      <c r="AS59" s="14">
        <f t="shared" ref="AS59:BM59" si="72">AR59-AS24</f>
        <v>80547011.689999998</v>
      </c>
      <c r="AT59" s="14">
        <f t="shared" si="72"/>
        <v>80547011.689999998</v>
      </c>
      <c r="AU59" s="14">
        <f t="shared" si="72"/>
        <v>80547011.689999998</v>
      </c>
      <c r="AV59" s="230">
        <f t="shared" si="72"/>
        <v>80547011.689999998</v>
      </c>
      <c r="AW59" s="14">
        <f t="shared" si="72"/>
        <v>80547011.689999998</v>
      </c>
      <c r="AX59" s="14">
        <f t="shared" si="72"/>
        <v>80547011.689999998</v>
      </c>
      <c r="AY59" s="14">
        <f t="shared" si="72"/>
        <v>80547011.689999998</v>
      </c>
      <c r="AZ59" s="14">
        <f t="shared" si="72"/>
        <v>80547011.689999998</v>
      </c>
      <c r="BA59" s="14">
        <f t="shared" si="72"/>
        <v>80547011.689999998</v>
      </c>
      <c r="BB59" s="14">
        <f t="shared" si="72"/>
        <v>80547011.689999998</v>
      </c>
      <c r="BC59" s="14">
        <f t="shared" si="72"/>
        <v>80547011.689999998</v>
      </c>
      <c r="BD59" s="14">
        <f t="shared" si="72"/>
        <v>80547011.689999998</v>
      </c>
      <c r="BE59" s="14">
        <f t="shared" si="72"/>
        <v>80547011.689999998</v>
      </c>
      <c r="BF59" s="14">
        <f t="shared" si="72"/>
        <v>80547011.689999998</v>
      </c>
      <c r="BG59" s="14">
        <f t="shared" si="72"/>
        <v>80547011.689999998</v>
      </c>
      <c r="BH59" s="14">
        <f t="shared" si="72"/>
        <v>80547011.689999998</v>
      </c>
      <c r="BI59" s="14">
        <f t="shared" si="72"/>
        <v>80547011.689999998</v>
      </c>
      <c r="BJ59" s="14">
        <f t="shared" si="72"/>
        <v>80547011.689999998</v>
      </c>
      <c r="BK59" s="14">
        <f t="shared" si="72"/>
        <v>80547011.689999998</v>
      </c>
      <c r="BL59" s="14">
        <f t="shared" si="72"/>
        <v>80547011.689999998</v>
      </c>
      <c r="BM59" s="14">
        <f t="shared" si="72"/>
        <v>80547011.689999998</v>
      </c>
      <c r="BN59" s="39">
        <f>BM59-BN24+182260.33</f>
        <v>80729272.019999996</v>
      </c>
      <c r="BO59" s="14">
        <f t="shared" ref="BO59:CH59" si="73">BN59-BO24</f>
        <v>80729272.019999996</v>
      </c>
      <c r="BP59" s="14">
        <f t="shared" si="73"/>
        <v>80729272.019999996</v>
      </c>
      <c r="BQ59" s="14">
        <f t="shared" si="73"/>
        <v>80729272.019999996</v>
      </c>
      <c r="BR59" s="14">
        <f t="shared" si="73"/>
        <v>80729272.019999996</v>
      </c>
      <c r="BS59" s="14">
        <f t="shared" si="73"/>
        <v>80729272.019999996</v>
      </c>
      <c r="BT59" s="14">
        <f t="shared" si="73"/>
        <v>80729272.019999996</v>
      </c>
      <c r="BU59" s="14">
        <f t="shared" si="73"/>
        <v>80729272.019999996</v>
      </c>
      <c r="BV59" s="14">
        <f t="shared" si="73"/>
        <v>55729272.019999996</v>
      </c>
      <c r="BW59" s="14">
        <f t="shared" si="73"/>
        <v>55729272.019999996</v>
      </c>
      <c r="BX59" s="14">
        <f t="shared" si="73"/>
        <v>55729272.019999996</v>
      </c>
      <c r="BY59" s="14">
        <f t="shared" si="73"/>
        <v>55729272.019999996</v>
      </c>
      <c r="BZ59" s="14">
        <f t="shared" si="73"/>
        <v>55729272.019999996</v>
      </c>
      <c r="CA59" s="14">
        <f t="shared" si="73"/>
        <v>55729272.019999996</v>
      </c>
      <c r="CB59" s="14">
        <f t="shared" si="73"/>
        <v>55729272.019999996</v>
      </c>
      <c r="CC59" s="14">
        <f t="shared" si="73"/>
        <v>55729272.019999996</v>
      </c>
      <c r="CD59" s="14">
        <f t="shared" si="73"/>
        <v>55729272.019999996</v>
      </c>
      <c r="CE59" s="14">
        <f t="shared" si="73"/>
        <v>55729272.019999996</v>
      </c>
      <c r="CF59" s="14">
        <f t="shared" si="73"/>
        <v>55729272.019999996</v>
      </c>
      <c r="CG59" s="14">
        <f t="shared" si="73"/>
        <v>55729272.019999996</v>
      </c>
      <c r="CH59" s="14">
        <f t="shared" si="73"/>
        <v>55729272.019999996</v>
      </c>
      <c r="CI59" s="39">
        <f>CH59-CI24+140344.7</f>
        <v>55869616.719999999</v>
      </c>
      <c r="CJ59" s="14">
        <f t="shared" ref="CJ59:DC59" si="74">CI59-CJ24</f>
        <v>55869616.719999999</v>
      </c>
      <c r="CK59" s="14">
        <f t="shared" si="74"/>
        <v>55869616.719999999</v>
      </c>
      <c r="CL59" s="14">
        <f t="shared" si="74"/>
        <v>55869616.719999999</v>
      </c>
      <c r="CM59" s="14">
        <f t="shared" si="74"/>
        <v>55869616.719999999</v>
      </c>
      <c r="CN59" s="14">
        <f t="shared" si="74"/>
        <v>45869616.719999999</v>
      </c>
      <c r="CO59" s="14">
        <f t="shared" si="74"/>
        <v>45869616.719999999</v>
      </c>
      <c r="CP59" s="14">
        <f t="shared" si="74"/>
        <v>45869616.719999999</v>
      </c>
      <c r="CQ59" s="14">
        <f t="shared" si="74"/>
        <v>45869616.719999999</v>
      </c>
      <c r="CR59" s="14">
        <f t="shared" si="74"/>
        <v>45869616.719999999</v>
      </c>
      <c r="CS59" s="14">
        <f t="shared" si="74"/>
        <v>25869616.719999999</v>
      </c>
      <c r="CT59" s="14">
        <f t="shared" si="74"/>
        <v>25869616.719999999</v>
      </c>
      <c r="CU59" s="14">
        <f t="shared" si="74"/>
        <v>25869616.719999999</v>
      </c>
      <c r="CV59" s="14">
        <f t="shared" si="74"/>
        <v>25869616.719999999</v>
      </c>
      <c r="CW59" s="14">
        <f t="shared" si="74"/>
        <v>25869616.719999999</v>
      </c>
      <c r="CX59" s="14">
        <f t="shared" si="74"/>
        <v>25869616.719999999</v>
      </c>
      <c r="CY59" s="14">
        <f t="shared" si="74"/>
        <v>25869616.719999999</v>
      </c>
      <c r="CZ59" s="14">
        <f t="shared" si="74"/>
        <v>25869616.719999999</v>
      </c>
      <c r="DA59" s="14">
        <f t="shared" si="74"/>
        <v>25869616.719999999</v>
      </c>
      <c r="DB59" s="14">
        <f t="shared" si="74"/>
        <v>25869616.719999999</v>
      </c>
      <c r="DC59" s="14">
        <f t="shared" si="74"/>
        <v>25869616.719999999</v>
      </c>
      <c r="DD59" s="39">
        <f>DC59-DD24+74187.92</f>
        <v>25943804.640000001</v>
      </c>
      <c r="DE59" s="93">
        <f t="shared" ref="DE59:DY59" si="75">DD59-DE24</f>
        <v>25943804.640000001</v>
      </c>
      <c r="DF59" s="14">
        <f t="shared" si="75"/>
        <v>25943804.640000001</v>
      </c>
      <c r="DG59" s="14">
        <f t="shared" si="75"/>
        <v>25943804.640000001</v>
      </c>
      <c r="DH59" s="14">
        <f t="shared" si="75"/>
        <v>25943804.640000001</v>
      </c>
      <c r="DI59" s="14">
        <f t="shared" si="75"/>
        <v>25943804.640000001</v>
      </c>
      <c r="DJ59" s="14">
        <f t="shared" si="75"/>
        <v>25943804.640000001</v>
      </c>
      <c r="DK59" s="14">
        <f t="shared" si="75"/>
        <v>25943804.640000001</v>
      </c>
      <c r="DL59" s="14">
        <f t="shared" si="75"/>
        <v>25943804.640000001</v>
      </c>
      <c r="DM59" s="14">
        <f t="shared" si="75"/>
        <v>15943804.640000001</v>
      </c>
      <c r="DN59" s="14">
        <f t="shared" si="75"/>
        <v>15943804.640000001</v>
      </c>
      <c r="DO59" s="14">
        <f t="shared" si="75"/>
        <v>5943804.6400000006</v>
      </c>
      <c r="DP59" s="14">
        <f t="shared" si="75"/>
        <v>5943804.6400000006</v>
      </c>
      <c r="DQ59" s="14">
        <f t="shared" si="75"/>
        <v>5943804.6400000006</v>
      </c>
      <c r="DR59" s="93">
        <f t="shared" si="75"/>
        <v>5943804.6400000006</v>
      </c>
      <c r="DS59" s="14">
        <f t="shared" si="75"/>
        <v>5943804.6400000006</v>
      </c>
      <c r="DT59" s="14">
        <f t="shared" si="75"/>
        <v>5943804.6400000006</v>
      </c>
      <c r="DU59" s="14">
        <f t="shared" si="75"/>
        <v>5943804.6400000006</v>
      </c>
      <c r="DV59" s="14">
        <f t="shared" si="75"/>
        <v>5943804.6400000006</v>
      </c>
      <c r="DW59" s="14">
        <f t="shared" si="75"/>
        <v>5943804.6400000006</v>
      </c>
      <c r="DX59" s="14">
        <f t="shared" si="75"/>
        <v>5943804.6400000006</v>
      </c>
      <c r="DY59" s="14">
        <f t="shared" si="75"/>
        <v>5943804.6400000006</v>
      </c>
      <c r="DZ59" s="39">
        <f>DY59-DZ24+32620.5</f>
        <v>5976425.1400000006</v>
      </c>
      <c r="EA59" s="14">
        <f t="shared" ref="EA59:ET59" si="76">DZ59-EA24</f>
        <v>5976425.1400000006</v>
      </c>
      <c r="EB59" s="14">
        <f t="shared" si="76"/>
        <v>5976425.1400000006</v>
      </c>
      <c r="EC59" s="14">
        <f t="shared" si="76"/>
        <v>5976425.1400000006</v>
      </c>
      <c r="ED59" s="14">
        <f t="shared" si="76"/>
        <v>5976425.1400000006</v>
      </c>
      <c r="EE59" s="14">
        <f t="shared" si="76"/>
        <v>5976425.1400000006</v>
      </c>
      <c r="EF59" s="14">
        <f t="shared" si="76"/>
        <v>5976425.1400000006</v>
      </c>
      <c r="EG59" s="27">
        <f t="shared" si="76"/>
        <v>5976425.1400000006</v>
      </c>
      <c r="EH59" s="14">
        <f t="shared" si="76"/>
        <v>5976425.1400000006</v>
      </c>
      <c r="EI59" s="14">
        <f t="shared" si="76"/>
        <v>5976425.1400000006</v>
      </c>
      <c r="EJ59" s="14">
        <f t="shared" si="76"/>
        <v>5976425.1400000006</v>
      </c>
      <c r="EK59" s="80">
        <f t="shared" si="76"/>
        <v>5976425.1400000006</v>
      </c>
      <c r="EL59" s="14">
        <f t="shared" si="76"/>
        <v>5976425.1400000006</v>
      </c>
      <c r="EM59" s="14">
        <f t="shared" si="76"/>
        <v>5976425.1400000006</v>
      </c>
      <c r="EN59" s="14">
        <f t="shared" si="76"/>
        <v>5976425.1400000006</v>
      </c>
      <c r="EO59" s="14">
        <f t="shared" si="76"/>
        <v>5976425.1400000006</v>
      </c>
      <c r="EP59" s="14">
        <f t="shared" si="76"/>
        <v>5976425.1400000006</v>
      </c>
      <c r="EQ59" s="14">
        <f t="shared" si="76"/>
        <v>5976425.1400000006</v>
      </c>
      <c r="ER59" s="14">
        <f t="shared" si="76"/>
        <v>5976425.1400000006</v>
      </c>
      <c r="ES59" s="14">
        <f t="shared" si="76"/>
        <v>5976425.1400000006</v>
      </c>
      <c r="ET59" s="14">
        <f t="shared" si="76"/>
        <v>5976425.1400000006</v>
      </c>
      <c r="EU59" s="39">
        <f>ET59-EU24+13092.98</f>
        <v>5989518.120000001</v>
      </c>
      <c r="EV59" s="14">
        <f t="shared" ref="EV59:FO59" si="77">EU59-EV24</f>
        <v>5989518.120000001</v>
      </c>
      <c r="EW59" s="14">
        <f t="shared" si="77"/>
        <v>5989518.120000001</v>
      </c>
      <c r="EX59" s="14">
        <f t="shared" si="77"/>
        <v>5989518.120000001</v>
      </c>
      <c r="EY59" s="14">
        <f t="shared" si="77"/>
        <v>5989518.120000001</v>
      </c>
      <c r="EZ59" s="14">
        <f t="shared" si="77"/>
        <v>5989518.120000001</v>
      </c>
      <c r="FA59" s="14">
        <f t="shared" si="77"/>
        <v>5989518.120000001</v>
      </c>
      <c r="FB59" s="14">
        <f t="shared" si="77"/>
        <v>5989518.120000001</v>
      </c>
      <c r="FC59" s="14">
        <f t="shared" si="77"/>
        <v>5989518.120000001</v>
      </c>
      <c r="FD59" s="14">
        <f t="shared" si="77"/>
        <v>5989518.120000001</v>
      </c>
      <c r="FE59" s="230">
        <f t="shared" si="77"/>
        <v>5989518.120000001</v>
      </c>
      <c r="FF59" s="14">
        <f t="shared" si="77"/>
        <v>5989518.120000001</v>
      </c>
      <c r="FG59" s="14">
        <f t="shared" si="77"/>
        <v>5989518.120000001</v>
      </c>
      <c r="FH59" s="14">
        <f t="shared" si="77"/>
        <v>5989518.120000001</v>
      </c>
      <c r="FI59" s="230">
        <f t="shared" si="77"/>
        <v>5989518.120000001</v>
      </c>
      <c r="FJ59" s="14">
        <f t="shared" si="77"/>
        <v>5989518.120000001</v>
      </c>
      <c r="FK59" s="14">
        <f t="shared" si="77"/>
        <v>5989518.120000001</v>
      </c>
      <c r="FL59" s="80">
        <f t="shared" si="77"/>
        <v>5989518.120000001</v>
      </c>
      <c r="FM59" s="14">
        <f t="shared" si="77"/>
        <v>5989518.120000001</v>
      </c>
      <c r="FN59" s="14">
        <f t="shared" si="77"/>
        <v>5989518.120000001</v>
      </c>
      <c r="FO59" s="14">
        <f t="shared" si="77"/>
        <v>5989518.120000001</v>
      </c>
      <c r="FP59" s="39">
        <f>FO59-FP24+13257.77</f>
        <v>6002775.8900000006</v>
      </c>
      <c r="FQ59" s="14">
        <f t="shared" ref="FQ59:GK59" si="78">FP59-FQ24</f>
        <v>6002775.8900000006</v>
      </c>
      <c r="FR59" s="14">
        <f t="shared" si="78"/>
        <v>6002775.8900000006</v>
      </c>
      <c r="FS59" s="14">
        <f t="shared" si="78"/>
        <v>6002775.8900000006</v>
      </c>
      <c r="FT59" s="14">
        <f t="shared" si="78"/>
        <v>6002775.8900000006</v>
      </c>
      <c r="FU59" s="14">
        <f t="shared" si="78"/>
        <v>6002775.8900000006</v>
      </c>
      <c r="FV59" s="14">
        <f t="shared" si="78"/>
        <v>6002775.8900000006</v>
      </c>
      <c r="FW59" s="14">
        <f t="shared" si="78"/>
        <v>6002775.8900000006</v>
      </c>
      <c r="FX59" s="14">
        <f t="shared" si="78"/>
        <v>6002775.8900000006</v>
      </c>
      <c r="FY59" s="14">
        <f t="shared" si="78"/>
        <v>6002775.8900000006</v>
      </c>
      <c r="FZ59" s="230">
        <f t="shared" si="78"/>
        <v>6002775.8900000006</v>
      </c>
      <c r="GA59" s="14">
        <f t="shared" si="78"/>
        <v>6002775.8900000006</v>
      </c>
      <c r="GB59" s="14">
        <f t="shared" si="78"/>
        <v>6002775.8900000006</v>
      </c>
      <c r="GC59" s="14">
        <f t="shared" si="78"/>
        <v>6002775.8900000006</v>
      </c>
      <c r="GD59" s="14">
        <f t="shared" si="78"/>
        <v>6002775.8900000006</v>
      </c>
      <c r="GE59" s="14">
        <f t="shared" si="78"/>
        <v>6002775.8900000006</v>
      </c>
      <c r="GF59" s="14">
        <f t="shared" si="78"/>
        <v>6002775.8900000006</v>
      </c>
      <c r="GG59" s="14">
        <f t="shared" si="78"/>
        <v>6002775.8900000006</v>
      </c>
      <c r="GH59" s="14">
        <f t="shared" si="78"/>
        <v>6002775.8900000006</v>
      </c>
      <c r="GI59" s="14">
        <f t="shared" si="78"/>
        <v>6002775.8900000006</v>
      </c>
      <c r="GJ59" s="14">
        <f t="shared" si="78"/>
        <v>6002775.8900000006</v>
      </c>
      <c r="GK59" s="14">
        <f t="shared" si="78"/>
        <v>6002775.8900000006</v>
      </c>
      <c r="GL59" s="39">
        <f>GK59-GL24+13211.95</f>
        <v>6015987.8400000008</v>
      </c>
      <c r="GM59" s="14">
        <f t="shared" ref="GM59:HC59" si="79">GL59-GM24</f>
        <v>6015987.8400000008</v>
      </c>
      <c r="GN59" s="14">
        <f t="shared" si="79"/>
        <v>6015987.8400000008</v>
      </c>
      <c r="GO59" s="14">
        <f t="shared" si="79"/>
        <v>6015987.8400000008</v>
      </c>
      <c r="GP59" s="14">
        <f t="shared" si="79"/>
        <v>6015987.8400000008</v>
      </c>
      <c r="GQ59" s="14">
        <f t="shared" si="79"/>
        <v>6015987.8400000008</v>
      </c>
      <c r="GR59" s="14">
        <f t="shared" si="79"/>
        <v>6015987.8400000008</v>
      </c>
      <c r="GS59" s="14">
        <f t="shared" si="79"/>
        <v>6015987.8400000008</v>
      </c>
      <c r="GT59" s="14">
        <f t="shared" si="79"/>
        <v>6015987.8400000008</v>
      </c>
      <c r="GU59" s="243">
        <f t="shared" si="79"/>
        <v>6015987.8400000008</v>
      </c>
      <c r="GV59" s="14">
        <f t="shared" si="79"/>
        <v>6015987.8400000008</v>
      </c>
      <c r="GW59" s="14">
        <f t="shared" si="79"/>
        <v>6015987.8400000008</v>
      </c>
      <c r="GX59" s="14">
        <f t="shared" si="79"/>
        <v>6015987.8400000008</v>
      </c>
      <c r="GY59" s="14">
        <f t="shared" si="79"/>
        <v>6015987.8400000008</v>
      </c>
      <c r="GZ59" s="14">
        <f t="shared" si="79"/>
        <v>6015987.8400000008</v>
      </c>
      <c r="HA59" s="14">
        <f t="shared" si="79"/>
        <v>6015987.8400000008</v>
      </c>
      <c r="HB59" s="14">
        <f t="shared" si="79"/>
        <v>6015987.8400000008</v>
      </c>
      <c r="HC59" s="14">
        <f t="shared" si="79"/>
        <v>6015987.8400000008</v>
      </c>
      <c r="HD59" s="39">
        <f>HC59-HD24+10877</f>
        <v>6026864.8400000008</v>
      </c>
      <c r="HE59" s="14">
        <f t="shared" ref="HE59:HY59" si="80">HD59-HE24</f>
        <v>6026864.8400000008</v>
      </c>
      <c r="HF59" s="14">
        <f t="shared" si="80"/>
        <v>6026864.8400000008</v>
      </c>
      <c r="HG59" s="14">
        <f t="shared" si="80"/>
        <v>6026864.8400000008</v>
      </c>
      <c r="HH59" s="14">
        <f t="shared" si="80"/>
        <v>6026864.8400000008</v>
      </c>
      <c r="HI59" s="14">
        <f t="shared" si="80"/>
        <v>6026864.8400000008</v>
      </c>
      <c r="HJ59" s="14">
        <f t="shared" si="80"/>
        <v>6026864.8400000008</v>
      </c>
      <c r="HK59" s="14">
        <f t="shared" si="80"/>
        <v>6026864.8400000008</v>
      </c>
      <c r="HL59" s="14">
        <f t="shared" si="80"/>
        <v>6026864.8400000008</v>
      </c>
      <c r="HM59" s="14">
        <f t="shared" si="80"/>
        <v>6026864.8400000008</v>
      </c>
      <c r="HN59" s="136">
        <f t="shared" si="80"/>
        <v>6026864.8400000008</v>
      </c>
      <c r="HO59" s="80">
        <f t="shared" si="80"/>
        <v>6026864.8400000008</v>
      </c>
      <c r="HP59" s="14">
        <f t="shared" si="80"/>
        <v>6026864.8400000008</v>
      </c>
      <c r="HQ59" s="14">
        <f t="shared" si="80"/>
        <v>6026864.8400000008</v>
      </c>
      <c r="HR59" s="14">
        <f t="shared" si="80"/>
        <v>6026864.8400000008</v>
      </c>
      <c r="HS59" s="14">
        <f t="shared" si="80"/>
        <v>6026864.8400000008</v>
      </c>
      <c r="HT59" s="14">
        <f t="shared" si="80"/>
        <v>6026864.8400000008</v>
      </c>
      <c r="HU59" s="14">
        <f t="shared" si="80"/>
        <v>6026864.8400000008</v>
      </c>
      <c r="HV59" s="14">
        <f t="shared" si="80"/>
        <v>6026864.8400000008</v>
      </c>
      <c r="HW59" s="14">
        <f t="shared" si="80"/>
        <v>6026864.8400000008</v>
      </c>
      <c r="HX59" s="14">
        <f t="shared" si="80"/>
        <v>6026864.8400000008</v>
      </c>
      <c r="HY59" s="14">
        <f t="shared" si="80"/>
        <v>6026864.8400000008</v>
      </c>
      <c r="HZ59" s="39">
        <f>HY59-HZ24+9972.26</f>
        <v>6036837.1000000006</v>
      </c>
      <c r="IA59" s="14">
        <f t="shared" si="56"/>
        <v>6036837.1000000006</v>
      </c>
      <c r="IB59" s="14">
        <f t="shared" si="56"/>
        <v>6036837.1000000006</v>
      </c>
      <c r="IC59" s="14">
        <f t="shared" si="56"/>
        <v>6036837.1000000006</v>
      </c>
      <c r="ID59" s="14">
        <f t="shared" si="56"/>
        <v>6036837.1000000006</v>
      </c>
      <c r="IE59" s="14">
        <f t="shared" si="56"/>
        <v>6036837.1000000006</v>
      </c>
      <c r="IF59" s="14">
        <f t="shared" si="56"/>
        <v>6036837.1000000006</v>
      </c>
      <c r="IG59" s="14">
        <f>IF59-IG24+10000000</f>
        <v>16036837.100000001</v>
      </c>
      <c r="IH59" s="112">
        <f t="shared" si="57"/>
        <v>16036837.100000001</v>
      </c>
      <c r="II59" s="14">
        <f t="shared" si="57"/>
        <v>16036837.100000001</v>
      </c>
      <c r="IJ59" s="14">
        <f t="shared" si="57"/>
        <v>16036837.100000001</v>
      </c>
      <c r="IK59" s="14">
        <f t="shared" si="57"/>
        <v>16036837.100000001</v>
      </c>
      <c r="IL59" s="14">
        <f>IK59-IL24+10000000</f>
        <v>26036837.100000001</v>
      </c>
      <c r="IM59" s="14">
        <f t="shared" si="58"/>
        <v>26036837.100000001</v>
      </c>
      <c r="IN59" s="14">
        <f t="shared" si="58"/>
        <v>26036837.100000001</v>
      </c>
      <c r="IO59" s="14">
        <f t="shared" si="58"/>
        <v>26036837.100000001</v>
      </c>
      <c r="IP59" s="14">
        <f t="shared" si="58"/>
        <v>26036837.100000001</v>
      </c>
      <c r="IQ59" s="14">
        <f t="shared" si="58"/>
        <v>26036837.100000001</v>
      </c>
      <c r="IR59" s="14">
        <f t="shared" si="58"/>
        <v>26036837.100000001</v>
      </c>
      <c r="IS59" s="14">
        <f t="shared" si="58"/>
        <v>26036837.100000001</v>
      </c>
      <c r="IT59" s="39">
        <f t="shared" si="58"/>
        <v>26036837.100000001</v>
      </c>
      <c r="IU59" s="14"/>
    </row>
    <row r="60" spans="1:256" s="8" customFormat="1" ht="14.1" customHeight="1">
      <c r="A60" s="14" t="s">
        <v>56</v>
      </c>
      <c r="B60" s="14"/>
      <c r="C60" s="39">
        <v>57542.9</v>
      </c>
      <c r="D60" s="14">
        <f>+C60</f>
        <v>57542.9</v>
      </c>
      <c r="E60" s="14">
        <f>+D60</f>
        <v>57542.9</v>
      </c>
      <c r="F60" s="14">
        <f>+E60</f>
        <v>57542.9</v>
      </c>
      <c r="G60" s="14">
        <f>+F60</f>
        <v>57542.9</v>
      </c>
      <c r="H60" s="14">
        <f>+G60+100000000</f>
        <v>100057542.90000001</v>
      </c>
      <c r="I60" s="14">
        <f t="shared" ref="I60:V60" si="81">+H60</f>
        <v>100057542.90000001</v>
      </c>
      <c r="J60" s="14">
        <f t="shared" si="81"/>
        <v>100057542.90000001</v>
      </c>
      <c r="K60" s="14">
        <f t="shared" si="81"/>
        <v>100057542.90000001</v>
      </c>
      <c r="L60" s="14">
        <f t="shared" si="81"/>
        <v>100057542.90000001</v>
      </c>
      <c r="M60" s="14">
        <f t="shared" si="81"/>
        <v>100057542.90000001</v>
      </c>
      <c r="N60" s="230">
        <f t="shared" si="81"/>
        <v>100057542.90000001</v>
      </c>
      <c r="O60" s="14">
        <f t="shared" si="81"/>
        <v>100057542.90000001</v>
      </c>
      <c r="P60" s="14">
        <f t="shared" si="81"/>
        <v>100057542.90000001</v>
      </c>
      <c r="Q60" s="14">
        <f t="shared" si="81"/>
        <v>100057542.90000001</v>
      </c>
      <c r="R60" s="14">
        <f t="shared" si="81"/>
        <v>100057542.90000001</v>
      </c>
      <c r="S60" s="14">
        <f t="shared" si="81"/>
        <v>100057542.90000001</v>
      </c>
      <c r="T60" s="14">
        <f t="shared" si="81"/>
        <v>100057542.90000001</v>
      </c>
      <c r="U60" s="14">
        <f t="shared" si="81"/>
        <v>100057542.90000001</v>
      </c>
      <c r="V60" s="14">
        <f t="shared" si="81"/>
        <v>100057542.90000001</v>
      </c>
      <c r="W60" s="39">
        <f>+V60+220040.6</f>
        <v>100277583.5</v>
      </c>
      <c r="X60" s="14">
        <f t="shared" ref="X60:AQ60" si="82">+W60</f>
        <v>100277583.5</v>
      </c>
      <c r="Y60" s="14">
        <f t="shared" si="82"/>
        <v>100277583.5</v>
      </c>
      <c r="Z60" s="14">
        <f t="shared" si="82"/>
        <v>100277583.5</v>
      </c>
      <c r="AA60" s="14">
        <f t="shared" si="82"/>
        <v>100277583.5</v>
      </c>
      <c r="AB60" s="14">
        <f t="shared" si="82"/>
        <v>100277583.5</v>
      </c>
      <c r="AC60" s="14">
        <f t="shared" si="82"/>
        <v>100277583.5</v>
      </c>
      <c r="AD60" s="14">
        <f t="shared" si="82"/>
        <v>100277583.5</v>
      </c>
      <c r="AE60" s="14">
        <f t="shared" si="82"/>
        <v>100277583.5</v>
      </c>
      <c r="AF60" s="230">
        <f t="shared" si="82"/>
        <v>100277583.5</v>
      </c>
      <c r="AG60" s="14">
        <f t="shared" si="82"/>
        <v>100277583.5</v>
      </c>
      <c r="AH60" s="14">
        <f t="shared" si="82"/>
        <v>100277583.5</v>
      </c>
      <c r="AI60" s="14">
        <f t="shared" si="82"/>
        <v>100277583.5</v>
      </c>
      <c r="AJ60" s="14">
        <f t="shared" si="82"/>
        <v>100277583.5</v>
      </c>
      <c r="AK60" s="14">
        <f t="shared" si="82"/>
        <v>100277583.5</v>
      </c>
      <c r="AL60" s="14">
        <f t="shared" si="82"/>
        <v>100277583.5</v>
      </c>
      <c r="AM60" s="14">
        <f t="shared" si="82"/>
        <v>100277583.5</v>
      </c>
      <c r="AN60" s="14">
        <f t="shared" si="82"/>
        <v>100277583.5</v>
      </c>
      <c r="AO60" s="14">
        <f t="shared" si="82"/>
        <v>100277583.5</v>
      </c>
      <c r="AP60" s="14">
        <f t="shared" si="82"/>
        <v>100277583.5</v>
      </c>
      <c r="AQ60" s="14">
        <f t="shared" si="82"/>
        <v>100277583.5</v>
      </c>
      <c r="AR60" s="39">
        <f>+AQ60+252832.32</f>
        <v>100530415.81999999</v>
      </c>
      <c r="AS60" s="14">
        <f t="shared" ref="AS60:BB60" si="83">+AR60</f>
        <v>100530415.81999999</v>
      </c>
      <c r="AT60" s="14">
        <f t="shared" si="83"/>
        <v>100530415.81999999</v>
      </c>
      <c r="AU60" s="14">
        <f t="shared" si="83"/>
        <v>100530415.81999999</v>
      </c>
      <c r="AV60" s="230">
        <f t="shared" si="83"/>
        <v>100530415.81999999</v>
      </c>
      <c r="AW60" s="14">
        <f t="shared" si="83"/>
        <v>100530415.81999999</v>
      </c>
      <c r="AX60" s="14">
        <f t="shared" si="83"/>
        <v>100530415.81999999</v>
      </c>
      <c r="AY60" s="14">
        <f t="shared" si="83"/>
        <v>100530415.81999999</v>
      </c>
      <c r="AZ60" s="14">
        <f t="shared" si="83"/>
        <v>100530415.81999999</v>
      </c>
      <c r="BA60" s="14">
        <f t="shared" si="83"/>
        <v>100530415.81999999</v>
      </c>
      <c r="BB60" s="14">
        <f t="shared" si="83"/>
        <v>100530415.81999999</v>
      </c>
      <c r="BC60" s="14">
        <f>+BB60-BC21</f>
        <v>50530415.819999993</v>
      </c>
      <c r="BD60" s="14">
        <f t="shared" ref="BD60:BM60" si="84">+BC60</f>
        <v>50530415.819999993</v>
      </c>
      <c r="BE60" s="14">
        <f t="shared" si="84"/>
        <v>50530415.819999993</v>
      </c>
      <c r="BF60" s="14">
        <f t="shared" si="84"/>
        <v>50530415.819999993</v>
      </c>
      <c r="BG60" s="14">
        <f t="shared" si="84"/>
        <v>50530415.819999993</v>
      </c>
      <c r="BH60" s="14">
        <f t="shared" si="84"/>
        <v>50530415.819999993</v>
      </c>
      <c r="BI60" s="14">
        <f t="shared" si="84"/>
        <v>50530415.819999993</v>
      </c>
      <c r="BJ60" s="14">
        <f t="shared" si="84"/>
        <v>50530415.819999993</v>
      </c>
      <c r="BK60" s="14">
        <f t="shared" si="84"/>
        <v>50530415.819999993</v>
      </c>
      <c r="BL60" s="14">
        <f t="shared" si="84"/>
        <v>50530415.819999993</v>
      </c>
      <c r="BM60" s="14">
        <f t="shared" si="84"/>
        <v>50530415.819999993</v>
      </c>
      <c r="BN60" s="39">
        <f>+BM60+152036.84</f>
        <v>50682452.659999996</v>
      </c>
      <c r="BO60" s="14">
        <f t="shared" ref="BO60:BU60" si="85">+BN60</f>
        <v>50682452.659999996</v>
      </c>
      <c r="BP60" s="14">
        <f t="shared" si="85"/>
        <v>50682452.659999996</v>
      </c>
      <c r="BQ60" s="14">
        <f t="shared" si="85"/>
        <v>50682452.659999996</v>
      </c>
      <c r="BR60" s="14">
        <f t="shared" si="85"/>
        <v>50682452.659999996</v>
      </c>
      <c r="BS60" s="14">
        <f t="shared" si="85"/>
        <v>50682452.659999996</v>
      </c>
      <c r="BT60" s="14">
        <f t="shared" si="85"/>
        <v>50682452.659999996</v>
      </c>
      <c r="BU60" s="14">
        <f t="shared" si="85"/>
        <v>50682452.659999996</v>
      </c>
      <c r="BV60" s="14">
        <f>+BU60-BV21</f>
        <v>25682452.659999996</v>
      </c>
      <c r="BW60" s="14">
        <f t="shared" ref="BW60:CH60" si="86">+BV60</f>
        <v>25682452.659999996</v>
      </c>
      <c r="BX60" s="14">
        <f t="shared" si="86"/>
        <v>25682452.659999996</v>
      </c>
      <c r="BY60" s="14">
        <f t="shared" si="86"/>
        <v>25682452.659999996</v>
      </c>
      <c r="BZ60" s="14">
        <f t="shared" si="86"/>
        <v>25682452.659999996</v>
      </c>
      <c r="CA60" s="14">
        <f t="shared" si="86"/>
        <v>25682452.659999996</v>
      </c>
      <c r="CB60" s="14">
        <f t="shared" si="86"/>
        <v>25682452.659999996</v>
      </c>
      <c r="CC60" s="14">
        <f t="shared" si="86"/>
        <v>25682452.659999996</v>
      </c>
      <c r="CD60" s="14">
        <f t="shared" si="86"/>
        <v>25682452.659999996</v>
      </c>
      <c r="CE60" s="14">
        <f t="shared" si="86"/>
        <v>25682452.659999996</v>
      </c>
      <c r="CF60" s="14">
        <f t="shared" si="86"/>
        <v>25682452.659999996</v>
      </c>
      <c r="CG60" s="14">
        <f t="shared" si="86"/>
        <v>25682452.659999996</v>
      </c>
      <c r="CH60" s="14">
        <f t="shared" si="86"/>
        <v>25682452.659999996</v>
      </c>
      <c r="CI60" s="39">
        <f>+CH60+68962.72</f>
        <v>25751415.379999995</v>
      </c>
      <c r="CJ60" s="14">
        <f>+CI60</f>
        <v>25751415.379999995</v>
      </c>
      <c r="CK60" s="14">
        <f>+CJ60</f>
        <v>25751415.379999995</v>
      </c>
      <c r="CL60" s="14">
        <f>+CK60</f>
        <v>25751415.379999995</v>
      </c>
      <c r="CM60" s="14">
        <f>+CL60</f>
        <v>25751415.379999995</v>
      </c>
      <c r="CN60" s="14">
        <f>+CM60</f>
        <v>25751415.379999995</v>
      </c>
      <c r="CO60" s="14">
        <f>+CN60-CO21</f>
        <v>15751415.379999995</v>
      </c>
      <c r="CP60" s="14">
        <f>+CO60</f>
        <v>15751415.379999995</v>
      </c>
      <c r="CQ60" s="14">
        <f>+CP60</f>
        <v>15751415.379999995</v>
      </c>
      <c r="CR60" s="14">
        <f>+CQ60</f>
        <v>15751415.379999995</v>
      </c>
      <c r="CS60" s="14">
        <f>+CR60-CS21</f>
        <v>10751415.379999995</v>
      </c>
      <c r="CT60" s="14">
        <f t="shared" ref="CT60:DC60" si="87">+CS60</f>
        <v>10751415.379999995</v>
      </c>
      <c r="CU60" s="14">
        <f t="shared" si="87"/>
        <v>10751415.379999995</v>
      </c>
      <c r="CV60" s="14">
        <f t="shared" si="87"/>
        <v>10751415.379999995</v>
      </c>
      <c r="CW60" s="14">
        <f t="shared" si="87"/>
        <v>10751415.379999995</v>
      </c>
      <c r="CX60" s="14">
        <f t="shared" si="87"/>
        <v>10751415.379999995</v>
      </c>
      <c r="CY60" s="14">
        <f t="shared" si="87"/>
        <v>10751415.379999995</v>
      </c>
      <c r="CZ60" s="14">
        <f t="shared" si="87"/>
        <v>10751415.379999995</v>
      </c>
      <c r="DA60" s="14">
        <f t="shared" si="87"/>
        <v>10751415.379999995</v>
      </c>
      <c r="DB60" s="14">
        <f t="shared" si="87"/>
        <v>10751415.379999995</v>
      </c>
      <c r="DC60" s="14">
        <f t="shared" si="87"/>
        <v>10751415.379999995</v>
      </c>
      <c r="DD60" s="39">
        <f>+DC60+28565.51</f>
        <v>10779980.889999995</v>
      </c>
      <c r="DE60" s="93">
        <f t="shared" ref="DE60:DL60" si="88">+DD60</f>
        <v>10779980.889999995</v>
      </c>
      <c r="DF60" s="14">
        <f t="shared" si="88"/>
        <v>10779980.889999995</v>
      </c>
      <c r="DG60" s="14">
        <f t="shared" si="88"/>
        <v>10779980.889999995</v>
      </c>
      <c r="DH60" s="14">
        <f t="shared" si="88"/>
        <v>10779980.889999995</v>
      </c>
      <c r="DI60" s="14">
        <f t="shared" si="88"/>
        <v>10779980.889999995</v>
      </c>
      <c r="DJ60" s="14">
        <f t="shared" si="88"/>
        <v>10779980.889999995</v>
      </c>
      <c r="DK60" s="14">
        <f t="shared" si="88"/>
        <v>10779980.889999995</v>
      </c>
      <c r="DL60" s="14">
        <f t="shared" si="88"/>
        <v>10779980.889999995</v>
      </c>
      <c r="DM60" s="14">
        <f>+DL60-DM21</f>
        <v>779980.88999999501</v>
      </c>
      <c r="DN60" s="14">
        <f t="shared" ref="DN60:DY60" si="89">+DM60</f>
        <v>779980.88999999501</v>
      </c>
      <c r="DO60" s="14">
        <f t="shared" si="89"/>
        <v>779980.88999999501</v>
      </c>
      <c r="DP60" s="14">
        <f t="shared" si="89"/>
        <v>779980.88999999501</v>
      </c>
      <c r="DQ60" s="14">
        <f t="shared" si="89"/>
        <v>779980.88999999501</v>
      </c>
      <c r="DR60" s="93">
        <f t="shared" si="89"/>
        <v>779980.88999999501</v>
      </c>
      <c r="DS60" s="14">
        <f t="shared" si="89"/>
        <v>779980.88999999501</v>
      </c>
      <c r="DT60" s="14">
        <f t="shared" si="89"/>
        <v>779980.88999999501</v>
      </c>
      <c r="DU60" s="14">
        <f t="shared" si="89"/>
        <v>779980.88999999501</v>
      </c>
      <c r="DV60" s="14">
        <f t="shared" si="89"/>
        <v>779980.88999999501</v>
      </c>
      <c r="DW60" s="14">
        <f t="shared" si="89"/>
        <v>779980.88999999501</v>
      </c>
      <c r="DX60" s="14">
        <f t="shared" si="89"/>
        <v>779980.88999999501</v>
      </c>
      <c r="DY60" s="14">
        <f t="shared" si="89"/>
        <v>779980.88999999501</v>
      </c>
      <c r="DZ60" s="39">
        <f>+DY60+9628.85</f>
        <v>789609.73999999498</v>
      </c>
      <c r="EA60" s="14">
        <f t="shared" ref="EA60:ET60" si="90">+DZ60</f>
        <v>789609.73999999498</v>
      </c>
      <c r="EB60" s="14">
        <f t="shared" si="90"/>
        <v>789609.73999999498</v>
      </c>
      <c r="EC60" s="14">
        <f t="shared" si="90"/>
        <v>789609.73999999498</v>
      </c>
      <c r="ED60" s="14">
        <f t="shared" si="90"/>
        <v>789609.73999999498</v>
      </c>
      <c r="EE60" s="14">
        <f t="shared" si="90"/>
        <v>789609.73999999498</v>
      </c>
      <c r="EF60" s="14">
        <f t="shared" si="90"/>
        <v>789609.73999999498</v>
      </c>
      <c r="EG60" s="27">
        <f t="shared" si="90"/>
        <v>789609.73999999498</v>
      </c>
      <c r="EH60" s="14">
        <f t="shared" si="90"/>
        <v>789609.73999999498</v>
      </c>
      <c r="EI60" s="14">
        <f t="shared" si="90"/>
        <v>789609.73999999498</v>
      </c>
      <c r="EJ60" s="14">
        <f t="shared" si="90"/>
        <v>789609.73999999498</v>
      </c>
      <c r="EK60" s="80">
        <f t="shared" si="90"/>
        <v>789609.73999999498</v>
      </c>
      <c r="EL60" s="14">
        <f t="shared" si="90"/>
        <v>789609.73999999498</v>
      </c>
      <c r="EM60" s="14">
        <f t="shared" si="90"/>
        <v>789609.73999999498</v>
      </c>
      <c r="EN60" s="14">
        <f t="shared" si="90"/>
        <v>789609.73999999498</v>
      </c>
      <c r="EO60" s="14">
        <f t="shared" si="90"/>
        <v>789609.73999999498</v>
      </c>
      <c r="EP60" s="14">
        <f t="shared" si="90"/>
        <v>789609.73999999498</v>
      </c>
      <c r="EQ60" s="14">
        <f t="shared" si="90"/>
        <v>789609.73999999498</v>
      </c>
      <c r="ER60" s="14">
        <f t="shared" si="90"/>
        <v>789609.73999999498</v>
      </c>
      <c r="ES60" s="14">
        <f t="shared" si="90"/>
        <v>789609.73999999498</v>
      </c>
      <c r="ET60" s="14">
        <f t="shared" si="90"/>
        <v>789609.73999999498</v>
      </c>
      <c r="EU60" s="39">
        <f>+ET60+1597.73</f>
        <v>791207.46999999497</v>
      </c>
      <c r="EV60" s="14">
        <f t="shared" ref="EV60:FO60" si="91">+EU60</f>
        <v>791207.46999999497</v>
      </c>
      <c r="EW60" s="14">
        <f t="shared" si="91"/>
        <v>791207.46999999497</v>
      </c>
      <c r="EX60" s="14">
        <f t="shared" si="91"/>
        <v>791207.46999999497</v>
      </c>
      <c r="EY60" s="14">
        <f t="shared" si="91"/>
        <v>791207.46999999497</v>
      </c>
      <c r="EZ60" s="14">
        <f t="shared" si="91"/>
        <v>791207.46999999497</v>
      </c>
      <c r="FA60" s="14">
        <f t="shared" si="91"/>
        <v>791207.46999999497</v>
      </c>
      <c r="FB60" s="14">
        <f t="shared" si="91"/>
        <v>791207.46999999497</v>
      </c>
      <c r="FC60" s="14">
        <f t="shared" si="91"/>
        <v>791207.46999999497</v>
      </c>
      <c r="FD60" s="14">
        <f t="shared" si="91"/>
        <v>791207.46999999497</v>
      </c>
      <c r="FE60" s="230">
        <f t="shared" si="91"/>
        <v>791207.46999999497</v>
      </c>
      <c r="FF60" s="14">
        <f t="shared" si="91"/>
        <v>791207.46999999497</v>
      </c>
      <c r="FG60" s="14">
        <f t="shared" si="91"/>
        <v>791207.46999999497</v>
      </c>
      <c r="FH60" s="14">
        <f t="shared" si="91"/>
        <v>791207.46999999497</v>
      </c>
      <c r="FI60" s="230">
        <f t="shared" si="91"/>
        <v>791207.46999999497</v>
      </c>
      <c r="FJ60" s="14">
        <f t="shared" si="91"/>
        <v>791207.46999999497</v>
      </c>
      <c r="FK60" s="14">
        <f t="shared" si="91"/>
        <v>791207.46999999497</v>
      </c>
      <c r="FL60" s="80">
        <f t="shared" si="91"/>
        <v>791207.46999999497</v>
      </c>
      <c r="FM60" s="14">
        <f t="shared" si="91"/>
        <v>791207.46999999497</v>
      </c>
      <c r="FN60" s="14">
        <f t="shared" si="91"/>
        <v>791207.46999999497</v>
      </c>
      <c r="FO60" s="14">
        <f t="shared" si="91"/>
        <v>791207.46999999497</v>
      </c>
      <c r="FP60" s="39">
        <f>+FO60+1540.88</f>
        <v>792748.34999999497</v>
      </c>
      <c r="FQ60" s="14">
        <f t="shared" ref="FQ60:GK60" si="92">+FP60</f>
        <v>792748.34999999497</v>
      </c>
      <c r="FR60" s="14">
        <f t="shared" si="92"/>
        <v>792748.34999999497</v>
      </c>
      <c r="FS60" s="14">
        <f t="shared" si="92"/>
        <v>792748.34999999497</v>
      </c>
      <c r="FT60" s="14">
        <f t="shared" si="92"/>
        <v>792748.34999999497</v>
      </c>
      <c r="FU60" s="14">
        <f t="shared" si="92"/>
        <v>792748.34999999497</v>
      </c>
      <c r="FV60" s="14">
        <f t="shared" si="92"/>
        <v>792748.34999999497</v>
      </c>
      <c r="FW60" s="14">
        <f t="shared" si="92"/>
        <v>792748.34999999497</v>
      </c>
      <c r="FX60" s="14">
        <f t="shared" si="92"/>
        <v>792748.34999999497</v>
      </c>
      <c r="FY60" s="14">
        <f t="shared" si="92"/>
        <v>792748.34999999497</v>
      </c>
      <c r="FZ60" s="230">
        <f t="shared" si="92"/>
        <v>792748.34999999497</v>
      </c>
      <c r="GA60" s="14">
        <f t="shared" si="92"/>
        <v>792748.34999999497</v>
      </c>
      <c r="GB60" s="14">
        <f t="shared" si="92"/>
        <v>792748.34999999497</v>
      </c>
      <c r="GC60" s="14">
        <f t="shared" si="92"/>
        <v>792748.34999999497</v>
      </c>
      <c r="GD60" s="14">
        <f t="shared" si="92"/>
        <v>792748.34999999497</v>
      </c>
      <c r="GE60" s="14">
        <f t="shared" si="92"/>
        <v>792748.34999999497</v>
      </c>
      <c r="GF60" s="14">
        <f t="shared" si="92"/>
        <v>792748.34999999497</v>
      </c>
      <c r="GG60" s="14">
        <f t="shared" si="92"/>
        <v>792748.34999999497</v>
      </c>
      <c r="GH60" s="14">
        <f t="shared" si="92"/>
        <v>792748.34999999497</v>
      </c>
      <c r="GI60" s="14">
        <f t="shared" si="92"/>
        <v>792748.34999999497</v>
      </c>
      <c r="GJ60" s="14">
        <f t="shared" si="92"/>
        <v>792748.34999999497</v>
      </c>
      <c r="GK60" s="14">
        <f t="shared" si="92"/>
        <v>792748.34999999497</v>
      </c>
      <c r="GL60" s="39">
        <f>+GK60+1780.5</f>
        <v>794528.84999999497</v>
      </c>
      <c r="GM60" s="14">
        <f t="shared" ref="GM60:HC60" si="93">+GL60</f>
        <v>794528.84999999497</v>
      </c>
      <c r="GN60" s="14">
        <f t="shared" si="93"/>
        <v>794528.84999999497</v>
      </c>
      <c r="GO60" s="14">
        <f t="shared" si="93"/>
        <v>794528.84999999497</v>
      </c>
      <c r="GP60" s="14">
        <f t="shared" si="93"/>
        <v>794528.84999999497</v>
      </c>
      <c r="GQ60" s="14">
        <f t="shared" si="93"/>
        <v>794528.84999999497</v>
      </c>
      <c r="GR60" s="14">
        <f t="shared" si="93"/>
        <v>794528.84999999497</v>
      </c>
      <c r="GS60" s="14">
        <f t="shared" si="93"/>
        <v>794528.84999999497</v>
      </c>
      <c r="GT60" s="14">
        <f t="shared" si="93"/>
        <v>794528.84999999497</v>
      </c>
      <c r="GU60" s="243">
        <f t="shared" si="93"/>
        <v>794528.84999999497</v>
      </c>
      <c r="GV60" s="14">
        <f t="shared" si="93"/>
        <v>794528.84999999497</v>
      </c>
      <c r="GW60" s="14">
        <f t="shared" si="93"/>
        <v>794528.84999999497</v>
      </c>
      <c r="GX60" s="14">
        <f t="shared" si="93"/>
        <v>794528.84999999497</v>
      </c>
      <c r="GY60" s="14">
        <f t="shared" si="93"/>
        <v>794528.84999999497</v>
      </c>
      <c r="GZ60" s="14">
        <f t="shared" si="93"/>
        <v>794528.84999999497</v>
      </c>
      <c r="HA60" s="14">
        <f t="shared" si="93"/>
        <v>794528.84999999497</v>
      </c>
      <c r="HB60" s="14">
        <f t="shared" si="93"/>
        <v>794528.84999999497</v>
      </c>
      <c r="HC60" s="14">
        <f t="shared" si="93"/>
        <v>794528.84999999497</v>
      </c>
      <c r="HD60" s="39">
        <f>+HC60+1386.8</f>
        <v>795915.64999999502</v>
      </c>
      <c r="HE60" s="14">
        <f t="shared" ref="HE60:HY60" si="94">+HD60</f>
        <v>795915.64999999502</v>
      </c>
      <c r="HF60" s="14">
        <f t="shared" si="94"/>
        <v>795915.64999999502</v>
      </c>
      <c r="HG60" s="14">
        <f t="shared" si="94"/>
        <v>795915.64999999502</v>
      </c>
      <c r="HH60" s="14">
        <f t="shared" si="94"/>
        <v>795915.64999999502</v>
      </c>
      <c r="HI60" s="14">
        <f t="shared" si="94"/>
        <v>795915.64999999502</v>
      </c>
      <c r="HJ60" s="14">
        <f t="shared" si="94"/>
        <v>795915.64999999502</v>
      </c>
      <c r="HK60" s="14">
        <f t="shared" si="94"/>
        <v>795915.64999999502</v>
      </c>
      <c r="HL60" s="14">
        <f t="shared" si="94"/>
        <v>795915.64999999502</v>
      </c>
      <c r="HM60" s="14">
        <f t="shared" si="94"/>
        <v>795915.64999999502</v>
      </c>
      <c r="HN60" s="136">
        <f t="shared" si="94"/>
        <v>795915.64999999502</v>
      </c>
      <c r="HO60" s="80">
        <f t="shared" si="94"/>
        <v>795915.64999999502</v>
      </c>
      <c r="HP60" s="14">
        <f t="shared" si="94"/>
        <v>795915.64999999502</v>
      </c>
      <c r="HQ60" s="14">
        <f t="shared" si="94"/>
        <v>795915.64999999502</v>
      </c>
      <c r="HR60" s="14">
        <f t="shared" si="94"/>
        <v>795915.64999999502</v>
      </c>
      <c r="HS60" s="14">
        <f t="shared" si="94"/>
        <v>795915.64999999502</v>
      </c>
      <c r="HT60" s="14">
        <f t="shared" si="94"/>
        <v>795915.64999999502</v>
      </c>
      <c r="HU60" s="14">
        <f t="shared" si="94"/>
        <v>795915.64999999502</v>
      </c>
      <c r="HV60" s="14">
        <f t="shared" si="94"/>
        <v>795915.64999999502</v>
      </c>
      <c r="HW60" s="14">
        <f t="shared" si="94"/>
        <v>795915.64999999502</v>
      </c>
      <c r="HX60" s="14">
        <f t="shared" si="94"/>
        <v>795915.64999999502</v>
      </c>
      <c r="HY60" s="14">
        <f t="shared" si="94"/>
        <v>795915.64999999502</v>
      </c>
      <c r="HZ60" s="39">
        <f>+HY60+1208.05</f>
        <v>797123.69999999506</v>
      </c>
      <c r="IA60" s="14">
        <f t="shared" ref="IA60:IF60" si="95">+HZ60</f>
        <v>797123.69999999506</v>
      </c>
      <c r="IB60" s="14">
        <f t="shared" si="95"/>
        <v>797123.69999999506</v>
      </c>
      <c r="IC60" s="14">
        <f t="shared" si="95"/>
        <v>797123.69999999506</v>
      </c>
      <c r="ID60" s="14">
        <f t="shared" si="95"/>
        <v>797123.69999999506</v>
      </c>
      <c r="IE60" s="14">
        <f t="shared" si="95"/>
        <v>797123.69999999506</v>
      </c>
      <c r="IF60" s="14">
        <f t="shared" si="95"/>
        <v>797123.69999999506</v>
      </c>
      <c r="IG60" s="14">
        <f>+IF60+25000000</f>
        <v>25797123.699999996</v>
      </c>
      <c r="IH60" s="112">
        <f>+IG60</f>
        <v>25797123.699999996</v>
      </c>
      <c r="II60" s="14">
        <f>+IH60</f>
        <v>25797123.699999996</v>
      </c>
      <c r="IJ60" s="14">
        <f>+II60</f>
        <v>25797123.699999996</v>
      </c>
      <c r="IK60" s="14">
        <f>+IJ60</f>
        <v>25797123.699999996</v>
      </c>
      <c r="IL60" s="14">
        <f>+IK60+15000000</f>
        <v>40797123.699999996</v>
      </c>
      <c r="IM60" s="14">
        <f t="shared" ref="IM60:IT60" si="96">+IL60</f>
        <v>40797123.699999996</v>
      </c>
      <c r="IN60" s="14">
        <f t="shared" si="96"/>
        <v>40797123.699999996</v>
      </c>
      <c r="IO60" s="14">
        <f t="shared" si="96"/>
        <v>40797123.699999996</v>
      </c>
      <c r="IP60" s="14">
        <f t="shared" si="96"/>
        <v>40797123.699999996</v>
      </c>
      <c r="IQ60" s="14">
        <f t="shared" si="96"/>
        <v>40797123.699999996</v>
      </c>
      <c r="IR60" s="14">
        <f t="shared" si="96"/>
        <v>40797123.699999996</v>
      </c>
      <c r="IS60" s="14">
        <f t="shared" si="96"/>
        <v>40797123.699999996</v>
      </c>
      <c r="IT60" s="39">
        <f t="shared" si="96"/>
        <v>40797123.699999996</v>
      </c>
      <c r="IU60" s="14"/>
    </row>
    <row r="61" spans="1:256" s="8" customFormat="1" ht="14.1" customHeight="1">
      <c r="A61" s="14" t="s">
        <v>20</v>
      </c>
      <c r="B61" s="22"/>
      <c r="C61" s="41">
        <v>30380.63</v>
      </c>
      <c r="D61" s="23">
        <f>C61-D25</f>
        <v>30380.63</v>
      </c>
      <c r="E61" s="23">
        <f>D61-E25</f>
        <v>30380.63</v>
      </c>
      <c r="F61" s="23">
        <f>E61-F25</f>
        <v>30380.63</v>
      </c>
      <c r="G61" s="23">
        <f>F61-G25</f>
        <v>30380.63</v>
      </c>
      <c r="H61" s="23">
        <f>G61-H25+50000000+50000000</f>
        <v>50030380.630000003</v>
      </c>
      <c r="I61" s="23">
        <f t="shared" ref="I61:V61" si="97">H61-I25</f>
        <v>50030380.630000003</v>
      </c>
      <c r="J61" s="23">
        <f t="shared" si="97"/>
        <v>50030380.630000003</v>
      </c>
      <c r="K61" s="23">
        <f t="shared" si="97"/>
        <v>50030380.630000003</v>
      </c>
      <c r="L61" s="23">
        <f t="shared" si="97"/>
        <v>50030380.630000003</v>
      </c>
      <c r="M61" s="23">
        <f t="shared" si="97"/>
        <v>50030380.630000003</v>
      </c>
      <c r="N61" s="231">
        <f t="shared" si="97"/>
        <v>50030380.630000003</v>
      </c>
      <c r="O61" s="23">
        <f t="shared" si="97"/>
        <v>50030380.630000003</v>
      </c>
      <c r="P61" s="23">
        <f t="shared" si="97"/>
        <v>50030380.630000003</v>
      </c>
      <c r="Q61" s="23">
        <f t="shared" si="97"/>
        <v>50030380.630000003</v>
      </c>
      <c r="R61" s="23">
        <f t="shared" si="97"/>
        <v>50030380.630000003</v>
      </c>
      <c r="S61" s="23">
        <f t="shared" si="97"/>
        <v>50030380.630000003</v>
      </c>
      <c r="T61" s="23">
        <f t="shared" si="97"/>
        <v>50030380.630000003</v>
      </c>
      <c r="U61" s="23">
        <f t="shared" si="97"/>
        <v>50030380.630000003</v>
      </c>
      <c r="V61" s="23">
        <f t="shared" si="97"/>
        <v>50030380.630000003</v>
      </c>
      <c r="W61" s="41">
        <f>V61-W25+109339.13</f>
        <v>50139719.760000005</v>
      </c>
      <c r="X61" s="23">
        <f t="shared" ref="X61:AQ61" si="98">W61-X25</f>
        <v>50139719.760000005</v>
      </c>
      <c r="Y61" s="23">
        <f t="shared" si="98"/>
        <v>50139719.760000005</v>
      </c>
      <c r="Z61" s="23">
        <f t="shared" si="98"/>
        <v>50139719.760000005</v>
      </c>
      <c r="AA61" s="23">
        <f t="shared" si="98"/>
        <v>50139719.760000005</v>
      </c>
      <c r="AB61" s="23">
        <f t="shared" si="98"/>
        <v>50139719.760000005</v>
      </c>
      <c r="AC61" s="23">
        <f t="shared" si="98"/>
        <v>50139719.760000005</v>
      </c>
      <c r="AD61" s="23">
        <f t="shared" si="98"/>
        <v>50139719.760000005</v>
      </c>
      <c r="AE61" s="23">
        <f t="shared" si="98"/>
        <v>50139719.760000005</v>
      </c>
      <c r="AF61" s="231">
        <f t="shared" si="98"/>
        <v>50139719.760000005</v>
      </c>
      <c r="AG61" s="23">
        <f t="shared" si="98"/>
        <v>50139719.760000005</v>
      </c>
      <c r="AH61" s="23">
        <f t="shared" si="98"/>
        <v>50139719.760000005</v>
      </c>
      <c r="AI61" s="23">
        <f t="shared" si="98"/>
        <v>50139719.760000005</v>
      </c>
      <c r="AJ61" s="23">
        <f t="shared" si="98"/>
        <v>50139719.760000005</v>
      </c>
      <c r="AK61" s="23">
        <f t="shared" si="98"/>
        <v>50139719.760000005</v>
      </c>
      <c r="AL61" s="23">
        <f t="shared" si="98"/>
        <v>50139719.760000005</v>
      </c>
      <c r="AM61" s="23">
        <f t="shared" si="98"/>
        <v>50139719.760000005</v>
      </c>
      <c r="AN61" s="23">
        <f t="shared" si="98"/>
        <v>50139719.760000005</v>
      </c>
      <c r="AO61" s="23">
        <f t="shared" si="98"/>
        <v>50139719.760000005</v>
      </c>
      <c r="AP61" s="23">
        <f t="shared" si="98"/>
        <v>50139719.760000005</v>
      </c>
      <c r="AQ61" s="23">
        <f t="shared" si="98"/>
        <v>50139719.760000005</v>
      </c>
      <c r="AR61" s="41">
        <f>AQ61-AR25+132757.7</f>
        <v>50272477.460000008</v>
      </c>
      <c r="AS61" s="23">
        <f t="shared" ref="AS61:BM61" si="99">AR61-AS25</f>
        <v>50272477.460000008</v>
      </c>
      <c r="AT61" s="23">
        <f t="shared" si="99"/>
        <v>50272477.460000008</v>
      </c>
      <c r="AU61" s="23">
        <f t="shared" si="99"/>
        <v>50272477.460000008</v>
      </c>
      <c r="AV61" s="231">
        <f t="shared" si="99"/>
        <v>50272477.460000008</v>
      </c>
      <c r="AW61" s="23">
        <f t="shared" si="99"/>
        <v>50272477.460000008</v>
      </c>
      <c r="AX61" s="23">
        <f t="shared" si="99"/>
        <v>50272477.460000008</v>
      </c>
      <c r="AY61" s="23">
        <f t="shared" si="99"/>
        <v>50272477.460000008</v>
      </c>
      <c r="AZ61" s="23">
        <f t="shared" si="99"/>
        <v>50272477.460000008</v>
      </c>
      <c r="BA61" s="23">
        <f t="shared" si="99"/>
        <v>50272477.460000008</v>
      </c>
      <c r="BB61" s="23">
        <f t="shared" si="99"/>
        <v>50272477.460000008</v>
      </c>
      <c r="BC61" s="23">
        <f t="shared" si="99"/>
        <v>50272477.460000008</v>
      </c>
      <c r="BD61" s="23">
        <f t="shared" si="99"/>
        <v>50272477.460000008</v>
      </c>
      <c r="BE61" s="23">
        <f t="shared" si="99"/>
        <v>50272477.460000008</v>
      </c>
      <c r="BF61" s="23">
        <f t="shared" si="99"/>
        <v>50272477.460000008</v>
      </c>
      <c r="BG61" s="23">
        <f t="shared" si="99"/>
        <v>50272477.460000008</v>
      </c>
      <c r="BH61" s="23">
        <f t="shared" si="99"/>
        <v>50272477.460000008</v>
      </c>
      <c r="BI61" s="23">
        <f t="shared" si="99"/>
        <v>50272477.460000008</v>
      </c>
      <c r="BJ61" s="23">
        <f t="shared" si="99"/>
        <v>50272477.460000008</v>
      </c>
      <c r="BK61" s="23">
        <f t="shared" si="99"/>
        <v>50272477.460000008</v>
      </c>
      <c r="BL61" s="23">
        <f t="shared" si="99"/>
        <v>50272477.460000008</v>
      </c>
      <c r="BM61" s="23">
        <f t="shared" si="99"/>
        <v>50272477.460000008</v>
      </c>
      <c r="BN61" s="41">
        <f>BM61-BN25+106957.05</f>
        <v>50379434.510000005</v>
      </c>
      <c r="BO61" s="23">
        <f t="shared" ref="BO61:CH61" si="100">BN61-BO25</f>
        <v>50379434.510000005</v>
      </c>
      <c r="BP61" s="23">
        <f t="shared" si="100"/>
        <v>50379434.510000005</v>
      </c>
      <c r="BQ61" s="23">
        <f t="shared" si="100"/>
        <v>50379434.510000005</v>
      </c>
      <c r="BR61" s="23">
        <f t="shared" si="100"/>
        <v>50379434.510000005</v>
      </c>
      <c r="BS61" s="23">
        <f t="shared" si="100"/>
        <v>50379434.510000005</v>
      </c>
      <c r="BT61" s="23">
        <f t="shared" si="100"/>
        <v>50379434.510000005</v>
      </c>
      <c r="BU61" s="23">
        <f t="shared" si="100"/>
        <v>50379434.510000005</v>
      </c>
      <c r="BV61" s="23">
        <f t="shared" si="100"/>
        <v>35379434.510000005</v>
      </c>
      <c r="BW61" s="23">
        <f t="shared" si="100"/>
        <v>35379434.510000005</v>
      </c>
      <c r="BX61" s="23">
        <f t="shared" si="100"/>
        <v>35379434.510000005</v>
      </c>
      <c r="BY61" s="23">
        <f t="shared" si="100"/>
        <v>35379434.510000005</v>
      </c>
      <c r="BZ61" s="23">
        <f t="shared" si="100"/>
        <v>35379434.510000005</v>
      </c>
      <c r="CA61" s="23">
        <f t="shared" si="100"/>
        <v>35379434.510000005</v>
      </c>
      <c r="CB61" s="23">
        <f t="shared" si="100"/>
        <v>35379434.510000005</v>
      </c>
      <c r="CC61" s="23">
        <f t="shared" si="100"/>
        <v>35379434.510000005</v>
      </c>
      <c r="CD61" s="23">
        <f t="shared" si="100"/>
        <v>35379434.510000005</v>
      </c>
      <c r="CE61" s="23">
        <f t="shared" si="100"/>
        <v>35379434.510000005</v>
      </c>
      <c r="CF61" s="23">
        <f t="shared" si="100"/>
        <v>35379434.510000005</v>
      </c>
      <c r="CG61" s="23">
        <f t="shared" si="100"/>
        <v>35379434.510000005</v>
      </c>
      <c r="CH61" s="23">
        <f t="shared" si="100"/>
        <v>35379434.510000005</v>
      </c>
      <c r="CI61" s="41">
        <f>CH61-CI25+82838.42</f>
        <v>35462272.930000007</v>
      </c>
      <c r="CJ61" s="23">
        <f t="shared" ref="CJ61:DC61" si="101">CI61-CJ25</f>
        <v>35462272.930000007</v>
      </c>
      <c r="CK61" s="23">
        <f t="shared" si="101"/>
        <v>35462272.930000007</v>
      </c>
      <c r="CL61" s="23">
        <f t="shared" si="101"/>
        <v>35462272.930000007</v>
      </c>
      <c r="CM61" s="23">
        <f t="shared" si="101"/>
        <v>35462272.930000007</v>
      </c>
      <c r="CN61" s="23">
        <f t="shared" si="101"/>
        <v>25462272.930000007</v>
      </c>
      <c r="CO61" s="23">
        <f t="shared" si="101"/>
        <v>25462272.930000007</v>
      </c>
      <c r="CP61" s="23">
        <f t="shared" si="101"/>
        <v>25462272.930000007</v>
      </c>
      <c r="CQ61" s="23">
        <f t="shared" si="101"/>
        <v>25462272.930000007</v>
      </c>
      <c r="CR61" s="23">
        <f t="shared" si="101"/>
        <v>25462272.930000007</v>
      </c>
      <c r="CS61" s="23">
        <f t="shared" si="101"/>
        <v>20462272.930000007</v>
      </c>
      <c r="CT61" s="23">
        <f t="shared" si="101"/>
        <v>20462272.930000007</v>
      </c>
      <c r="CU61" s="23">
        <f t="shared" si="101"/>
        <v>20462272.930000007</v>
      </c>
      <c r="CV61" s="23">
        <f t="shared" si="101"/>
        <v>20462272.930000007</v>
      </c>
      <c r="CW61" s="23">
        <f t="shared" si="101"/>
        <v>20462272.930000007</v>
      </c>
      <c r="CX61" s="23">
        <f t="shared" si="101"/>
        <v>20462272.930000007</v>
      </c>
      <c r="CY61" s="23">
        <f t="shared" si="101"/>
        <v>20462272.930000007</v>
      </c>
      <c r="CZ61" s="23">
        <f t="shared" si="101"/>
        <v>20462272.930000007</v>
      </c>
      <c r="DA61" s="23">
        <f t="shared" si="101"/>
        <v>20462272.930000007</v>
      </c>
      <c r="DB61" s="23">
        <f t="shared" si="101"/>
        <v>20462272.930000007</v>
      </c>
      <c r="DC61" s="23">
        <f t="shared" si="101"/>
        <v>20462272.930000007</v>
      </c>
      <c r="DD61" s="41">
        <f>DC61-DD25+46861.45</f>
        <v>20509134.380000006</v>
      </c>
      <c r="DE61" s="94">
        <f t="shared" ref="DE61:DY61" si="102">DD61-DE25</f>
        <v>20509134.380000006</v>
      </c>
      <c r="DF61" s="23">
        <f t="shared" si="102"/>
        <v>20509134.380000006</v>
      </c>
      <c r="DG61" s="23">
        <f t="shared" si="102"/>
        <v>20509134.380000006</v>
      </c>
      <c r="DH61" s="23">
        <f t="shared" si="102"/>
        <v>20509134.380000006</v>
      </c>
      <c r="DI61" s="23">
        <f t="shared" si="102"/>
        <v>20509134.380000006</v>
      </c>
      <c r="DJ61" s="23">
        <f t="shared" si="102"/>
        <v>20509134.380000006</v>
      </c>
      <c r="DK61" s="23">
        <f t="shared" si="102"/>
        <v>20509134.380000006</v>
      </c>
      <c r="DL61" s="23">
        <f t="shared" si="102"/>
        <v>20509134.380000006</v>
      </c>
      <c r="DM61" s="23">
        <f t="shared" si="102"/>
        <v>10509134.380000006</v>
      </c>
      <c r="DN61" s="23">
        <f t="shared" si="102"/>
        <v>10509134.380000006</v>
      </c>
      <c r="DO61" s="23">
        <f t="shared" si="102"/>
        <v>509134.38000000641</v>
      </c>
      <c r="DP61" s="23">
        <f t="shared" si="102"/>
        <v>509134.38000000641</v>
      </c>
      <c r="DQ61" s="23">
        <f t="shared" si="102"/>
        <v>509134.38000000641</v>
      </c>
      <c r="DR61" s="94">
        <f t="shared" si="102"/>
        <v>509134.38000000641</v>
      </c>
      <c r="DS61" s="23">
        <f t="shared" si="102"/>
        <v>509134.38000000641</v>
      </c>
      <c r="DT61" s="23">
        <f t="shared" si="102"/>
        <v>509134.38000000641</v>
      </c>
      <c r="DU61" s="23">
        <f t="shared" si="102"/>
        <v>509134.38000000641</v>
      </c>
      <c r="DV61" s="23">
        <f t="shared" si="102"/>
        <v>509134.38000000641</v>
      </c>
      <c r="DW61" s="23">
        <f t="shared" si="102"/>
        <v>509134.38000000641</v>
      </c>
      <c r="DX61" s="23">
        <f t="shared" si="102"/>
        <v>509134.38000000641</v>
      </c>
      <c r="DY61" s="23">
        <f t="shared" si="102"/>
        <v>509134.38000000641</v>
      </c>
      <c r="DZ61" s="41">
        <f>DY61-DZ25+19445.57</f>
        <v>528579.95000000636</v>
      </c>
      <c r="EA61" s="23">
        <f t="shared" ref="EA61:ET61" si="103">DZ61-EA25</f>
        <v>528579.95000000636</v>
      </c>
      <c r="EB61" s="23">
        <f t="shared" si="103"/>
        <v>528579.95000000636</v>
      </c>
      <c r="EC61" s="23">
        <f t="shared" si="103"/>
        <v>528579.95000000636</v>
      </c>
      <c r="ED61" s="23">
        <f t="shared" si="103"/>
        <v>528579.95000000636</v>
      </c>
      <c r="EE61" s="23">
        <f t="shared" si="103"/>
        <v>528579.95000000636</v>
      </c>
      <c r="EF61" s="23">
        <f t="shared" si="103"/>
        <v>528579.95000000636</v>
      </c>
      <c r="EG61" s="28">
        <f t="shared" si="103"/>
        <v>528579.95000000636</v>
      </c>
      <c r="EH61" s="23">
        <f t="shared" si="103"/>
        <v>528579.95000000636</v>
      </c>
      <c r="EI61" s="23">
        <f t="shared" si="103"/>
        <v>528579.95000000636</v>
      </c>
      <c r="EJ61" s="23">
        <f t="shared" si="103"/>
        <v>528579.95000000636</v>
      </c>
      <c r="EK61" s="81">
        <f t="shared" si="103"/>
        <v>528579.95000000636</v>
      </c>
      <c r="EL61" s="23">
        <f t="shared" si="103"/>
        <v>528579.95000000636</v>
      </c>
      <c r="EM61" s="23">
        <f t="shared" si="103"/>
        <v>528579.95000000636</v>
      </c>
      <c r="EN61" s="23">
        <f t="shared" si="103"/>
        <v>528579.95000000636</v>
      </c>
      <c r="EO61" s="23">
        <f t="shared" si="103"/>
        <v>528579.95000000636</v>
      </c>
      <c r="EP61" s="23">
        <f t="shared" si="103"/>
        <v>528579.95000000636</v>
      </c>
      <c r="EQ61" s="23">
        <f t="shared" si="103"/>
        <v>528579.95000000636</v>
      </c>
      <c r="ER61" s="23">
        <f t="shared" si="103"/>
        <v>528579.95000000636</v>
      </c>
      <c r="ES61" s="23">
        <f t="shared" si="103"/>
        <v>528579.95000000636</v>
      </c>
      <c r="ET61" s="23">
        <f t="shared" si="103"/>
        <v>528579.95000000636</v>
      </c>
      <c r="EU61" s="41">
        <f>ET61-EU25+1077.97</f>
        <v>529657.92000000633</v>
      </c>
      <c r="EV61" s="23">
        <f t="shared" ref="EV61:FE61" si="104">EU61-EV25</f>
        <v>529657.92000000633</v>
      </c>
      <c r="EW61" s="23">
        <f t="shared" si="104"/>
        <v>529657.92000000633</v>
      </c>
      <c r="EX61" s="23">
        <f t="shared" si="104"/>
        <v>529657.92000000633</v>
      </c>
      <c r="EY61" s="23">
        <f t="shared" si="104"/>
        <v>529657.92000000633</v>
      </c>
      <c r="EZ61" s="23">
        <f t="shared" si="104"/>
        <v>529657.92000000633</v>
      </c>
      <c r="FA61" s="23">
        <f t="shared" si="104"/>
        <v>529657.92000000633</v>
      </c>
      <c r="FB61" s="23">
        <f t="shared" si="104"/>
        <v>529657.92000000633</v>
      </c>
      <c r="FC61" s="23">
        <f t="shared" si="104"/>
        <v>529657.92000000633</v>
      </c>
      <c r="FD61" s="23">
        <f t="shared" si="104"/>
        <v>529657.92000000633</v>
      </c>
      <c r="FE61" s="231">
        <f t="shared" si="104"/>
        <v>529657.92000000633</v>
      </c>
      <c r="FF61" s="23">
        <f>FE61-FF25+686.05-3983.51</f>
        <v>526360.46000000637</v>
      </c>
      <c r="FG61" s="23">
        <f t="shared" ref="FG61:FO61" si="105">FF61-FG25</f>
        <v>526360.46000000637</v>
      </c>
      <c r="FH61" s="23">
        <f t="shared" si="105"/>
        <v>526360.46000000637</v>
      </c>
      <c r="FI61" s="231">
        <f t="shared" si="105"/>
        <v>526360.46000000637</v>
      </c>
      <c r="FJ61" s="23">
        <f t="shared" si="105"/>
        <v>526360.46000000637</v>
      </c>
      <c r="FK61" s="23">
        <f t="shared" si="105"/>
        <v>526360.46000000637</v>
      </c>
      <c r="FL61" s="81">
        <f t="shared" si="105"/>
        <v>526360.46000000637</v>
      </c>
      <c r="FM61" s="23">
        <f t="shared" si="105"/>
        <v>526360.46000000637</v>
      </c>
      <c r="FN61" s="23">
        <f t="shared" si="105"/>
        <v>526360.46000000637</v>
      </c>
      <c r="FO61" s="23">
        <f t="shared" si="105"/>
        <v>526360.46000000637</v>
      </c>
      <c r="FP61" s="41">
        <f>FO61-FP25+1036</f>
        <v>527396.46000000637</v>
      </c>
      <c r="FQ61" s="23">
        <f>FP61-FQ25</f>
        <v>527396.46000000637</v>
      </c>
      <c r="FR61" s="23">
        <f>FQ61-FR25</f>
        <v>527396.46000000637</v>
      </c>
      <c r="FS61" s="23">
        <f>FR61-FS25</f>
        <v>527396.46000000637</v>
      </c>
      <c r="FT61" s="23">
        <f>FS61-FT25</f>
        <v>527396.46000000637</v>
      </c>
      <c r="FU61" s="23">
        <f>FT61-FU25-686.05+3983.51</f>
        <v>530693.92000000633</v>
      </c>
      <c r="FV61" s="23">
        <f t="shared" ref="FV61:GK61" si="106">FU61-FV25</f>
        <v>530693.92000000633</v>
      </c>
      <c r="FW61" s="23">
        <f t="shared" si="106"/>
        <v>530693.92000000633</v>
      </c>
      <c r="FX61" s="23">
        <f t="shared" si="106"/>
        <v>530693.92000000633</v>
      </c>
      <c r="FY61" s="23">
        <f t="shared" si="106"/>
        <v>530693.92000000633</v>
      </c>
      <c r="FZ61" s="231">
        <f t="shared" si="106"/>
        <v>530693.92000000633</v>
      </c>
      <c r="GA61" s="23">
        <f t="shared" si="106"/>
        <v>530693.92000000633</v>
      </c>
      <c r="GB61" s="23">
        <f t="shared" si="106"/>
        <v>530693.92000000633</v>
      </c>
      <c r="GC61" s="23">
        <f t="shared" si="106"/>
        <v>530693.92000000633</v>
      </c>
      <c r="GD61" s="23">
        <f t="shared" si="106"/>
        <v>530693.92000000633</v>
      </c>
      <c r="GE61" s="23">
        <f t="shared" si="106"/>
        <v>530693.92000000633</v>
      </c>
      <c r="GF61" s="23">
        <f t="shared" si="106"/>
        <v>530693.92000000633</v>
      </c>
      <c r="GG61" s="23">
        <f t="shared" si="106"/>
        <v>530693.92000000633</v>
      </c>
      <c r="GH61" s="23">
        <f t="shared" si="106"/>
        <v>530693.92000000633</v>
      </c>
      <c r="GI61" s="23">
        <f t="shared" si="106"/>
        <v>530693.92000000633</v>
      </c>
      <c r="GJ61" s="23">
        <f t="shared" si="106"/>
        <v>530693.92000000633</v>
      </c>
      <c r="GK61" s="23">
        <f t="shared" si="106"/>
        <v>530693.92000000633</v>
      </c>
      <c r="GL61" s="41">
        <f>GK61-GL25+918.65</f>
        <v>531612.57000000635</v>
      </c>
      <c r="GM61" s="23">
        <f t="shared" ref="GM61:HC61" si="107">GL61-GM25</f>
        <v>531612.57000000635</v>
      </c>
      <c r="GN61" s="23">
        <f t="shared" si="107"/>
        <v>531612.57000000635</v>
      </c>
      <c r="GO61" s="23">
        <f t="shared" si="107"/>
        <v>531612.57000000635</v>
      </c>
      <c r="GP61" s="23">
        <f t="shared" si="107"/>
        <v>531612.57000000635</v>
      </c>
      <c r="GQ61" s="23">
        <f t="shared" si="107"/>
        <v>531612.57000000635</v>
      </c>
      <c r="GR61" s="23">
        <f t="shared" si="107"/>
        <v>531612.57000000635</v>
      </c>
      <c r="GS61" s="23">
        <f t="shared" si="107"/>
        <v>531612.57000000635</v>
      </c>
      <c r="GT61" s="23">
        <f t="shared" si="107"/>
        <v>531612.57000000635</v>
      </c>
      <c r="GU61" s="244">
        <f t="shared" si="107"/>
        <v>531612.57000000635</v>
      </c>
      <c r="GV61" s="23">
        <f t="shared" si="107"/>
        <v>531612.57000000635</v>
      </c>
      <c r="GW61" s="23">
        <f t="shared" si="107"/>
        <v>531612.57000000635</v>
      </c>
      <c r="GX61" s="23">
        <f t="shared" si="107"/>
        <v>531612.57000000635</v>
      </c>
      <c r="GY61" s="23">
        <f t="shared" si="107"/>
        <v>531612.57000000635</v>
      </c>
      <c r="GZ61" s="23">
        <f t="shared" si="107"/>
        <v>531612.57000000635</v>
      </c>
      <c r="HA61" s="23">
        <f t="shared" si="107"/>
        <v>531612.57000000635</v>
      </c>
      <c r="HB61" s="23">
        <f t="shared" si="107"/>
        <v>531612.57000000635</v>
      </c>
      <c r="HC61" s="23">
        <f t="shared" si="107"/>
        <v>531612.57000000635</v>
      </c>
      <c r="HD61" s="41">
        <f>HC61-HD25+739.44</f>
        <v>532352.0100000063</v>
      </c>
      <c r="HE61" s="23">
        <f t="shared" ref="HE61:HY61" si="108">HD61-HE25</f>
        <v>532352.0100000063</v>
      </c>
      <c r="HF61" s="23">
        <f t="shared" si="108"/>
        <v>532352.0100000063</v>
      </c>
      <c r="HG61" s="23">
        <f t="shared" si="108"/>
        <v>532352.0100000063</v>
      </c>
      <c r="HH61" s="23">
        <f t="shared" si="108"/>
        <v>532352.0100000063</v>
      </c>
      <c r="HI61" s="23">
        <f t="shared" si="108"/>
        <v>532352.0100000063</v>
      </c>
      <c r="HJ61" s="23">
        <f t="shared" si="108"/>
        <v>532352.0100000063</v>
      </c>
      <c r="HK61" s="23">
        <f t="shared" si="108"/>
        <v>532352.0100000063</v>
      </c>
      <c r="HL61" s="23">
        <f t="shared" si="108"/>
        <v>532352.0100000063</v>
      </c>
      <c r="HM61" s="23">
        <f t="shared" si="108"/>
        <v>532352.0100000063</v>
      </c>
      <c r="HN61" s="137">
        <f t="shared" si="108"/>
        <v>532352.0100000063</v>
      </c>
      <c r="HO61" s="81">
        <f t="shared" si="108"/>
        <v>532352.0100000063</v>
      </c>
      <c r="HP61" s="23">
        <f t="shared" si="108"/>
        <v>532352.0100000063</v>
      </c>
      <c r="HQ61" s="23">
        <f t="shared" si="108"/>
        <v>532352.0100000063</v>
      </c>
      <c r="HR61" s="23">
        <f t="shared" si="108"/>
        <v>532352.0100000063</v>
      </c>
      <c r="HS61" s="23">
        <f t="shared" si="108"/>
        <v>532352.0100000063</v>
      </c>
      <c r="HT61" s="23">
        <f t="shared" si="108"/>
        <v>532352.0100000063</v>
      </c>
      <c r="HU61" s="23">
        <f t="shared" si="108"/>
        <v>532352.0100000063</v>
      </c>
      <c r="HV61" s="23">
        <f t="shared" si="108"/>
        <v>532352.0100000063</v>
      </c>
      <c r="HW61" s="23">
        <f t="shared" si="108"/>
        <v>532352.0100000063</v>
      </c>
      <c r="HX61" s="23">
        <f t="shared" si="108"/>
        <v>532352.0100000063</v>
      </c>
      <c r="HY61" s="23">
        <f t="shared" si="108"/>
        <v>532352.0100000063</v>
      </c>
      <c r="HZ61" s="41">
        <f>HY61-HZ25+619.63</f>
        <v>532971.6400000063</v>
      </c>
      <c r="IA61" s="23">
        <f t="shared" ref="IA61:IF61" si="109">HZ61-IA25</f>
        <v>532971.6400000063</v>
      </c>
      <c r="IB61" s="23">
        <f t="shared" si="109"/>
        <v>532971.6400000063</v>
      </c>
      <c r="IC61" s="23">
        <f t="shared" si="109"/>
        <v>532971.6400000063</v>
      </c>
      <c r="ID61" s="23">
        <f t="shared" si="109"/>
        <v>532971.6400000063</v>
      </c>
      <c r="IE61" s="23">
        <f t="shared" si="109"/>
        <v>532971.6400000063</v>
      </c>
      <c r="IF61" s="23">
        <f t="shared" si="109"/>
        <v>532971.6400000063</v>
      </c>
      <c r="IG61" s="23">
        <f>IF61-IG25+25000000</f>
        <v>25532971.640000008</v>
      </c>
      <c r="IH61" s="113">
        <f>IG61-IH25</f>
        <v>25532971.640000008</v>
      </c>
      <c r="II61" s="23">
        <f>IH61-II25</f>
        <v>25532971.640000008</v>
      </c>
      <c r="IJ61" s="23">
        <f>II61-IJ25</f>
        <v>25532971.640000008</v>
      </c>
      <c r="IK61" s="23">
        <f>IJ61-IK25</f>
        <v>25532971.640000008</v>
      </c>
      <c r="IL61" s="23">
        <f>IK61-IL25+10000000</f>
        <v>35532971.640000008</v>
      </c>
      <c r="IM61" s="23">
        <f t="shared" ref="IM61:IT61" si="110">IL61-IM25</f>
        <v>35532971.640000008</v>
      </c>
      <c r="IN61" s="23">
        <f t="shared" si="110"/>
        <v>35532971.640000008</v>
      </c>
      <c r="IO61" s="23">
        <f t="shared" si="110"/>
        <v>35532971.640000008</v>
      </c>
      <c r="IP61" s="23">
        <f t="shared" si="110"/>
        <v>35532971.640000008</v>
      </c>
      <c r="IQ61" s="23">
        <f t="shared" si="110"/>
        <v>35532971.640000008</v>
      </c>
      <c r="IR61" s="23">
        <f t="shared" si="110"/>
        <v>35532971.640000008</v>
      </c>
      <c r="IS61" s="23">
        <f t="shared" si="110"/>
        <v>35532971.640000008</v>
      </c>
      <c r="IT61" s="41">
        <f t="shared" si="110"/>
        <v>35532971.640000008</v>
      </c>
      <c r="IU61" s="23"/>
    </row>
    <row r="62" spans="1:256" s="8" customFormat="1" ht="14.1" customHeight="1">
      <c r="A62" s="9" t="s">
        <v>21</v>
      </c>
      <c r="B62" s="15"/>
      <c r="C62" s="40">
        <f t="shared" ref="C62:BN62" si="111">SUM(C55:C61)</f>
        <v>330479660.28999996</v>
      </c>
      <c r="D62" s="9">
        <f t="shared" si="111"/>
        <v>385479660.28999996</v>
      </c>
      <c r="E62" s="9">
        <f t="shared" si="111"/>
        <v>389279660.28999996</v>
      </c>
      <c r="F62" s="9">
        <f t="shared" si="111"/>
        <v>426279660.28999996</v>
      </c>
      <c r="G62" s="9">
        <f t="shared" si="111"/>
        <v>467479660.28999996</v>
      </c>
      <c r="H62" s="9">
        <f t="shared" si="111"/>
        <v>493279660.28999996</v>
      </c>
      <c r="I62" s="9">
        <f t="shared" si="111"/>
        <v>510579660.28999996</v>
      </c>
      <c r="J62" s="9">
        <f t="shared" si="111"/>
        <v>509779660.28999996</v>
      </c>
      <c r="K62" s="9">
        <f t="shared" si="111"/>
        <v>508779660.28999996</v>
      </c>
      <c r="L62" s="9">
        <f t="shared" si="111"/>
        <v>560479660.28999996</v>
      </c>
      <c r="M62" s="9">
        <f t="shared" si="111"/>
        <v>560079660.28999996</v>
      </c>
      <c r="N62" s="232">
        <f t="shared" si="111"/>
        <v>501179660.28999996</v>
      </c>
      <c r="O62" s="9">
        <f t="shared" si="111"/>
        <v>503479660.28999996</v>
      </c>
      <c r="P62" s="9">
        <f t="shared" si="111"/>
        <v>507879660.28999996</v>
      </c>
      <c r="Q62" s="9">
        <f t="shared" si="111"/>
        <v>501179660.28999996</v>
      </c>
      <c r="R62" s="9">
        <f t="shared" si="111"/>
        <v>506279660.28999996</v>
      </c>
      <c r="S62" s="9">
        <f t="shared" si="111"/>
        <v>500679660.28999996</v>
      </c>
      <c r="T62" s="9">
        <f t="shared" si="111"/>
        <v>500879660.28999996</v>
      </c>
      <c r="U62" s="9">
        <f t="shared" si="111"/>
        <v>504179660.28999996</v>
      </c>
      <c r="V62" s="9">
        <f t="shared" si="111"/>
        <v>507179660.28999996</v>
      </c>
      <c r="W62" s="40">
        <f t="shared" si="111"/>
        <v>509472124.22999996</v>
      </c>
      <c r="X62" s="9">
        <f t="shared" si="111"/>
        <v>511372124.22999996</v>
      </c>
      <c r="Y62" s="9">
        <f t="shared" si="111"/>
        <v>519772124.22999996</v>
      </c>
      <c r="Z62" s="9">
        <f t="shared" si="111"/>
        <v>516572124.22999996</v>
      </c>
      <c r="AA62" s="9">
        <f t="shared" si="111"/>
        <v>502572124.22999996</v>
      </c>
      <c r="AB62" s="9">
        <f t="shared" si="111"/>
        <v>499572124.22999996</v>
      </c>
      <c r="AC62" s="9">
        <f t="shared" si="111"/>
        <v>496972124.22999996</v>
      </c>
      <c r="AD62" s="9">
        <f t="shared" si="111"/>
        <v>495272124.22999996</v>
      </c>
      <c r="AE62" s="9">
        <f t="shared" si="111"/>
        <v>494572124.22999996</v>
      </c>
      <c r="AF62" s="232">
        <f t="shared" si="111"/>
        <v>435672124.22999996</v>
      </c>
      <c r="AG62" s="9">
        <f t="shared" si="111"/>
        <v>426172124.22999996</v>
      </c>
      <c r="AH62" s="9">
        <f t="shared" si="111"/>
        <v>425872124.22999996</v>
      </c>
      <c r="AI62" s="9">
        <f t="shared" si="111"/>
        <v>425372124.22999996</v>
      </c>
      <c r="AJ62" s="9">
        <f t="shared" si="111"/>
        <v>423472124.22999996</v>
      </c>
      <c r="AK62" s="9">
        <f t="shared" si="111"/>
        <v>415472124.22999996</v>
      </c>
      <c r="AL62" s="9">
        <f t="shared" si="111"/>
        <v>415472124.22999996</v>
      </c>
      <c r="AM62" s="9">
        <f t="shared" si="111"/>
        <v>421172124.22999996</v>
      </c>
      <c r="AN62" s="9">
        <f t="shared" si="111"/>
        <v>427472124.22999996</v>
      </c>
      <c r="AO62" s="9">
        <f t="shared" si="111"/>
        <v>424772124.22999996</v>
      </c>
      <c r="AP62" s="9">
        <f t="shared" si="111"/>
        <v>427072124.22999996</v>
      </c>
      <c r="AQ62" s="9">
        <f t="shared" si="111"/>
        <v>425172124.22999996</v>
      </c>
      <c r="AR62" s="40">
        <f t="shared" si="111"/>
        <v>424579334.38999999</v>
      </c>
      <c r="AS62" s="9">
        <f t="shared" si="111"/>
        <v>423829334.38999999</v>
      </c>
      <c r="AT62" s="9">
        <f t="shared" si="111"/>
        <v>434329334.38999999</v>
      </c>
      <c r="AU62" s="9">
        <f t="shared" si="111"/>
        <v>436329334.38999999</v>
      </c>
      <c r="AV62" s="232">
        <f t="shared" si="111"/>
        <v>415629334.38999999</v>
      </c>
      <c r="AW62" s="9">
        <f t="shared" si="111"/>
        <v>415629334.38999999</v>
      </c>
      <c r="AX62" s="9">
        <f t="shared" si="111"/>
        <v>415629334.38999999</v>
      </c>
      <c r="AY62" s="9">
        <f t="shared" si="111"/>
        <v>414029334.38999999</v>
      </c>
      <c r="AZ62" s="9">
        <f t="shared" si="111"/>
        <v>414429334.38999999</v>
      </c>
      <c r="BA62" s="9">
        <f t="shared" si="111"/>
        <v>410329334.38999999</v>
      </c>
      <c r="BB62" s="9">
        <f t="shared" si="111"/>
        <v>412329334.38999999</v>
      </c>
      <c r="BC62" s="9">
        <f t="shared" si="111"/>
        <v>353529334.38999999</v>
      </c>
      <c r="BD62" s="9">
        <f t="shared" si="111"/>
        <v>337529334.38999999</v>
      </c>
      <c r="BE62" s="9">
        <f t="shared" si="111"/>
        <v>335329334.38999999</v>
      </c>
      <c r="BF62" s="9">
        <f t="shared" si="111"/>
        <v>331129334.38999999</v>
      </c>
      <c r="BG62" s="9">
        <f t="shared" si="111"/>
        <v>332429334.38999999</v>
      </c>
      <c r="BH62" s="9">
        <f t="shared" si="111"/>
        <v>331229334.38999999</v>
      </c>
      <c r="BI62" s="9">
        <f t="shared" si="111"/>
        <v>335629334.38999999</v>
      </c>
      <c r="BJ62" s="9">
        <f t="shared" si="111"/>
        <v>333829334.38999999</v>
      </c>
      <c r="BK62" s="9">
        <f t="shared" si="111"/>
        <v>338029334.38999999</v>
      </c>
      <c r="BL62" s="9">
        <f t="shared" si="111"/>
        <v>333529334.38999999</v>
      </c>
      <c r="BM62" s="9">
        <f t="shared" si="111"/>
        <v>334329334.38999999</v>
      </c>
      <c r="BN62" s="40">
        <f t="shared" si="111"/>
        <v>334242873.41999996</v>
      </c>
      <c r="BO62" s="9">
        <f t="shared" ref="BO62:DZ62" si="112">SUM(BO55:BO61)</f>
        <v>333992873.41999996</v>
      </c>
      <c r="BP62" s="9">
        <f t="shared" si="112"/>
        <v>332592873.41999996</v>
      </c>
      <c r="BQ62" s="9">
        <f t="shared" si="112"/>
        <v>330692873.41999996</v>
      </c>
      <c r="BR62" s="9">
        <f t="shared" si="112"/>
        <v>316192873.41999996</v>
      </c>
      <c r="BS62" s="9">
        <f t="shared" si="112"/>
        <v>315692873.41999996</v>
      </c>
      <c r="BT62" s="9">
        <f t="shared" si="112"/>
        <v>315992873.41999996</v>
      </c>
      <c r="BU62" s="9">
        <f t="shared" si="112"/>
        <v>315992873.41999996</v>
      </c>
      <c r="BV62" s="9">
        <f t="shared" si="112"/>
        <v>310892873.41999996</v>
      </c>
      <c r="BW62" s="9">
        <f t="shared" si="112"/>
        <v>310492873.41999996</v>
      </c>
      <c r="BX62" s="9">
        <f t="shared" si="112"/>
        <v>310092873.41999996</v>
      </c>
      <c r="BY62" s="9">
        <f t="shared" si="112"/>
        <v>249192873.41999996</v>
      </c>
      <c r="BZ62" s="9">
        <f t="shared" si="112"/>
        <v>232692873.41999996</v>
      </c>
      <c r="CA62" s="9">
        <f t="shared" si="112"/>
        <v>226192873.41999996</v>
      </c>
      <c r="CB62" s="9">
        <f t="shared" si="112"/>
        <v>224992873.41999996</v>
      </c>
      <c r="CC62" s="9">
        <f t="shared" si="112"/>
        <v>222692873.41999996</v>
      </c>
      <c r="CD62" s="9">
        <f t="shared" si="112"/>
        <v>222192873.41999996</v>
      </c>
      <c r="CE62" s="9">
        <f t="shared" si="112"/>
        <v>221592873.41999996</v>
      </c>
      <c r="CF62" s="9">
        <f t="shared" si="112"/>
        <v>231192873.41999996</v>
      </c>
      <c r="CG62" s="9">
        <f t="shared" si="112"/>
        <v>229792873.41999996</v>
      </c>
      <c r="CH62" s="9">
        <f t="shared" si="112"/>
        <v>228642873.41999996</v>
      </c>
      <c r="CI62" s="40">
        <f t="shared" si="112"/>
        <v>225205949.82999995</v>
      </c>
      <c r="CJ62" s="9">
        <f t="shared" si="112"/>
        <v>224005949.82999995</v>
      </c>
      <c r="CK62" s="9">
        <f t="shared" si="112"/>
        <v>221005949.82999995</v>
      </c>
      <c r="CL62" s="9">
        <f t="shared" si="112"/>
        <v>227005949.82999995</v>
      </c>
      <c r="CM62" s="9">
        <f t="shared" si="112"/>
        <v>225005949.82999995</v>
      </c>
      <c r="CN62" s="9">
        <f t="shared" si="112"/>
        <v>210005949.82999995</v>
      </c>
      <c r="CO62" s="9">
        <f t="shared" si="112"/>
        <v>208605949.82999995</v>
      </c>
      <c r="CP62" s="9">
        <f t="shared" si="112"/>
        <v>206855949.82999995</v>
      </c>
      <c r="CQ62" s="9">
        <f t="shared" si="112"/>
        <v>206155949.82999995</v>
      </c>
      <c r="CR62" s="9">
        <f t="shared" si="112"/>
        <v>206655949.82999995</v>
      </c>
      <c r="CS62" s="9">
        <f t="shared" si="112"/>
        <v>144855949.82999995</v>
      </c>
      <c r="CT62" s="9">
        <f t="shared" si="112"/>
        <v>134255949.82999995</v>
      </c>
      <c r="CU62" s="9">
        <f t="shared" si="112"/>
        <v>132655949.82999995</v>
      </c>
      <c r="CV62" s="9">
        <f t="shared" si="112"/>
        <v>130055949.82999995</v>
      </c>
      <c r="CW62" s="9">
        <f t="shared" si="112"/>
        <v>128355949.82999995</v>
      </c>
      <c r="CX62" s="9">
        <f t="shared" si="112"/>
        <v>126055949.82999995</v>
      </c>
      <c r="CY62" s="9">
        <f t="shared" si="112"/>
        <v>123755949.82999995</v>
      </c>
      <c r="CZ62" s="9">
        <f t="shared" si="112"/>
        <v>124505949.82999995</v>
      </c>
      <c r="DA62" s="9">
        <f t="shared" si="112"/>
        <v>127505949.82999995</v>
      </c>
      <c r="DB62" s="9">
        <f t="shared" si="112"/>
        <v>128805949.82999995</v>
      </c>
      <c r="DC62" s="9">
        <f t="shared" si="112"/>
        <v>131405949.82999995</v>
      </c>
      <c r="DD62" s="40">
        <f t="shared" si="112"/>
        <v>130936460.41999997</v>
      </c>
      <c r="DE62" s="95">
        <f t="shared" si="112"/>
        <v>122736460.41999997</v>
      </c>
      <c r="DF62" s="9">
        <f t="shared" si="112"/>
        <v>121636460.41999997</v>
      </c>
      <c r="DG62" s="9">
        <f t="shared" si="112"/>
        <v>114836460.41999997</v>
      </c>
      <c r="DH62" s="9">
        <f t="shared" si="112"/>
        <v>113336460.41999997</v>
      </c>
      <c r="DI62" s="9">
        <f t="shared" si="112"/>
        <v>113836460.41999997</v>
      </c>
      <c r="DJ62" s="9">
        <f t="shared" si="112"/>
        <v>113636460.41999997</v>
      </c>
      <c r="DK62" s="9">
        <f t="shared" si="112"/>
        <v>114036460.41999997</v>
      </c>
      <c r="DL62" s="9">
        <f t="shared" si="112"/>
        <v>112036460.41999997</v>
      </c>
      <c r="DM62" s="9">
        <f t="shared" si="112"/>
        <v>111236460.41999997</v>
      </c>
      <c r="DN62" s="9">
        <f t="shared" si="112"/>
        <v>49236460.419999972</v>
      </c>
      <c r="DO62" s="9">
        <f t="shared" si="112"/>
        <v>37236460.419999972</v>
      </c>
      <c r="DP62" s="9">
        <f t="shared" si="112"/>
        <v>38636460.419999972</v>
      </c>
      <c r="DQ62" s="9">
        <f t="shared" si="112"/>
        <v>36736460.419999972</v>
      </c>
      <c r="DR62" s="95">
        <f t="shared" si="112"/>
        <v>37536460.419999972</v>
      </c>
      <c r="DS62" s="9">
        <f t="shared" si="112"/>
        <v>37536460.419999972</v>
      </c>
      <c r="DT62" s="9">
        <f t="shared" si="112"/>
        <v>36936460.419999972</v>
      </c>
      <c r="DU62" s="9">
        <f t="shared" si="112"/>
        <v>38136460.419999972</v>
      </c>
      <c r="DV62" s="9">
        <f t="shared" si="112"/>
        <v>40336460.419999972</v>
      </c>
      <c r="DW62" s="9">
        <f t="shared" si="112"/>
        <v>43336460.419999972</v>
      </c>
      <c r="DX62" s="9">
        <f t="shared" si="112"/>
        <v>50136460.419999972</v>
      </c>
      <c r="DY62" s="9">
        <f t="shared" si="112"/>
        <v>49536460.419999972</v>
      </c>
      <c r="DZ62" s="40">
        <f t="shared" si="112"/>
        <v>48292423.489999972</v>
      </c>
      <c r="EA62" s="9">
        <f t="shared" ref="EA62:GL62" si="113">SUM(EA55:EA61)</f>
        <v>46892423.489999972</v>
      </c>
      <c r="EB62" s="9">
        <f t="shared" si="113"/>
        <v>46592423.489999972</v>
      </c>
      <c r="EC62" s="9">
        <f t="shared" si="113"/>
        <v>41342423.489999972</v>
      </c>
      <c r="ED62" s="9">
        <f t="shared" si="113"/>
        <v>25942423.489999972</v>
      </c>
      <c r="EE62" s="9">
        <f t="shared" si="113"/>
        <v>25142423.489999972</v>
      </c>
      <c r="EF62" s="9">
        <f t="shared" si="113"/>
        <v>24042423.489999976</v>
      </c>
      <c r="EG62" s="29">
        <f t="shared" si="113"/>
        <v>150442423.49000004</v>
      </c>
      <c r="EH62" s="9">
        <f t="shared" si="113"/>
        <v>160442423.49000004</v>
      </c>
      <c r="EI62" s="9">
        <f t="shared" si="113"/>
        <v>159942423.49000004</v>
      </c>
      <c r="EJ62" s="9">
        <f t="shared" si="113"/>
        <v>158442423.49000004</v>
      </c>
      <c r="EK62" s="82">
        <f t="shared" si="113"/>
        <v>97942423.489999995</v>
      </c>
      <c r="EL62" s="9">
        <f t="shared" si="113"/>
        <v>86342423.489999995</v>
      </c>
      <c r="EM62" s="9">
        <f t="shared" si="113"/>
        <v>89742423.489999995</v>
      </c>
      <c r="EN62" s="9">
        <f t="shared" si="113"/>
        <v>92942423.489999995</v>
      </c>
      <c r="EO62" s="9">
        <f t="shared" si="113"/>
        <v>91942423.489999995</v>
      </c>
      <c r="EP62" s="9">
        <f t="shared" si="113"/>
        <v>88942423.489999995</v>
      </c>
      <c r="EQ62" s="9">
        <f t="shared" si="113"/>
        <v>90842423.489999995</v>
      </c>
      <c r="ER62" s="9">
        <f t="shared" si="113"/>
        <v>90742423.489999995</v>
      </c>
      <c r="ES62" s="9">
        <f t="shared" si="113"/>
        <v>88342423.489999995</v>
      </c>
      <c r="ET62" s="9">
        <f t="shared" si="113"/>
        <v>88092423.489999995</v>
      </c>
      <c r="EU62" s="40">
        <f t="shared" si="113"/>
        <v>86967809.429999992</v>
      </c>
      <c r="EV62" s="9">
        <f t="shared" si="113"/>
        <v>84867809.429999992</v>
      </c>
      <c r="EW62" s="9">
        <f t="shared" si="113"/>
        <v>83267809.429999992</v>
      </c>
      <c r="EX62" s="9">
        <f t="shared" si="113"/>
        <v>84167809.429999992</v>
      </c>
      <c r="EY62" s="9">
        <f t="shared" si="113"/>
        <v>67867809.429999992</v>
      </c>
      <c r="EZ62" s="9">
        <f t="shared" si="113"/>
        <v>67417809.429999992</v>
      </c>
      <c r="FA62" s="9">
        <f t="shared" si="113"/>
        <v>136117809.43000001</v>
      </c>
      <c r="FB62" s="9">
        <f t="shared" si="113"/>
        <v>137017809.43000001</v>
      </c>
      <c r="FC62" s="9">
        <f t="shared" si="113"/>
        <v>136267809.43000001</v>
      </c>
      <c r="FD62" s="9">
        <f t="shared" si="113"/>
        <v>136267809.43000001</v>
      </c>
      <c r="FE62" s="232">
        <f t="shared" si="113"/>
        <v>76067809.429999992</v>
      </c>
      <c r="FF62" s="9">
        <f t="shared" si="113"/>
        <v>66442071.969999991</v>
      </c>
      <c r="FG62" s="9">
        <f t="shared" si="113"/>
        <v>70142071.969999999</v>
      </c>
      <c r="FH62" s="9">
        <f t="shared" si="113"/>
        <v>68342071.969999999</v>
      </c>
      <c r="FI62" s="232">
        <f t="shared" si="113"/>
        <v>63842071.969999991</v>
      </c>
      <c r="FJ62" s="9">
        <f t="shared" si="113"/>
        <v>69642071.969999999</v>
      </c>
      <c r="FK62" s="9">
        <f t="shared" si="113"/>
        <v>77242071.969999999</v>
      </c>
      <c r="FL62" s="82">
        <f t="shared" si="113"/>
        <v>92592071.969999999</v>
      </c>
      <c r="FM62" s="9">
        <f t="shared" si="113"/>
        <v>212342071.96999997</v>
      </c>
      <c r="FN62" s="9">
        <f t="shared" si="113"/>
        <v>211642071.96999997</v>
      </c>
      <c r="FO62" s="9">
        <f t="shared" si="113"/>
        <v>208842071.96999997</v>
      </c>
      <c r="FP62" s="40">
        <f t="shared" si="113"/>
        <v>206874229.38</v>
      </c>
      <c r="FQ62" s="9">
        <f t="shared" si="113"/>
        <v>206174229.38</v>
      </c>
      <c r="FR62" s="9">
        <f t="shared" si="113"/>
        <v>204324229.38</v>
      </c>
      <c r="FS62" s="9">
        <f t="shared" si="113"/>
        <v>200024229.38</v>
      </c>
      <c r="FT62" s="9">
        <f t="shared" si="113"/>
        <v>195224229.38</v>
      </c>
      <c r="FU62" s="9">
        <f t="shared" si="113"/>
        <v>192527526.84</v>
      </c>
      <c r="FV62" s="9">
        <f t="shared" si="113"/>
        <v>191827526.84</v>
      </c>
      <c r="FW62" s="9">
        <f t="shared" si="113"/>
        <v>192227526.84</v>
      </c>
      <c r="FX62" s="9">
        <f t="shared" si="113"/>
        <v>190927526.84</v>
      </c>
      <c r="FY62" s="9">
        <f t="shared" si="113"/>
        <v>188427526.84</v>
      </c>
      <c r="FZ62" s="232">
        <f t="shared" si="113"/>
        <v>118027526.83999996</v>
      </c>
      <c r="GA62" s="9">
        <f t="shared" si="113"/>
        <v>117027526.83999996</v>
      </c>
      <c r="GB62" s="9">
        <f t="shared" si="113"/>
        <v>112027526.83999996</v>
      </c>
      <c r="GC62" s="9">
        <f t="shared" si="113"/>
        <v>108277526.83999996</v>
      </c>
      <c r="GD62" s="9">
        <f t="shared" si="113"/>
        <v>107077526.83999996</v>
      </c>
      <c r="GE62" s="9">
        <f t="shared" si="113"/>
        <v>106077526.83999996</v>
      </c>
      <c r="GF62" s="9">
        <f t="shared" si="113"/>
        <v>105327526.83999996</v>
      </c>
      <c r="GG62" s="9">
        <f t="shared" si="113"/>
        <v>104527526.83999996</v>
      </c>
      <c r="GH62" s="9">
        <f t="shared" si="113"/>
        <v>191027526.84</v>
      </c>
      <c r="GI62" s="9">
        <f t="shared" si="113"/>
        <v>199827526.84</v>
      </c>
      <c r="GJ62" s="9">
        <f t="shared" si="113"/>
        <v>198127526.84</v>
      </c>
      <c r="GK62" s="9">
        <f t="shared" si="113"/>
        <v>197977526.84</v>
      </c>
      <c r="GL62" s="40">
        <f t="shared" si="113"/>
        <v>194717890.67999998</v>
      </c>
      <c r="GM62" s="9">
        <f t="shared" ref="GM62:IT62" si="114">SUM(GM55:GM61)</f>
        <v>192417890.67999998</v>
      </c>
      <c r="GN62" s="9">
        <f t="shared" si="114"/>
        <v>192217890.67999998</v>
      </c>
      <c r="GO62" s="9">
        <f t="shared" si="114"/>
        <v>192817890.67999998</v>
      </c>
      <c r="GP62" s="9">
        <f t="shared" si="114"/>
        <v>192817890.67999998</v>
      </c>
      <c r="GQ62" s="9">
        <f t="shared" si="114"/>
        <v>185617890.67999998</v>
      </c>
      <c r="GR62" s="9">
        <f t="shared" si="114"/>
        <v>187617890.67999998</v>
      </c>
      <c r="GS62" s="9">
        <f t="shared" si="114"/>
        <v>187117890.67999998</v>
      </c>
      <c r="GT62" s="9">
        <f t="shared" si="114"/>
        <v>188617890.67999998</v>
      </c>
      <c r="GU62" s="245">
        <f t="shared" si="114"/>
        <v>191217890.67999998</v>
      </c>
      <c r="GV62" s="9">
        <f t="shared" si="114"/>
        <v>189917890.67999998</v>
      </c>
      <c r="GW62" s="9">
        <f t="shared" si="114"/>
        <v>191117890.67999998</v>
      </c>
      <c r="GX62" s="9">
        <f t="shared" si="114"/>
        <v>195717890.67999998</v>
      </c>
      <c r="GY62" s="9">
        <f t="shared" si="114"/>
        <v>197217890.67999998</v>
      </c>
      <c r="GZ62" s="9">
        <f t="shared" si="114"/>
        <v>197117890.67999998</v>
      </c>
      <c r="HA62" s="9">
        <f t="shared" si="114"/>
        <v>189417890.67999998</v>
      </c>
      <c r="HB62" s="9">
        <f t="shared" si="114"/>
        <v>191017890.67999998</v>
      </c>
      <c r="HC62" s="9">
        <f t="shared" si="114"/>
        <v>188217890.67999998</v>
      </c>
      <c r="HD62" s="40">
        <f t="shared" si="114"/>
        <v>187681788.60999998</v>
      </c>
      <c r="HE62" s="9">
        <f t="shared" si="114"/>
        <v>194881788.60999998</v>
      </c>
      <c r="HF62" s="9">
        <f t="shared" si="114"/>
        <v>198381788.60999998</v>
      </c>
      <c r="HG62" s="9">
        <f t="shared" si="114"/>
        <v>203681788.60999998</v>
      </c>
      <c r="HH62" s="9">
        <f t="shared" si="114"/>
        <v>206281788.60999998</v>
      </c>
      <c r="HI62" s="9">
        <f t="shared" si="114"/>
        <v>193081788.60999998</v>
      </c>
      <c r="HJ62" s="9">
        <f t="shared" si="114"/>
        <v>189581788.60999998</v>
      </c>
      <c r="HK62" s="9">
        <f t="shared" si="114"/>
        <v>192181788.60999998</v>
      </c>
      <c r="HL62" s="9">
        <f t="shared" si="114"/>
        <v>193781788.60999998</v>
      </c>
      <c r="HM62" s="9">
        <f t="shared" si="114"/>
        <v>201181788.60999998</v>
      </c>
      <c r="HN62" s="138">
        <f t="shared" si="114"/>
        <v>202081788.60999998</v>
      </c>
      <c r="HO62" s="82">
        <f t="shared" si="114"/>
        <v>128781788.60999997</v>
      </c>
      <c r="HP62" s="9">
        <f t="shared" si="114"/>
        <v>132681788.60999997</v>
      </c>
      <c r="HQ62" s="9">
        <f t="shared" si="114"/>
        <v>133081788.60999997</v>
      </c>
      <c r="HR62" s="9">
        <f t="shared" si="114"/>
        <v>133981788.60999997</v>
      </c>
      <c r="HS62" s="9">
        <f t="shared" si="114"/>
        <v>135581788.60999998</v>
      </c>
      <c r="HT62" s="9">
        <f t="shared" si="114"/>
        <v>142181788.61000001</v>
      </c>
      <c r="HU62" s="9">
        <f t="shared" si="114"/>
        <v>148781788.60999998</v>
      </c>
      <c r="HV62" s="9">
        <f t="shared" si="114"/>
        <v>165281788.60999998</v>
      </c>
      <c r="HW62" s="9">
        <f t="shared" si="114"/>
        <v>167281788.60999998</v>
      </c>
      <c r="HX62" s="9">
        <f t="shared" si="114"/>
        <v>165581788.60999998</v>
      </c>
      <c r="HY62" s="9">
        <f t="shared" si="114"/>
        <v>180881788.60999998</v>
      </c>
      <c r="HZ62" s="40">
        <f t="shared" si="114"/>
        <v>187227115.04999998</v>
      </c>
      <c r="IA62" s="9">
        <f t="shared" si="114"/>
        <v>204727115.04999998</v>
      </c>
      <c r="IB62" s="9">
        <f t="shared" si="114"/>
        <v>203927115.04999998</v>
      </c>
      <c r="IC62" s="9">
        <f t="shared" si="114"/>
        <v>221227115.04999998</v>
      </c>
      <c r="ID62" s="9">
        <f t="shared" si="114"/>
        <v>221227115.04999998</v>
      </c>
      <c r="IE62" s="9">
        <f t="shared" si="114"/>
        <v>233427115.04999998</v>
      </c>
      <c r="IF62" s="9">
        <f t="shared" si="114"/>
        <v>248427115.04999998</v>
      </c>
      <c r="IG62" s="9">
        <f t="shared" si="114"/>
        <v>259627115.04999998</v>
      </c>
      <c r="IH62" s="114">
        <f t="shared" si="114"/>
        <v>312627115.04999995</v>
      </c>
      <c r="II62" s="9">
        <f t="shared" si="114"/>
        <v>333827115.04999995</v>
      </c>
      <c r="IJ62" s="9">
        <f t="shared" si="114"/>
        <v>284027115.04999995</v>
      </c>
      <c r="IK62" s="9">
        <f t="shared" si="114"/>
        <v>292627115.04999995</v>
      </c>
      <c r="IL62" s="9">
        <f t="shared" si="114"/>
        <v>296627115.04999995</v>
      </c>
      <c r="IM62" s="9">
        <f t="shared" si="114"/>
        <v>301377115.04999995</v>
      </c>
      <c r="IN62" s="9">
        <f t="shared" si="114"/>
        <v>306277115.04999995</v>
      </c>
      <c r="IO62" s="9">
        <f t="shared" si="114"/>
        <v>307477115.04999995</v>
      </c>
      <c r="IP62" s="9">
        <f t="shared" si="114"/>
        <v>316677115.04999995</v>
      </c>
      <c r="IQ62" s="9">
        <f t="shared" si="114"/>
        <v>321277115.04999995</v>
      </c>
      <c r="IR62" s="9">
        <f t="shared" si="114"/>
        <v>348877115.04999995</v>
      </c>
      <c r="IS62" s="9">
        <f t="shared" si="114"/>
        <v>347877115.04999995</v>
      </c>
      <c r="IT62" s="40">
        <f t="shared" si="114"/>
        <v>364677115.04999995</v>
      </c>
      <c r="IU62" s="9"/>
    </row>
    <row r="63" spans="1:256">
      <c r="N63" s="256"/>
      <c r="AF63" s="256"/>
      <c r="AV63" s="256"/>
      <c r="EK63" s="71"/>
      <c r="FE63" s="213"/>
      <c r="FI63" s="256"/>
      <c r="FL63" s="71"/>
      <c r="FZ63" s="213"/>
      <c r="GU63" s="240"/>
      <c r="HM63" s="140"/>
      <c r="HN63" s="127"/>
      <c r="HO63" s="71"/>
      <c r="IH63" s="98"/>
    </row>
    <row r="64" spans="1:256" s="63" customFormat="1" ht="16.5">
      <c r="A64" s="62" t="s">
        <v>60</v>
      </c>
      <c r="C64" s="61">
        <f t="shared" ref="C64:BN64" si="115">+C51+C62</f>
        <v>330600100.28999996</v>
      </c>
      <c r="D64" s="61">
        <f t="shared" si="115"/>
        <v>385698744.28999996</v>
      </c>
      <c r="E64" s="61">
        <f t="shared" si="115"/>
        <v>389569003.71999997</v>
      </c>
      <c r="F64" s="61">
        <f t="shared" si="115"/>
        <v>426609565.23999995</v>
      </c>
      <c r="G64" s="61">
        <f t="shared" si="115"/>
        <v>467456107.81999993</v>
      </c>
      <c r="H64" s="61">
        <f t="shared" si="115"/>
        <v>493394481.22999996</v>
      </c>
      <c r="I64" s="61">
        <f t="shared" si="115"/>
        <v>510690315.28999996</v>
      </c>
      <c r="J64" s="61">
        <f t="shared" si="115"/>
        <v>509882671.17999995</v>
      </c>
      <c r="K64" s="61">
        <f t="shared" si="115"/>
        <v>508887411.28999996</v>
      </c>
      <c r="L64" s="61">
        <f t="shared" si="115"/>
        <v>560651202.28999996</v>
      </c>
      <c r="M64" s="61">
        <f t="shared" si="115"/>
        <v>560226057.28999996</v>
      </c>
      <c r="N64" s="233">
        <f t="shared" si="115"/>
        <v>501297477.28999996</v>
      </c>
      <c r="O64" s="61">
        <f t="shared" si="115"/>
        <v>503605571.26999998</v>
      </c>
      <c r="P64" s="61">
        <f t="shared" si="115"/>
        <v>508055202.69999999</v>
      </c>
      <c r="Q64" s="61">
        <f t="shared" si="115"/>
        <v>501386171.28999996</v>
      </c>
      <c r="R64" s="61">
        <f t="shared" si="115"/>
        <v>506480574.28999996</v>
      </c>
      <c r="S64" s="61">
        <f t="shared" si="115"/>
        <v>500799224.28999996</v>
      </c>
      <c r="T64" s="61">
        <f t="shared" si="115"/>
        <v>501018087.28999996</v>
      </c>
      <c r="U64" s="61">
        <f t="shared" si="115"/>
        <v>504290299.69999999</v>
      </c>
      <c r="V64" s="61">
        <f t="shared" si="115"/>
        <v>507287144.28999996</v>
      </c>
      <c r="W64" s="61">
        <f t="shared" si="115"/>
        <v>509577783.22999996</v>
      </c>
      <c r="X64" s="61">
        <f t="shared" si="115"/>
        <v>511506729.22999996</v>
      </c>
      <c r="Y64" s="61">
        <f t="shared" si="115"/>
        <v>519956827.22999996</v>
      </c>
      <c r="Z64" s="61">
        <f t="shared" si="115"/>
        <v>516729182.22999996</v>
      </c>
      <c r="AA64" s="61">
        <f t="shared" si="115"/>
        <v>502882287.22999996</v>
      </c>
      <c r="AB64" s="61">
        <f t="shared" si="115"/>
        <v>499853253.22999996</v>
      </c>
      <c r="AC64" s="61">
        <f t="shared" si="115"/>
        <v>497109814.32999998</v>
      </c>
      <c r="AD64" s="61">
        <f t="shared" si="115"/>
        <v>495404308.22999996</v>
      </c>
      <c r="AE64" s="61">
        <f t="shared" si="115"/>
        <v>494676717.22999996</v>
      </c>
      <c r="AF64" s="233">
        <f t="shared" si="115"/>
        <v>435772301.22999996</v>
      </c>
      <c r="AG64" s="61">
        <f t="shared" si="115"/>
        <v>426272124.22999996</v>
      </c>
      <c r="AH64" s="61">
        <f t="shared" si="115"/>
        <v>425972124.22999996</v>
      </c>
      <c r="AI64" s="61">
        <f t="shared" si="115"/>
        <v>425478601.22999996</v>
      </c>
      <c r="AJ64" s="61">
        <f t="shared" si="115"/>
        <v>423645368.22999996</v>
      </c>
      <c r="AK64" s="61">
        <f t="shared" si="115"/>
        <v>415608485.22999996</v>
      </c>
      <c r="AL64" s="61">
        <f t="shared" si="115"/>
        <v>415594740.22999996</v>
      </c>
      <c r="AM64" s="61">
        <f t="shared" si="115"/>
        <v>421292820.22999996</v>
      </c>
      <c r="AN64" s="61">
        <f t="shared" si="115"/>
        <v>427586931.22999996</v>
      </c>
      <c r="AO64" s="61">
        <f t="shared" si="115"/>
        <v>424989895.22999996</v>
      </c>
      <c r="AP64" s="61">
        <f t="shared" si="115"/>
        <v>427321903.22999996</v>
      </c>
      <c r="AQ64" s="61">
        <f t="shared" si="115"/>
        <v>425301351.22999996</v>
      </c>
      <c r="AR64" s="61">
        <f t="shared" si="115"/>
        <v>424706219.38999999</v>
      </c>
      <c r="AS64" s="61">
        <f t="shared" si="115"/>
        <v>423957924.39999998</v>
      </c>
      <c r="AT64" s="61">
        <f t="shared" si="115"/>
        <v>434443176.38999999</v>
      </c>
      <c r="AU64" s="61">
        <f t="shared" si="115"/>
        <v>436459066.38999999</v>
      </c>
      <c r="AV64" s="233">
        <f t="shared" si="115"/>
        <v>415773849.38999999</v>
      </c>
      <c r="AW64" s="61">
        <f t="shared" si="115"/>
        <v>415765242.38999999</v>
      </c>
      <c r="AX64" s="61">
        <f t="shared" si="115"/>
        <v>415756821.38999999</v>
      </c>
      <c r="AY64" s="61">
        <f t="shared" si="115"/>
        <v>414181099.38999999</v>
      </c>
      <c r="AZ64" s="61">
        <f t="shared" si="115"/>
        <v>414605757.38999999</v>
      </c>
      <c r="BA64" s="61">
        <f t="shared" si="115"/>
        <v>410530726.38999999</v>
      </c>
      <c r="BB64" s="61">
        <f t="shared" si="115"/>
        <v>412472419.38999999</v>
      </c>
      <c r="BC64" s="61">
        <f t="shared" si="115"/>
        <v>353655281.38999999</v>
      </c>
      <c r="BD64" s="61">
        <f t="shared" si="115"/>
        <v>337646469.38999999</v>
      </c>
      <c r="BE64" s="61">
        <f t="shared" si="115"/>
        <v>335522694.38999999</v>
      </c>
      <c r="BF64" s="61">
        <f t="shared" si="115"/>
        <v>331278782.38999999</v>
      </c>
      <c r="BG64" s="61">
        <f t="shared" si="115"/>
        <v>332538888.38999999</v>
      </c>
      <c r="BH64" s="61">
        <f t="shared" si="115"/>
        <v>331363457.38999999</v>
      </c>
      <c r="BI64" s="61">
        <f t="shared" si="115"/>
        <v>335763889.38999999</v>
      </c>
      <c r="BJ64" s="61">
        <f t="shared" si="115"/>
        <v>333999238.38999999</v>
      </c>
      <c r="BK64" s="61">
        <f t="shared" si="115"/>
        <v>338176544.38999999</v>
      </c>
      <c r="BL64" s="61">
        <f t="shared" si="115"/>
        <v>333673486.38999999</v>
      </c>
      <c r="BM64" s="61">
        <f t="shared" si="115"/>
        <v>334468028.38999999</v>
      </c>
      <c r="BN64" s="61">
        <f t="shared" si="115"/>
        <v>334354783.41999996</v>
      </c>
      <c r="BO64" s="61">
        <f t="shared" ref="BO64:DZ64" si="116">+BO51+BO62</f>
        <v>334120606.41999996</v>
      </c>
      <c r="BP64" s="61">
        <f t="shared" si="116"/>
        <v>332746212.41999996</v>
      </c>
      <c r="BQ64" s="61">
        <f t="shared" si="116"/>
        <v>330826900.41999996</v>
      </c>
      <c r="BR64" s="61">
        <f t="shared" si="116"/>
        <v>316333075.41999996</v>
      </c>
      <c r="BS64" s="61">
        <f t="shared" si="116"/>
        <v>315826567.41999996</v>
      </c>
      <c r="BT64" s="61">
        <f t="shared" si="116"/>
        <v>316101923.41999996</v>
      </c>
      <c r="BU64" s="61">
        <f t="shared" si="116"/>
        <v>316105027.41999996</v>
      </c>
      <c r="BV64" s="61">
        <f t="shared" si="116"/>
        <v>311001973.41999996</v>
      </c>
      <c r="BW64" s="61">
        <f t="shared" si="116"/>
        <v>310601205.41999996</v>
      </c>
      <c r="BX64" s="61">
        <f t="shared" si="116"/>
        <v>310197714.41999996</v>
      </c>
      <c r="BY64" s="61">
        <f t="shared" si="116"/>
        <v>249317094.41999996</v>
      </c>
      <c r="BZ64" s="61">
        <f t="shared" si="116"/>
        <v>232812409.41999996</v>
      </c>
      <c r="CA64" s="61">
        <f t="shared" si="116"/>
        <v>226317153.41999996</v>
      </c>
      <c r="CB64" s="61">
        <f t="shared" si="116"/>
        <v>225302741.19999996</v>
      </c>
      <c r="CC64" s="61">
        <f t="shared" si="116"/>
        <v>223117907.24999997</v>
      </c>
      <c r="CD64" s="61">
        <f t="shared" si="116"/>
        <v>222333894.80999994</v>
      </c>
      <c r="CE64" s="61">
        <f t="shared" si="116"/>
        <v>221745574.41999996</v>
      </c>
      <c r="CF64" s="61">
        <f t="shared" si="116"/>
        <v>231323782.41999996</v>
      </c>
      <c r="CG64" s="61">
        <f t="shared" si="116"/>
        <v>229942838.41999996</v>
      </c>
      <c r="CH64" s="61">
        <f t="shared" si="116"/>
        <v>228811486.41999996</v>
      </c>
      <c r="CI64" s="61">
        <f t="shared" si="116"/>
        <v>225381810.82999995</v>
      </c>
      <c r="CJ64" s="61">
        <f t="shared" si="116"/>
        <v>224115911.82999995</v>
      </c>
      <c r="CK64" s="61">
        <f t="shared" si="116"/>
        <v>221107647.82999995</v>
      </c>
      <c r="CL64" s="61">
        <f t="shared" si="116"/>
        <v>227106092.82999995</v>
      </c>
      <c r="CM64" s="61">
        <f t="shared" si="116"/>
        <v>225175145.82999995</v>
      </c>
      <c r="CN64" s="61">
        <f t="shared" si="116"/>
        <v>210135246.82999995</v>
      </c>
      <c r="CO64" s="61">
        <f t="shared" si="116"/>
        <v>208713405.82999995</v>
      </c>
      <c r="CP64" s="61">
        <f t="shared" si="116"/>
        <v>206970682.82999995</v>
      </c>
      <c r="CQ64" s="61">
        <f t="shared" si="116"/>
        <v>206260020.82999995</v>
      </c>
      <c r="CR64" s="61">
        <f t="shared" si="116"/>
        <v>206818284.82999995</v>
      </c>
      <c r="CS64" s="61">
        <f t="shared" si="116"/>
        <v>145109049.82999995</v>
      </c>
      <c r="CT64" s="61">
        <f t="shared" si="116"/>
        <v>134369848.82999995</v>
      </c>
      <c r="CU64" s="61">
        <f t="shared" si="116"/>
        <v>132814693.82999995</v>
      </c>
      <c r="CV64" s="61">
        <f t="shared" si="116"/>
        <v>130169752.82999995</v>
      </c>
      <c r="CW64" s="61">
        <f t="shared" si="116"/>
        <v>128495841.82999995</v>
      </c>
      <c r="CX64" s="61">
        <f t="shared" si="116"/>
        <v>126198821.92999995</v>
      </c>
      <c r="CY64" s="61">
        <f t="shared" si="116"/>
        <v>123866423.82999995</v>
      </c>
      <c r="CZ64" s="61">
        <f t="shared" si="116"/>
        <v>124627636.82999995</v>
      </c>
      <c r="DA64" s="61">
        <f t="shared" si="116"/>
        <v>127635041.82999995</v>
      </c>
      <c r="DB64" s="61">
        <f t="shared" si="116"/>
        <v>128939238.82999995</v>
      </c>
      <c r="DC64" s="61">
        <f t="shared" si="116"/>
        <v>131511396.82999995</v>
      </c>
      <c r="DD64" s="61">
        <f t="shared" si="116"/>
        <v>131040658.41999997</v>
      </c>
      <c r="DE64" s="61">
        <f t="shared" si="116"/>
        <v>122946991.41999997</v>
      </c>
      <c r="DF64" s="61">
        <f t="shared" si="116"/>
        <v>121837480.41999997</v>
      </c>
      <c r="DG64" s="61">
        <f t="shared" si="116"/>
        <v>115524944.41999997</v>
      </c>
      <c r="DH64" s="61">
        <f t="shared" si="116"/>
        <v>113867860.58999997</v>
      </c>
      <c r="DI64" s="61">
        <f t="shared" si="116"/>
        <v>113970549.41999997</v>
      </c>
      <c r="DJ64" s="61">
        <f t="shared" si="116"/>
        <v>113736460.41999997</v>
      </c>
      <c r="DK64" s="61">
        <f t="shared" si="116"/>
        <v>114136460.41999997</v>
      </c>
      <c r="DL64" s="61">
        <f t="shared" si="116"/>
        <v>112136460.41999997</v>
      </c>
      <c r="DM64" s="61">
        <f t="shared" si="116"/>
        <v>111336460.41999997</v>
      </c>
      <c r="DN64" s="61">
        <f t="shared" si="116"/>
        <v>49336460.419999972</v>
      </c>
      <c r="DO64" s="61">
        <f t="shared" si="116"/>
        <v>38790709.419999972</v>
      </c>
      <c r="DP64" s="61">
        <f t="shared" si="116"/>
        <v>38995197.939999975</v>
      </c>
      <c r="DQ64" s="61">
        <f t="shared" si="116"/>
        <v>37064001.899999969</v>
      </c>
      <c r="DR64" s="61">
        <f t="shared" si="116"/>
        <v>37671584.899999969</v>
      </c>
      <c r="DS64" s="61">
        <f t="shared" si="116"/>
        <v>37881830.899999969</v>
      </c>
      <c r="DT64" s="61">
        <f t="shared" si="116"/>
        <v>37118481.899999969</v>
      </c>
      <c r="DU64" s="61">
        <f t="shared" si="116"/>
        <v>38258233.899999969</v>
      </c>
      <c r="DV64" s="61">
        <f t="shared" si="116"/>
        <v>40447795.899999969</v>
      </c>
      <c r="DW64" s="61">
        <f t="shared" si="116"/>
        <v>43438925.899999969</v>
      </c>
      <c r="DX64" s="61">
        <f t="shared" si="116"/>
        <v>50338962.899999969</v>
      </c>
      <c r="DY64" s="61">
        <f t="shared" si="116"/>
        <v>49737282.899999969</v>
      </c>
      <c r="DZ64" s="61">
        <f t="shared" si="116"/>
        <v>48415055.969999969</v>
      </c>
      <c r="EA64" s="61">
        <f t="shared" ref="EA64:GL64" si="117">+EA51+EA62</f>
        <v>47347184.969999969</v>
      </c>
      <c r="EB64" s="61">
        <f t="shared" si="117"/>
        <v>46724662.969999969</v>
      </c>
      <c r="EC64" s="61">
        <f t="shared" si="117"/>
        <v>41468045.969999969</v>
      </c>
      <c r="ED64" s="61">
        <f t="shared" si="117"/>
        <v>26105441.969999969</v>
      </c>
      <c r="EE64" s="61">
        <f t="shared" si="117"/>
        <v>25318640.969999969</v>
      </c>
      <c r="EF64" s="61">
        <f t="shared" si="117"/>
        <v>24157311.969999976</v>
      </c>
      <c r="EG64" s="61">
        <f t="shared" si="117"/>
        <v>25208849.970000029</v>
      </c>
      <c r="EH64" s="61">
        <f t="shared" si="117"/>
        <v>35208021.970000029</v>
      </c>
      <c r="EI64" s="61">
        <f t="shared" si="117"/>
        <v>34716656.970000029</v>
      </c>
      <c r="EJ64" s="61">
        <f t="shared" si="117"/>
        <v>33379117.970000029</v>
      </c>
      <c r="EK64" s="233">
        <f t="shared" si="117"/>
        <v>-27124827.030000016</v>
      </c>
      <c r="EL64" s="61">
        <f t="shared" si="117"/>
        <v>-38863176.030000016</v>
      </c>
      <c r="EM64" s="61">
        <f t="shared" si="117"/>
        <v>-36429808.670000017</v>
      </c>
      <c r="EN64" s="61">
        <f t="shared" si="117"/>
        <v>-32296987.030000016</v>
      </c>
      <c r="EO64" s="61">
        <f t="shared" si="117"/>
        <v>-33083685.030000016</v>
      </c>
      <c r="EP64" s="61">
        <f t="shared" si="117"/>
        <v>-36079862.030000016</v>
      </c>
      <c r="EQ64" s="61">
        <f t="shared" si="117"/>
        <v>-34191811.060000017</v>
      </c>
      <c r="ER64" s="61">
        <f t="shared" si="117"/>
        <v>-34430393.060000017</v>
      </c>
      <c r="ES64" s="61">
        <f t="shared" si="117"/>
        <v>-36883676.060000017</v>
      </c>
      <c r="ET64" s="61">
        <f t="shared" si="117"/>
        <v>-37142115.057000011</v>
      </c>
      <c r="EU64" s="61">
        <f t="shared" si="117"/>
        <v>-38268747.117000014</v>
      </c>
      <c r="EV64" s="61">
        <f t="shared" si="117"/>
        <v>-40362230.117000014</v>
      </c>
      <c r="EW64" s="61">
        <f t="shared" si="117"/>
        <v>-41952112.037000015</v>
      </c>
      <c r="EX64" s="61">
        <f t="shared" si="117"/>
        <v>-41061164.437000021</v>
      </c>
      <c r="EY64" s="61">
        <f t="shared" si="117"/>
        <v>-57313004.437000021</v>
      </c>
      <c r="EZ64" s="248">
        <f t="shared" si="117"/>
        <v>-57723512.437000021</v>
      </c>
      <c r="FA64" s="61">
        <f t="shared" si="117"/>
        <v>10944487.562999994</v>
      </c>
      <c r="FB64" s="61">
        <f t="shared" si="117"/>
        <v>11783009.562999994</v>
      </c>
      <c r="FC64" s="61">
        <f t="shared" si="117"/>
        <v>11042214.562999994</v>
      </c>
      <c r="FD64" s="61">
        <f t="shared" si="117"/>
        <v>11045730.562999994</v>
      </c>
      <c r="FE64" s="233">
        <f t="shared" si="117"/>
        <v>-49153872.437000021</v>
      </c>
      <c r="FF64" s="61">
        <f t="shared" si="117"/>
        <v>-58786271.897000022</v>
      </c>
      <c r="FG64" s="61">
        <f t="shared" si="117"/>
        <v>-55096789.897000015</v>
      </c>
      <c r="FH64" s="61">
        <f t="shared" si="117"/>
        <v>-56883235.897000015</v>
      </c>
      <c r="FI64" s="233">
        <f t="shared" si="117"/>
        <v>-61366925.907000028</v>
      </c>
      <c r="FJ64" s="61">
        <f t="shared" si="117"/>
        <v>-55588402.90700002</v>
      </c>
      <c r="FK64" s="61">
        <f t="shared" si="117"/>
        <v>-47997422.907000005</v>
      </c>
      <c r="FL64" s="279">
        <f t="shared" si="117"/>
        <v>-32646481.90699999</v>
      </c>
      <c r="FM64" s="61">
        <f t="shared" si="117"/>
        <v>87102106.512999967</v>
      </c>
      <c r="FN64" s="61">
        <f t="shared" si="117"/>
        <v>86427765.512999967</v>
      </c>
      <c r="FO64" s="61">
        <f t="shared" si="117"/>
        <v>83647114.35299997</v>
      </c>
      <c r="FP64" s="61">
        <f t="shared" si="117"/>
        <v>81642393.762999997</v>
      </c>
      <c r="FQ64" s="61">
        <f t="shared" si="117"/>
        <v>81152071.252999991</v>
      </c>
      <c r="FR64" s="61">
        <f t="shared" si="117"/>
        <v>79149864.562999979</v>
      </c>
      <c r="FS64" s="61">
        <f t="shared" si="117"/>
        <v>74806679.562999979</v>
      </c>
      <c r="FT64" s="61">
        <f t="shared" si="117"/>
        <v>70007222.662999973</v>
      </c>
      <c r="FU64" s="61">
        <f t="shared" si="117"/>
        <v>67345786.122999981</v>
      </c>
      <c r="FV64" s="61">
        <f t="shared" si="117"/>
        <v>66625300.112999976</v>
      </c>
      <c r="FW64" s="61">
        <f t="shared" si="117"/>
        <v>66765350.142999977</v>
      </c>
      <c r="FX64" s="61">
        <f t="shared" si="117"/>
        <v>65884091.112999976</v>
      </c>
      <c r="FY64" s="61">
        <f t="shared" si="117"/>
        <v>63209703.112999976</v>
      </c>
      <c r="FZ64" s="233">
        <f t="shared" si="117"/>
        <v>-7175240.887000069</v>
      </c>
      <c r="GA64" s="61">
        <f t="shared" si="117"/>
        <v>-8182550.887000069</v>
      </c>
      <c r="GB64" s="61">
        <f t="shared" si="117"/>
        <v>-13186039.887000069</v>
      </c>
      <c r="GC64" s="61">
        <f t="shared" si="117"/>
        <v>-16925967.887000069</v>
      </c>
      <c r="GD64" s="61">
        <f t="shared" si="117"/>
        <v>-18127694.887000069</v>
      </c>
      <c r="GE64" s="61">
        <f t="shared" si="117"/>
        <v>-19133368.887000069</v>
      </c>
      <c r="GF64" s="61">
        <f t="shared" si="117"/>
        <v>-19877815.887000069</v>
      </c>
      <c r="GG64" s="248">
        <f t="shared" si="117"/>
        <v>-20445727.247000068</v>
      </c>
      <c r="GH64" s="61">
        <f t="shared" si="117"/>
        <v>65860377.662999973</v>
      </c>
      <c r="GI64" s="61">
        <f t="shared" si="117"/>
        <v>74677912.662999973</v>
      </c>
      <c r="GJ64" s="61">
        <f t="shared" si="117"/>
        <v>72901130.662999973</v>
      </c>
      <c r="GK64" s="61">
        <f t="shared" si="117"/>
        <v>72750169.662999973</v>
      </c>
      <c r="GL64" s="61">
        <f t="shared" si="117"/>
        <v>69485798.502999932</v>
      </c>
      <c r="GM64" s="61">
        <f t="shared" ref="GM64:IT64" si="118">+GM51+GM62</f>
        <v>67186644.502999932</v>
      </c>
      <c r="GN64" s="61">
        <f t="shared" si="118"/>
        <v>66983860.502999932</v>
      </c>
      <c r="GO64" s="61">
        <f t="shared" si="118"/>
        <v>67585749.502999932</v>
      </c>
      <c r="GP64" s="61">
        <f t="shared" si="118"/>
        <v>53634208.692999929</v>
      </c>
      <c r="GQ64" s="61">
        <f t="shared" si="118"/>
        <v>60408744.502999932</v>
      </c>
      <c r="GR64" s="61">
        <f t="shared" si="118"/>
        <v>62406916.502999917</v>
      </c>
      <c r="GS64" s="61">
        <f t="shared" si="118"/>
        <v>61919626.502999917</v>
      </c>
      <c r="GT64" s="61">
        <f t="shared" si="118"/>
        <v>63460126.502999917</v>
      </c>
      <c r="GU64" s="233">
        <f t="shared" si="118"/>
        <v>65995801.502999902</v>
      </c>
      <c r="GV64" s="61">
        <f t="shared" si="118"/>
        <v>64690271.502999902</v>
      </c>
      <c r="GW64" s="61">
        <f t="shared" si="118"/>
        <v>65927328.502999902</v>
      </c>
      <c r="GX64" s="61">
        <f t="shared" si="118"/>
        <v>70509926.502999887</v>
      </c>
      <c r="GY64" s="61">
        <f t="shared" si="118"/>
        <v>72152392.502999887</v>
      </c>
      <c r="GZ64" s="61">
        <f t="shared" si="118"/>
        <v>71910843.502999887</v>
      </c>
      <c r="HA64" s="61">
        <f t="shared" si="118"/>
        <v>64196286.502999902</v>
      </c>
      <c r="HB64" s="61">
        <f t="shared" si="118"/>
        <v>65791340.502999902</v>
      </c>
      <c r="HC64" s="61">
        <f t="shared" si="118"/>
        <v>62981190.502999902</v>
      </c>
      <c r="HD64" s="61">
        <f t="shared" si="118"/>
        <v>62440462.432999909</v>
      </c>
      <c r="HE64" s="61">
        <f t="shared" si="118"/>
        <v>69640038.332999915</v>
      </c>
      <c r="HF64" s="61">
        <f t="shared" si="118"/>
        <v>73182959.332999915</v>
      </c>
      <c r="HG64" s="61">
        <f t="shared" si="118"/>
        <v>78667673.492999911</v>
      </c>
      <c r="HH64" s="61">
        <f t="shared" si="118"/>
        <v>81383857.162999913</v>
      </c>
      <c r="HI64" s="61">
        <f t="shared" si="118"/>
        <v>67897625.632999912</v>
      </c>
      <c r="HJ64" s="61">
        <f t="shared" si="118"/>
        <v>64447753.632999897</v>
      </c>
      <c r="HK64" s="61">
        <f t="shared" si="118"/>
        <v>67103350.632999897</v>
      </c>
      <c r="HL64" s="61">
        <f t="shared" si="118"/>
        <v>68602924.632999897</v>
      </c>
      <c r="HM64" s="61">
        <f t="shared" si="118"/>
        <v>75962442.632999897</v>
      </c>
      <c r="HN64" s="61">
        <f t="shared" si="118"/>
        <v>76852333.632999897</v>
      </c>
      <c r="HO64" s="61">
        <f t="shared" si="118"/>
        <v>3547701.6329998821</v>
      </c>
      <c r="HP64" s="61">
        <f t="shared" si="118"/>
        <v>7460463.6329998821</v>
      </c>
      <c r="HQ64" s="61">
        <f t="shared" si="118"/>
        <v>7859732.6329998821</v>
      </c>
      <c r="HR64" s="61">
        <f t="shared" si="118"/>
        <v>8774234.6329998821</v>
      </c>
      <c r="HS64" s="61">
        <f t="shared" si="118"/>
        <v>10557853.632999897</v>
      </c>
      <c r="HT64" s="61">
        <f t="shared" si="118"/>
        <v>16964070.632999927</v>
      </c>
      <c r="HU64" s="61">
        <f t="shared" si="118"/>
        <v>23543901.632999897</v>
      </c>
      <c r="HV64" s="61">
        <f t="shared" si="118"/>
        <v>40040174.632999897</v>
      </c>
      <c r="HW64" s="61">
        <f t="shared" si="118"/>
        <v>42040040.632999897</v>
      </c>
      <c r="HX64" s="61">
        <f t="shared" si="118"/>
        <v>40340038.632999897</v>
      </c>
      <c r="HY64" s="61">
        <f t="shared" si="118"/>
        <v>55640038.632999897</v>
      </c>
      <c r="HZ64" s="61">
        <f t="shared" si="118"/>
        <v>61985365.072999895</v>
      </c>
      <c r="IA64" s="61">
        <f t="shared" si="118"/>
        <v>79485365.072999895</v>
      </c>
      <c r="IB64" s="61">
        <f t="shared" si="118"/>
        <v>78685365.072999895</v>
      </c>
      <c r="IC64" s="61">
        <f t="shared" si="118"/>
        <v>95985365.072999895</v>
      </c>
      <c r="ID64" s="61">
        <f t="shared" si="118"/>
        <v>96012457.072999895</v>
      </c>
      <c r="IE64" s="61">
        <f t="shared" si="118"/>
        <v>108205978.07299989</v>
      </c>
      <c r="IF64" s="61">
        <f t="shared" si="118"/>
        <v>123335236.07299989</v>
      </c>
      <c r="IG64" s="61">
        <f t="shared" si="118"/>
        <v>135251482.07299989</v>
      </c>
      <c r="IH64" s="61">
        <f t="shared" si="118"/>
        <v>187722160.36299986</v>
      </c>
      <c r="II64" s="61">
        <f t="shared" si="118"/>
        <v>208678297.07299986</v>
      </c>
      <c r="IJ64" s="61">
        <f t="shared" si="118"/>
        <v>158803409.07299986</v>
      </c>
      <c r="IK64" s="61">
        <f t="shared" si="118"/>
        <v>167405243.07299986</v>
      </c>
      <c r="IL64" s="61">
        <f t="shared" si="118"/>
        <v>171531173.07299986</v>
      </c>
      <c r="IM64" s="61">
        <f t="shared" si="118"/>
        <v>176336389.07299986</v>
      </c>
      <c r="IN64" s="61">
        <f t="shared" si="118"/>
        <v>181218124.07299986</v>
      </c>
      <c r="IO64" s="61">
        <f t="shared" si="118"/>
        <v>182271434.07299986</v>
      </c>
      <c r="IP64" s="61">
        <f t="shared" si="118"/>
        <v>191523817.07299986</v>
      </c>
      <c r="IQ64" s="61">
        <f t="shared" si="118"/>
        <v>196041001.07299984</v>
      </c>
      <c r="IR64" s="61">
        <f t="shared" si="118"/>
        <v>223684085.07299984</v>
      </c>
      <c r="IS64" s="61">
        <f t="shared" si="118"/>
        <v>222645811.07299984</v>
      </c>
      <c r="IT64" s="61">
        <f t="shared" si="118"/>
        <v>239448463.07299984</v>
      </c>
      <c r="IU64" s="61"/>
      <c r="IV64" s="149"/>
    </row>
    <row r="65" spans="14:222" ht="15.75" thickBot="1">
      <c r="N65" s="257"/>
      <c r="AF65" s="257"/>
      <c r="AV65" s="257"/>
      <c r="EK65" s="266" t="s">
        <v>96</v>
      </c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274" t="s">
        <v>49</v>
      </c>
      <c r="FA65" s="38"/>
      <c r="FB65" s="38"/>
      <c r="FC65" s="38"/>
      <c r="FD65" s="38"/>
      <c r="FE65" s="266" t="s">
        <v>97</v>
      </c>
      <c r="FF65" s="42"/>
      <c r="FG65" s="42"/>
      <c r="FH65" s="42"/>
      <c r="FI65" s="69" t="s">
        <v>105</v>
      </c>
      <c r="FJ65" s="42"/>
      <c r="FK65" s="42"/>
      <c r="FL65" s="71"/>
      <c r="FZ65" s="266" t="s">
        <v>99</v>
      </c>
      <c r="GA65" s="42"/>
      <c r="GB65" s="42"/>
      <c r="GC65" s="42"/>
      <c r="GD65" s="42"/>
      <c r="GE65" s="42"/>
      <c r="GF65" s="42"/>
      <c r="GG65" s="274" t="s">
        <v>49</v>
      </c>
      <c r="GU65" s="246"/>
    </row>
    <row r="66" spans="14:222" ht="15.75" thickBot="1">
      <c r="EG66" s="270">
        <v>125341750</v>
      </c>
      <c r="EI66" s="182">
        <v>1.07</v>
      </c>
      <c r="EK66" s="270">
        <v>0</v>
      </c>
      <c r="FE66" s="270">
        <v>0</v>
      </c>
      <c r="FI66" s="69" t="s">
        <v>104</v>
      </c>
      <c r="FL66" s="71"/>
      <c r="FZ66" s="270">
        <v>0</v>
      </c>
      <c r="HN66" s="124" t="s">
        <v>49</v>
      </c>
    </row>
    <row r="67" spans="14:222" ht="15" thickBot="1">
      <c r="EG67" s="269" t="s">
        <v>116</v>
      </c>
      <c r="EK67" s="269" t="s">
        <v>103</v>
      </c>
      <c r="FE67" s="269" t="s">
        <v>103</v>
      </c>
      <c r="FI67" s="281" t="s">
        <v>110</v>
      </c>
      <c r="FL67" s="280"/>
      <c r="FZ67" s="269" t="s">
        <v>103</v>
      </c>
    </row>
  </sheetData>
  <sheetProtection password="C93B" sheet="1" objects="1" scenarios="1"/>
  <phoneticPr fontId="0" type="noConversion"/>
  <pageMargins left="0.25" right="0.25" top="0.5" bottom="0.5" header="0.5" footer="0.25"/>
  <pageSetup scale="57" orientation="landscape" useFirstPageNumber="1" r:id="rId1"/>
  <headerFooter alignWithMargins="0">
    <oddFooter>&amp;LRevised: &amp;D &amp;T&amp;CPage &amp;P</oddFooter>
  </headerFooter>
  <colBreaks count="1" manualBreakCount="1">
    <brk id="135" min="5" max="66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43"/>
  </sheetPr>
  <dimension ref="A1:IV126"/>
  <sheetViews>
    <sheetView showGridLines="0" showOutlineSymbols="0" defaultGridColor="0" colorId="8" zoomScale="115" zoomScaleNormal="120" zoomScaleSheetLayoutView="100" workbookViewId="0">
      <pane xSplit="2" ySplit="6" topLeftCell="IR52" activePane="bottomRight" state="frozen"/>
      <selection pane="topRight" activeCell="C1" sqref="C1"/>
      <selection pane="bottomLeft" activeCell="A7" sqref="A7"/>
      <selection pane="bottomRight" activeCell="HO64" sqref="HO64"/>
    </sheetView>
  </sheetViews>
  <sheetFormatPr defaultColWidth="10.625" defaultRowHeight="14.25"/>
  <cols>
    <col min="1" max="1" width="17.375" customWidth="1"/>
    <col min="2" max="2" width="10.375" customWidth="1"/>
    <col min="3" max="3" width="10" style="152" customWidth="1"/>
    <col min="4" max="4" width="10" style="8" bestFit="1" customWidth="1"/>
    <col min="5" max="17" width="10" bestFit="1" customWidth="1"/>
    <col min="18" max="22" width="10.625" customWidth="1"/>
    <col min="23" max="23" width="10.625" style="152" customWidth="1"/>
    <col min="24" max="43" width="10.625" customWidth="1"/>
    <col min="44" max="44" width="10.625" style="152" customWidth="1"/>
    <col min="45" max="65" width="10.625" customWidth="1"/>
    <col min="66" max="66" width="10.625" style="152" customWidth="1"/>
    <col min="67" max="86" width="10.625" customWidth="1"/>
    <col min="87" max="87" width="10.625" style="152" customWidth="1"/>
    <col min="88" max="107" width="10.625" customWidth="1"/>
    <col min="108" max="108" width="10.625" style="152" customWidth="1"/>
    <col min="109" max="109" width="11.625" style="83" bestFit="1" customWidth="1"/>
    <col min="110" max="117" width="10.625" customWidth="1"/>
    <col min="118" max="118" width="10.625" style="8" customWidth="1"/>
    <col min="119" max="121" width="10.625" customWidth="1"/>
    <col min="122" max="122" width="10.625" style="83" customWidth="1"/>
    <col min="123" max="129" width="10.625" customWidth="1"/>
    <col min="130" max="130" width="10.625" style="152" customWidth="1"/>
    <col min="131" max="136" width="10.625" customWidth="1"/>
    <col min="137" max="137" width="11.875" style="38" bestFit="1" customWidth="1"/>
    <col min="138" max="138" width="10.625" style="8" customWidth="1"/>
    <col min="139" max="140" width="10.625" customWidth="1"/>
    <col min="141" max="141" width="10.625" style="56" customWidth="1"/>
    <col min="142" max="150" width="10.625" customWidth="1"/>
    <col min="151" max="151" width="10.625" style="152" customWidth="1"/>
    <col min="152" max="160" width="10.625" customWidth="1"/>
    <col min="161" max="161" width="11.375" style="8" bestFit="1" customWidth="1"/>
    <col min="162" max="162" width="10.625" style="8" customWidth="1"/>
    <col min="163" max="167" width="10.625" customWidth="1"/>
    <col min="168" max="168" width="10.625" style="56" customWidth="1"/>
    <col min="169" max="171" width="10.625" customWidth="1"/>
    <col min="172" max="172" width="10.625" style="152" customWidth="1"/>
    <col min="173" max="181" width="10.625" customWidth="1"/>
    <col min="182" max="182" width="11" style="8" bestFit="1" customWidth="1"/>
    <col min="183" max="193" width="10.625" customWidth="1"/>
    <col min="194" max="194" width="10.625" style="152" customWidth="1"/>
    <col min="195" max="202" width="10.625" customWidth="1"/>
    <col min="203" max="203" width="10.625" style="38" customWidth="1"/>
    <col min="204" max="211" width="10.625" customWidth="1"/>
    <col min="212" max="212" width="10.625" style="152" customWidth="1"/>
    <col min="213" max="220" width="10.625" customWidth="1"/>
    <col min="221" max="223" width="10.625" style="8" customWidth="1"/>
    <col min="224" max="233" width="10.625" customWidth="1"/>
    <col min="234" max="234" width="10.625" style="152" customWidth="1"/>
    <col min="235" max="241" width="10.625" customWidth="1"/>
    <col min="242" max="242" width="10.625" style="38" customWidth="1"/>
    <col min="243" max="253" width="10.625" customWidth="1"/>
    <col min="254" max="254" width="10.625" style="152" customWidth="1"/>
    <col min="255" max="255" width="10.625" style="8" customWidth="1"/>
  </cols>
  <sheetData>
    <row r="1" spans="1:256" ht="27">
      <c r="A1" s="17" t="s">
        <v>36</v>
      </c>
      <c r="B1" s="1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3"/>
      <c r="DE1" s="166" t="s">
        <v>65</v>
      </c>
      <c r="DQ1" s="8"/>
      <c r="DR1" s="164" t="s">
        <v>70</v>
      </c>
      <c r="EG1" s="119" t="s">
        <v>67</v>
      </c>
      <c r="EK1" s="117" t="s">
        <v>61</v>
      </c>
      <c r="FI1" s="68" t="s">
        <v>115</v>
      </c>
      <c r="FL1" s="68" t="s">
        <v>113</v>
      </c>
      <c r="FZ1" s="247"/>
      <c r="HM1" s="139"/>
      <c r="HN1" s="125" t="s">
        <v>49</v>
      </c>
      <c r="HO1" s="68" t="s">
        <v>58</v>
      </c>
      <c r="IH1" s="97"/>
    </row>
    <row r="2" spans="1:256" ht="19.5">
      <c r="A2" s="19" t="s">
        <v>0</v>
      </c>
      <c r="B2" s="19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3"/>
      <c r="DE2" s="166" t="s">
        <v>72</v>
      </c>
      <c r="DR2" s="164" t="s">
        <v>66</v>
      </c>
      <c r="EG2" s="119" t="s">
        <v>68</v>
      </c>
      <c r="EK2" s="118" t="s">
        <v>59</v>
      </c>
      <c r="FI2" s="69" t="s">
        <v>58</v>
      </c>
      <c r="FL2" s="69" t="s">
        <v>58</v>
      </c>
      <c r="FZ2" s="186"/>
      <c r="HM2" s="140"/>
      <c r="HN2" s="126" t="s">
        <v>49</v>
      </c>
      <c r="HO2" s="69" t="s">
        <v>59</v>
      </c>
      <c r="IH2" s="98"/>
    </row>
    <row r="3" spans="1:256" ht="15.75" thickBot="1">
      <c r="B3" s="16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3"/>
      <c r="EK3" s="121" t="s">
        <v>71</v>
      </c>
      <c r="FI3" s="69" t="s">
        <v>114</v>
      </c>
      <c r="FL3" s="69" t="s">
        <v>114</v>
      </c>
      <c r="FZ3" s="186"/>
      <c r="HM3" s="140"/>
      <c r="HN3" s="126" t="s">
        <v>49</v>
      </c>
      <c r="HO3" s="69" t="s">
        <v>63</v>
      </c>
      <c r="IH3" s="98"/>
    </row>
    <row r="4" spans="1:256" s="50" customFormat="1" ht="14.1" customHeight="1">
      <c r="A4" s="51" t="s">
        <v>1</v>
      </c>
      <c r="B4" s="47" t="s">
        <v>46</v>
      </c>
      <c r="C4" s="55">
        <v>39478</v>
      </c>
      <c r="D4" s="48">
        <v>39479</v>
      </c>
      <c r="E4" s="48">
        <v>39482</v>
      </c>
      <c r="F4" s="48">
        <v>39483</v>
      </c>
      <c r="G4" s="48">
        <v>39484</v>
      </c>
      <c r="H4" s="48">
        <v>39485</v>
      </c>
      <c r="I4" s="54">
        <v>39486</v>
      </c>
      <c r="J4" s="48">
        <v>39489</v>
      </c>
      <c r="K4" s="48">
        <v>39490</v>
      </c>
      <c r="L4" s="48">
        <v>39491</v>
      </c>
      <c r="M4" s="48">
        <v>39492</v>
      </c>
      <c r="N4" s="220">
        <v>39493</v>
      </c>
      <c r="O4" s="48">
        <v>39497</v>
      </c>
      <c r="P4" s="48">
        <v>39498</v>
      </c>
      <c r="Q4" s="48">
        <v>39499</v>
      </c>
      <c r="R4" s="54">
        <v>39500</v>
      </c>
      <c r="S4" s="48">
        <v>39503</v>
      </c>
      <c r="T4" s="84">
        <v>39504</v>
      </c>
      <c r="U4" s="48">
        <v>39505</v>
      </c>
      <c r="V4" s="48">
        <v>39506</v>
      </c>
      <c r="W4" s="55">
        <v>39507</v>
      </c>
      <c r="X4" s="48">
        <v>39510</v>
      </c>
      <c r="Y4" s="48">
        <v>39511</v>
      </c>
      <c r="Z4" s="48">
        <v>39512</v>
      </c>
      <c r="AA4" s="48">
        <v>39513</v>
      </c>
      <c r="AB4" s="54">
        <v>39514</v>
      </c>
      <c r="AC4" s="48">
        <v>39517</v>
      </c>
      <c r="AD4" s="48">
        <v>39518</v>
      </c>
      <c r="AE4" s="48">
        <v>39519</v>
      </c>
      <c r="AF4" s="220">
        <v>39520</v>
      </c>
      <c r="AG4" s="48">
        <v>39521</v>
      </c>
      <c r="AH4" s="48">
        <v>39524</v>
      </c>
      <c r="AI4" s="48">
        <v>39525</v>
      </c>
      <c r="AJ4" s="48">
        <v>39526</v>
      </c>
      <c r="AK4" s="48">
        <v>39527</v>
      </c>
      <c r="AL4" s="54">
        <v>39528</v>
      </c>
      <c r="AM4" s="48">
        <v>39531</v>
      </c>
      <c r="AN4" s="48">
        <v>39532</v>
      </c>
      <c r="AO4" s="48">
        <v>39533</v>
      </c>
      <c r="AP4" s="48">
        <v>39534</v>
      </c>
      <c r="AQ4" s="48">
        <v>39535</v>
      </c>
      <c r="AR4" s="55">
        <v>39538</v>
      </c>
      <c r="AS4" s="48">
        <v>39539</v>
      </c>
      <c r="AT4" s="48">
        <v>39540</v>
      </c>
      <c r="AU4" s="48">
        <v>39541</v>
      </c>
      <c r="AV4" s="220">
        <v>39542</v>
      </c>
      <c r="AW4" s="48">
        <v>39545</v>
      </c>
      <c r="AX4" s="48">
        <v>39546</v>
      </c>
      <c r="AY4" s="48">
        <v>39547</v>
      </c>
      <c r="AZ4" s="48">
        <v>39548</v>
      </c>
      <c r="BA4" s="48">
        <v>39549</v>
      </c>
      <c r="BB4" s="48">
        <v>39552</v>
      </c>
      <c r="BC4" s="54">
        <v>39553</v>
      </c>
      <c r="BD4" s="48">
        <v>39554</v>
      </c>
      <c r="BE4" s="48">
        <v>39555</v>
      </c>
      <c r="BF4" s="54">
        <v>39556</v>
      </c>
      <c r="BG4" s="48">
        <v>39559</v>
      </c>
      <c r="BH4" s="48">
        <v>39560</v>
      </c>
      <c r="BI4" s="48">
        <v>39561</v>
      </c>
      <c r="BJ4" s="48">
        <v>39562</v>
      </c>
      <c r="BK4" s="48">
        <v>39563</v>
      </c>
      <c r="BL4" s="48">
        <v>39566</v>
      </c>
      <c r="BM4" s="48">
        <v>39567</v>
      </c>
      <c r="BN4" s="55">
        <v>39568</v>
      </c>
      <c r="BO4" s="48">
        <v>39569</v>
      </c>
      <c r="BP4" s="54">
        <v>39570</v>
      </c>
      <c r="BQ4" s="48">
        <v>39573</v>
      </c>
      <c r="BR4" s="48">
        <v>39574</v>
      </c>
      <c r="BS4" s="48">
        <v>39575</v>
      </c>
      <c r="BT4" s="48">
        <v>39576</v>
      </c>
      <c r="BU4" s="48">
        <v>39577</v>
      </c>
      <c r="BV4" s="48">
        <v>39580</v>
      </c>
      <c r="BW4" s="48">
        <v>39581</v>
      </c>
      <c r="BX4" s="48">
        <v>39582</v>
      </c>
      <c r="BY4" s="54">
        <v>39583</v>
      </c>
      <c r="BZ4" s="54">
        <v>39584</v>
      </c>
      <c r="CA4" s="48">
        <v>39587</v>
      </c>
      <c r="CB4" s="48">
        <v>39588</v>
      </c>
      <c r="CC4" s="48">
        <v>39589</v>
      </c>
      <c r="CD4" s="48">
        <v>39590</v>
      </c>
      <c r="CE4" s="48">
        <v>39591</v>
      </c>
      <c r="CF4" s="48">
        <v>39595</v>
      </c>
      <c r="CG4" s="48">
        <v>39596</v>
      </c>
      <c r="CH4" s="48">
        <v>39597</v>
      </c>
      <c r="CI4" s="54">
        <v>39598</v>
      </c>
      <c r="CJ4" s="48">
        <v>39601</v>
      </c>
      <c r="CK4" s="48">
        <v>39602</v>
      </c>
      <c r="CL4" s="48">
        <v>39603</v>
      </c>
      <c r="CM4" s="48">
        <v>39604</v>
      </c>
      <c r="CN4" s="48">
        <v>39605</v>
      </c>
      <c r="CO4" s="48">
        <v>39608</v>
      </c>
      <c r="CP4" s="48">
        <v>39609</v>
      </c>
      <c r="CQ4" s="48">
        <v>39610</v>
      </c>
      <c r="CR4" s="48">
        <v>39611</v>
      </c>
      <c r="CS4" s="54">
        <v>39612</v>
      </c>
      <c r="CT4" s="48">
        <v>39615</v>
      </c>
      <c r="CU4" s="48">
        <v>39616</v>
      </c>
      <c r="CV4" s="48">
        <v>39617</v>
      </c>
      <c r="CW4" s="48">
        <v>39618</v>
      </c>
      <c r="CX4" s="48">
        <v>39619</v>
      </c>
      <c r="CY4" s="48">
        <v>39622</v>
      </c>
      <c r="CZ4" s="48">
        <v>39623</v>
      </c>
      <c r="DA4" s="48">
        <v>39624</v>
      </c>
      <c r="DB4" s="48">
        <v>39625</v>
      </c>
      <c r="DC4" s="54">
        <v>39626</v>
      </c>
      <c r="DD4" s="55">
        <v>39629</v>
      </c>
      <c r="DE4" s="84">
        <v>39630</v>
      </c>
      <c r="DF4" s="48">
        <v>39631</v>
      </c>
      <c r="DG4" s="48">
        <v>39632</v>
      </c>
      <c r="DH4" s="48">
        <v>39636</v>
      </c>
      <c r="DI4" s="48">
        <v>39637</v>
      </c>
      <c r="DJ4" s="48">
        <v>39638</v>
      </c>
      <c r="DK4" s="48">
        <v>39639</v>
      </c>
      <c r="DL4" s="54">
        <v>39640</v>
      </c>
      <c r="DM4" s="48">
        <v>39643</v>
      </c>
      <c r="DN4" s="54">
        <v>39644</v>
      </c>
      <c r="DO4" s="48">
        <v>39645</v>
      </c>
      <c r="DP4" s="48">
        <v>39646</v>
      </c>
      <c r="DQ4" s="48">
        <v>39281</v>
      </c>
      <c r="DR4" s="84">
        <v>39650</v>
      </c>
      <c r="DS4" s="48">
        <v>39651</v>
      </c>
      <c r="DT4" s="48">
        <v>39652</v>
      </c>
      <c r="DU4" s="48">
        <v>39653</v>
      </c>
      <c r="DV4" s="54">
        <v>39654</v>
      </c>
      <c r="DW4" s="48">
        <v>39657</v>
      </c>
      <c r="DX4" s="48">
        <v>39658</v>
      </c>
      <c r="DY4" s="48">
        <v>39659</v>
      </c>
      <c r="DZ4" s="55">
        <v>39660</v>
      </c>
      <c r="EA4" s="48">
        <v>39661</v>
      </c>
      <c r="EB4" s="48">
        <v>39664</v>
      </c>
      <c r="EC4" s="48">
        <v>39665</v>
      </c>
      <c r="ED4" s="48">
        <v>39666</v>
      </c>
      <c r="EE4" s="48">
        <v>39667</v>
      </c>
      <c r="EF4" s="54">
        <v>39668</v>
      </c>
      <c r="EG4" s="52">
        <v>39671</v>
      </c>
      <c r="EH4" s="48">
        <v>39672</v>
      </c>
      <c r="EI4" s="48">
        <v>39673</v>
      </c>
      <c r="EJ4" s="48">
        <v>39674</v>
      </c>
      <c r="EK4" s="180">
        <v>39675</v>
      </c>
      <c r="EL4" s="48">
        <v>39678</v>
      </c>
      <c r="EM4" s="48">
        <v>39679</v>
      </c>
      <c r="EN4" s="48">
        <v>39680</v>
      </c>
      <c r="EO4" s="48">
        <v>39681</v>
      </c>
      <c r="EP4" s="54">
        <v>39682</v>
      </c>
      <c r="EQ4" s="48">
        <v>39685</v>
      </c>
      <c r="ER4" s="48">
        <v>39686</v>
      </c>
      <c r="ES4" s="48">
        <v>39687</v>
      </c>
      <c r="ET4" s="48">
        <v>39688</v>
      </c>
      <c r="EU4" s="55">
        <v>39689</v>
      </c>
      <c r="EV4" s="48">
        <v>39693</v>
      </c>
      <c r="EW4" s="48">
        <v>39694</v>
      </c>
      <c r="EX4" s="48">
        <v>39695</v>
      </c>
      <c r="EY4" s="54">
        <v>39696</v>
      </c>
      <c r="EZ4" s="48">
        <v>39699</v>
      </c>
      <c r="FA4" s="162">
        <v>39700</v>
      </c>
      <c r="FB4" s="48">
        <v>39701</v>
      </c>
      <c r="FC4" s="48">
        <v>39702</v>
      </c>
      <c r="FD4" s="48">
        <v>39703</v>
      </c>
      <c r="FE4" s="220">
        <v>39706</v>
      </c>
      <c r="FF4" s="48">
        <v>39707</v>
      </c>
      <c r="FG4" s="48">
        <v>39708</v>
      </c>
      <c r="FH4" s="48">
        <v>39709</v>
      </c>
      <c r="FI4" s="220">
        <v>39710</v>
      </c>
      <c r="FJ4" s="48">
        <v>39713</v>
      </c>
      <c r="FK4" s="48">
        <v>39714</v>
      </c>
      <c r="FL4" s="70">
        <v>39715</v>
      </c>
      <c r="FM4" s="162">
        <v>39716</v>
      </c>
      <c r="FN4" s="48">
        <v>39717</v>
      </c>
      <c r="FO4" s="48">
        <v>39720</v>
      </c>
      <c r="FP4" s="55">
        <v>39721</v>
      </c>
      <c r="FQ4" s="48">
        <v>39722</v>
      </c>
      <c r="FR4" s="48">
        <v>39723</v>
      </c>
      <c r="FS4" s="54">
        <v>39724</v>
      </c>
      <c r="FT4" s="48">
        <v>39727</v>
      </c>
      <c r="FU4" s="48">
        <v>39728</v>
      </c>
      <c r="FV4" s="48">
        <v>39729</v>
      </c>
      <c r="FW4" s="48">
        <v>39730</v>
      </c>
      <c r="FX4" s="48">
        <v>39731</v>
      </c>
      <c r="FY4" s="48">
        <v>39735</v>
      </c>
      <c r="FZ4" s="220">
        <v>39736</v>
      </c>
      <c r="GA4" s="48">
        <v>39737</v>
      </c>
      <c r="GB4" s="54">
        <v>39738</v>
      </c>
      <c r="GC4" s="48">
        <v>39741</v>
      </c>
      <c r="GD4" s="48">
        <v>39742</v>
      </c>
      <c r="GE4" s="48">
        <v>39743</v>
      </c>
      <c r="GF4" s="48">
        <v>39744</v>
      </c>
      <c r="GG4" s="48">
        <v>39745</v>
      </c>
      <c r="GH4" s="162">
        <v>39748</v>
      </c>
      <c r="GI4" s="48">
        <v>39749</v>
      </c>
      <c r="GJ4" s="48">
        <v>39750</v>
      </c>
      <c r="GK4" s="48">
        <v>39751</v>
      </c>
      <c r="GL4" s="54">
        <v>39752</v>
      </c>
      <c r="GM4" s="48">
        <v>39755</v>
      </c>
      <c r="GN4" s="48">
        <v>39756</v>
      </c>
      <c r="GO4" s="48">
        <v>39757</v>
      </c>
      <c r="GP4" s="48">
        <v>39758</v>
      </c>
      <c r="GQ4" s="48">
        <v>39759</v>
      </c>
      <c r="GR4" s="48">
        <v>39762</v>
      </c>
      <c r="GS4" s="48">
        <v>39764</v>
      </c>
      <c r="GT4" s="48">
        <v>39765</v>
      </c>
      <c r="GU4" s="220">
        <v>39766</v>
      </c>
      <c r="GV4" s="48">
        <v>39769</v>
      </c>
      <c r="GW4" s="48">
        <v>39770</v>
      </c>
      <c r="GX4" s="48">
        <v>39771</v>
      </c>
      <c r="GY4" s="48">
        <v>39772</v>
      </c>
      <c r="GZ4" s="48">
        <v>39773</v>
      </c>
      <c r="HA4" s="48">
        <v>39776</v>
      </c>
      <c r="HB4" s="48">
        <v>39777</v>
      </c>
      <c r="HC4" s="48">
        <v>39778</v>
      </c>
      <c r="HD4" s="54">
        <v>39780</v>
      </c>
      <c r="HE4" s="48">
        <v>37226</v>
      </c>
      <c r="HF4" s="48">
        <f>+HE4+1</f>
        <v>37227</v>
      </c>
      <c r="HG4" s="48">
        <v>39785</v>
      </c>
      <c r="HH4" s="48">
        <f>+HG4+1</f>
        <v>39786</v>
      </c>
      <c r="HI4" s="48">
        <f>+HH4+1</f>
        <v>39787</v>
      </c>
      <c r="HJ4" s="48">
        <v>39790</v>
      </c>
      <c r="HK4" s="48">
        <f>+HJ4+1</f>
        <v>39791</v>
      </c>
      <c r="HL4" s="48">
        <f>+HK4+1</f>
        <v>39792</v>
      </c>
      <c r="HM4" s="48">
        <f>+HL4+1</f>
        <v>39793</v>
      </c>
      <c r="HN4" s="187">
        <f>+HM4+1</f>
        <v>39794</v>
      </c>
      <c r="HO4" s="180">
        <v>39797</v>
      </c>
      <c r="HP4" s="48">
        <f>+HO4+1</f>
        <v>39798</v>
      </c>
      <c r="HQ4" s="48">
        <f>HP4+1</f>
        <v>39799</v>
      </c>
      <c r="HR4" s="48">
        <f>HQ4+1</f>
        <v>39800</v>
      </c>
      <c r="HS4" s="48">
        <f>HR4+1</f>
        <v>39801</v>
      </c>
      <c r="HT4" s="48">
        <v>39804</v>
      </c>
      <c r="HU4" s="48">
        <f>HT4+1</f>
        <v>39805</v>
      </c>
      <c r="HV4" s="48">
        <f>HU4+1</f>
        <v>39806</v>
      </c>
      <c r="HW4" s="54">
        <v>39808</v>
      </c>
      <c r="HX4" s="48">
        <v>39811</v>
      </c>
      <c r="HY4" s="48">
        <f>HX4+1</f>
        <v>39812</v>
      </c>
      <c r="HZ4" s="55">
        <f>HY4+1</f>
        <v>39813</v>
      </c>
      <c r="IA4" s="48">
        <v>39815</v>
      </c>
      <c r="IB4" s="48">
        <v>39818</v>
      </c>
      <c r="IC4" s="48">
        <f>IB4+1</f>
        <v>39819</v>
      </c>
      <c r="ID4" s="48">
        <f>IC4+1</f>
        <v>39820</v>
      </c>
      <c r="IE4" s="48">
        <f>ID4+1</f>
        <v>39821</v>
      </c>
      <c r="IF4" s="54">
        <f>IE4+1</f>
        <v>39822</v>
      </c>
      <c r="IG4" s="48">
        <v>39825</v>
      </c>
      <c r="IH4" s="99">
        <f>IG4+1</f>
        <v>39826</v>
      </c>
      <c r="II4" s="48">
        <f>IH4+1</f>
        <v>39827</v>
      </c>
      <c r="IJ4" s="54">
        <f>II4+1</f>
        <v>39828</v>
      </c>
      <c r="IK4" s="48">
        <f>IJ4+1</f>
        <v>39829</v>
      </c>
      <c r="IL4" s="48">
        <v>39833</v>
      </c>
      <c r="IM4" s="48">
        <f>IL4+1</f>
        <v>39834</v>
      </c>
      <c r="IN4" s="48">
        <f>IM4+1</f>
        <v>39835</v>
      </c>
      <c r="IO4" s="54">
        <f>IN4+1</f>
        <v>39836</v>
      </c>
      <c r="IP4" s="48">
        <v>39839</v>
      </c>
      <c r="IQ4" s="48">
        <f>IP4+1</f>
        <v>39840</v>
      </c>
      <c r="IR4" s="48">
        <f>IQ4+1</f>
        <v>39841</v>
      </c>
      <c r="IS4" s="48">
        <f>IR4+1</f>
        <v>39842</v>
      </c>
      <c r="IT4" s="55">
        <f>IS4+1</f>
        <v>39843</v>
      </c>
      <c r="IU4" s="49" t="s">
        <v>73</v>
      </c>
    </row>
    <row r="5" spans="1:256" s="174" customFormat="1" ht="14.1" customHeight="1" thickBot="1">
      <c r="A5" s="167" t="s">
        <v>64</v>
      </c>
      <c r="B5" s="168"/>
      <c r="C5" s="169"/>
      <c r="D5" s="170"/>
      <c r="E5" s="170"/>
      <c r="F5" s="170"/>
      <c r="G5" s="170"/>
      <c r="H5" s="170"/>
      <c r="I5" s="171" t="s">
        <v>74</v>
      </c>
      <c r="J5" s="170"/>
      <c r="K5" s="170"/>
      <c r="L5" s="170"/>
      <c r="M5" s="170"/>
      <c r="N5" s="181" t="s">
        <v>75</v>
      </c>
      <c r="O5" s="170"/>
      <c r="P5" s="170"/>
      <c r="Q5" s="170"/>
      <c r="R5" s="171" t="s">
        <v>74</v>
      </c>
      <c r="S5" s="170"/>
      <c r="T5" s="175"/>
      <c r="W5" s="169"/>
      <c r="AB5" s="171" t="s">
        <v>74</v>
      </c>
      <c r="AF5" s="181" t="s">
        <v>75</v>
      </c>
      <c r="AL5" s="171" t="s">
        <v>74</v>
      </c>
      <c r="AR5" s="169"/>
      <c r="AV5" s="181" t="s">
        <v>74</v>
      </c>
      <c r="BC5" s="171" t="s">
        <v>75</v>
      </c>
      <c r="BF5" s="171" t="s">
        <v>74</v>
      </c>
      <c r="BN5" s="169"/>
      <c r="BP5" s="171" t="s">
        <v>74</v>
      </c>
      <c r="BY5" s="171" t="s">
        <v>75</v>
      </c>
      <c r="BZ5" s="171" t="s">
        <v>74</v>
      </c>
      <c r="CI5" s="171" t="s">
        <v>74</v>
      </c>
      <c r="CS5" s="171" t="s">
        <v>76</v>
      </c>
      <c r="DC5" s="171" t="s">
        <v>74</v>
      </c>
      <c r="DD5" s="169"/>
      <c r="DE5" s="175"/>
      <c r="DL5" s="171" t="s">
        <v>74</v>
      </c>
      <c r="DN5" s="171" t="s">
        <v>75</v>
      </c>
      <c r="DR5" s="175"/>
      <c r="DV5" s="171" t="s">
        <v>74</v>
      </c>
      <c r="DZ5" s="169"/>
      <c r="EF5" s="171" t="s">
        <v>74</v>
      </c>
      <c r="EG5" s="176"/>
      <c r="EH5" s="170"/>
      <c r="EK5" s="181" t="s">
        <v>75</v>
      </c>
      <c r="EP5" s="171" t="s">
        <v>74</v>
      </c>
      <c r="EU5" s="169"/>
      <c r="EY5" s="171" t="s">
        <v>74</v>
      </c>
      <c r="FA5" s="215"/>
      <c r="FE5" s="181" t="s">
        <v>75</v>
      </c>
      <c r="FF5" s="170"/>
      <c r="FI5" s="181" t="s">
        <v>74</v>
      </c>
      <c r="FL5" s="177"/>
      <c r="FM5" s="215"/>
      <c r="FP5" s="169"/>
      <c r="FS5" s="171" t="s">
        <v>74</v>
      </c>
      <c r="FZ5" s="181" t="s">
        <v>75</v>
      </c>
      <c r="GB5" s="171" t="s">
        <v>74</v>
      </c>
      <c r="GH5" s="215"/>
      <c r="GL5" s="171" t="s">
        <v>74</v>
      </c>
      <c r="GR5" s="179"/>
      <c r="GU5" s="181" t="s">
        <v>76</v>
      </c>
      <c r="HD5" s="171" t="s">
        <v>74</v>
      </c>
      <c r="HM5" s="172"/>
      <c r="HN5" s="188" t="s">
        <v>74</v>
      </c>
      <c r="HO5" s="181" t="s">
        <v>75</v>
      </c>
      <c r="HW5" s="171" t="s">
        <v>74</v>
      </c>
      <c r="HZ5" s="169"/>
      <c r="IF5" s="171" t="s">
        <v>74</v>
      </c>
      <c r="IH5" s="178"/>
      <c r="IJ5" s="171" t="s">
        <v>75</v>
      </c>
      <c r="IO5" s="171" t="s">
        <v>74</v>
      </c>
      <c r="IT5" s="169"/>
      <c r="IU5" s="170"/>
    </row>
    <row r="6" spans="1:256" ht="14.1" customHeight="1">
      <c r="A6" s="2" t="s">
        <v>2</v>
      </c>
      <c r="B6" s="2"/>
      <c r="C6" s="153">
        <v>218580</v>
      </c>
      <c r="D6" s="2">
        <v>120440</v>
      </c>
      <c r="E6" s="2">
        <v>219084</v>
      </c>
      <c r="F6" s="2">
        <v>289343</v>
      </c>
      <c r="G6" s="2">
        <v>329905</v>
      </c>
      <c r="H6" s="2">
        <v>-23552</v>
      </c>
      <c r="I6" s="2">
        <v>114821</v>
      </c>
      <c r="J6" s="2">
        <v>110655</v>
      </c>
      <c r="K6" s="2">
        <v>103011</v>
      </c>
      <c r="L6" s="2">
        <v>107751</v>
      </c>
      <c r="M6" s="2">
        <v>171542</v>
      </c>
      <c r="N6" s="221">
        <v>146397</v>
      </c>
      <c r="O6" s="2">
        <v>117817</v>
      </c>
      <c r="P6" s="2">
        <v>125911</v>
      </c>
      <c r="Q6" s="2">
        <v>175542</v>
      </c>
      <c r="R6" s="2">
        <v>206511</v>
      </c>
      <c r="S6" s="2">
        <v>200914</v>
      </c>
      <c r="T6" s="2">
        <v>119564</v>
      </c>
      <c r="U6" s="2">
        <v>138427</v>
      </c>
      <c r="V6" s="2">
        <v>110639</v>
      </c>
      <c r="W6" s="153">
        <v>107484</v>
      </c>
      <c r="X6" s="2">
        <v>105659</v>
      </c>
      <c r="Y6" s="2">
        <v>134605</v>
      </c>
      <c r="Z6" s="2">
        <v>184703</v>
      </c>
      <c r="AA6" s="2">
        <v>157058</v>
      </c>
      <c r="AB6" s="2">
        <v>310163</v>
      </c>
      <c r="AC6" s="2">
        <v>281129</v>
      </c>
      <c r="AD6" s="2">
        <v>137690</v>
      </c>
      <c r="AE6" s="2">
        <v>132184</v>
      </c>
      <c r="AF6" s="221">
        <v>104593</v>
      </c>
      <c r="AG6" s="2">
        <v>100177</v>
      </c>
      <c r="AH6" s="2">
        <v>100000</v>
      </c>
      <c r="AI6" s="2">
        <v>100000</v>
      </c>
      <c r="AJ6" s="2">
        <v>106477</v>
      </c>
      <c r="AK6" s="2">
        <v>173244</v>
      </c>
      <c r="AL6" s="2">
        <v>136361</v>
      </c>
      <c r="AM6" s="2">
        <v>122616</v>
      </c>
      <c r="AN6" s="2">
        <v>120696</v>
      </c>
      <c r="AO6" s="2">
        <v>114807</v>
      </c>
      <c r="AP6" s="2">
        <v>217771</v>
      </c>
      <c r="AQ6" s="2">
        <v>249779</v>
      </c>
      <c r="AR6" s="153">
        <v>129227</v>
      </c>
      <c r="AS6" s="2">
        <v>126885</v>
      </c>
      <c r="AT6" s="2">
        <v>128590</v>
      </c>
      <c r="AU6" s="2">
        <v>113842</v>
      </c>
      <c r="AV6" s="221">
        <v>129732</v>
      </c>
      <c r="AW6" s="2">
        <v>144515</v>
      </c>
      <c r="AX6" s="2">
        <v>135908</v>
      </c>
      <c r="AY6" s="2">
        <v>127487</v>
      </c>
      <c r="AZ6" s="2">
        <v>151765</v>
      </c>
      <c r="BA6" s="2">
        <v>176423</v>
      </c>
      <c r="BB6" s="2">
        <v>201392</v>
      </c>
      <c r="BC6" s="2">
        <v>143085</v>
      </c>
      <c r="BD6" s="2">
        <v>125947</v>
      </c>
      <c r="BE6" s="2">
        <v>117135</v>
      </c>
      <c r="BF6" s="2">
        <v>193360</v>
      </c>
      <c r="BG6" s="2">
        <v>149448</v>
      </c>
      <c r="BH6" s="2">
        <v>109554</v>
      </c>
      <c r="BI6" s="2">
        <v>134123</v>
      </c>
      <c r="BJ6" s="2">
        <v>134555</v>
      </c>
      <c r="BK6" s="2">
        <v>169904</v>
      </c>
      <c r="BL6" s="2">
        <v>147210</v>
      </c>
      <c r="BM6" s="2">
        <v>144152</v>
      </c>
      <c r="BN6" s="153">
        <v>138694</v>
      </c>
      <c r="BO6" s="2">
        <v>111910</v>
      </c>
      <c r="BP6" s="2">
        <v>127733</v>
      </c>
      <c r="BQ6" s="2">
        <v>153339</v>
      </c>
      <c r="BR6" s="2">
        <v>134027</v>
      </c>
      <c r="BS6" s="2">
        <v>140202</v>
      </c>
      <c r="BT6" s="2">
        <v>133694</v>
      </c>
      <c r="BU6" s="2">
        <v>109050</v>
      </c>
      <c r="BV6" s="2">
        <v>112154</v>
      </c>
      <c r="BW6" s="2">
        <v>109100</v>
      </c>
      <c r="BX6" s="2">
        <v>108332</v>
      </c>
      <c r="BY6" s="2">
        <v>104841</v>
      </c>
      <c r="BZ6" s="2">
        <v>124221</v>
      </c>
      <c r="CA6" s="2">
        <v>119536</v>
      </c>
      <c r="CB6" s="2">
        <v>124280</v>
      </c>
      <c r="CC6" s="2">
        <v>309868</v>
      </c>
      <c r="CD6" s="2">
        <v>425034</v>
      </c>
      <c r="CE6" s="2">
        <v>141021</v>
      </c>
      <c r="CF6" s="2">
        <v>152701</v>
      </c>
      <c r="CG6" s="2">
        <v>130909</v>
      </c>
      <c r="CH6" s="2">
        <v>149965</v>
      </c>
      <c r="CI6" s="153">
        <v>168613</v>
      </c>
      <c r="CJ6" s="2">
        <v>175861</v>
      </c>
      <c r="CK6" s="2">
        <v>109962</v>
      </c>
      <c r="CL6" s="2">
        <v>101698</v>
      </c>
      <c r="CM6" s="2">
        <v>100143</v>
      </c>
      <c r="CN6" s="2">
        <v>169196</v>
      </c>
      <c r="CO6" s="2">
        <v>129297</v>
      </c>
      <c r="CP6" s="2">
        <v>107456</v>
      </c>
      <c r="CQ6" s="2">
        <v>114733</v>
      </c>
      <c r="CR6" s="2">
        <v>104071</v>
      </c>
      <c r="CS6" s="2">
        <v>162335</v>
      </c>
      <c r="CT6" s="2">
        <v>253100</v>
      </c>
      <c r="CU6" s="2">
        <v>113899</v>
      </c>
      <c r="CV6" s="2">
        <v>158744</v>
      </c>
      <c r="CW6" s="2">
        <v>113803</v>
      </c>
      <c r="CX6" s="2">
        <v>139892</v>
      </c>
      <c r="CY6" s="2">
        <v>142872</v>
      </c>
      <c r="CZ6" s="2">
        <v>110474</v>
      </c>
      <c r="DA6" s="2">
        <v>121687</v>
      </c>
      <c r="DB6" s="2">
        <v>129092</v>
      </c>
      <c r="DC6" s="2">
        <v>133289</v>
      </c>
      <c r="DD6" s="153">
        <v>105447</v>
      </c>
      <c r="DE6" s="85">
        <v>104198</v>
      </c>
      <c r="DF6" s="2">
        <v>210531</v>
      </c>
      <c r="DG6" s="2">
        <v>201020</v>
      </c>
      <c r="DH6" s="2">
        <v>688484</v>
      </c>
      <c r="DI6" s="2">
        <v>531400.17000000004</v>
      </c>
      <c r="DJ6" s="2">
        <v>134089</v>
      </c>
      <c r="DK6" s="2">
        <v>100000</v>
      </c>
      <c r="DL6" s="2">
        <v>100000</v>
      </c>
      <c r="DM6" s="2">
        <v>100000</v>
      </c>
      <c r="DN6" s="2">
        <v>100000</v>
      </c>
      <c r="DO6" s="2">
        <v>100000</v>
      </c>
      <c r="DP6" s="2">
        <v>1554249</v>
      </c>
      <c r="DQ6" s="2">
        <v>358738</v>
      </c>
      <c r="DR6" s="85">
        <f t="shared" ref="DR6:EW6" si="0">+DQ51</f>
        <v>327541.48</v>
      </c>
      <c r="DS6" s="2">
        <f t="shared" si="0"/>
        <v>135124.47999999998</v>
      </c>
      <c r="DT6" s="2">
        <f t="shared" si="0"/>
        <v>345370.48</v>
      </c>
      <c r="DU6" s="2">
        <f t="shared" si="0"/>
        <v>182021.4800000001</v>
      </c>
      <c r="DV6" s="2">
        <f t="shared" si="0"/>
        <v>121773.47999999952</v>
      </c>
      <c r="DW6" s="2">
        <f t="shared" si="0"/>
        <v>111335.47999999952</v>
      </c>
      <c r="DX6" s="2">
        <f t="shared" si="0"/>
        <v>102465.47999999952</v>
      </c>
      <c r="DY6" s="2">
        <f t="shared" si="0"/>
        <v>202502.47999999858</v>
      </c>
      <c r="DZ6" s="153">
        <f t="shared" si="0"/>
        <v>200822.47999999858</v>
      </c>
      <c r="EA6" s="2">
        <f t="shared" si="0"/>
        <v>122632.47999999858</v>
      </c>
      <c r="EB6" s="2">
        <f t="shared" si="0"/>
        <v>454761.47999999835</v>
      </c>
      <c r="EC6" s="2">
        <f t="shared" si="0"/>
        <v>132239.47999999765</v>
      </c>
      <c r="ED6" s="2">
        <f t="shared" si="0"/>
        <v>125622.47999999858</v>
      </c>
      <c r="EE6" s="2">
        <f t="shared" si="0"/>
        <v>163018.47999999858</v>
      </c>
      <c r="EF6" s="2">
        <f t="shared" si="0"/>
        <v>176217.47999999858</v>
      </c>
      <c r="EG6" s="30">
        <f t="shared" si="0"/>
        <v>114888.47999999858</v>
      </c>
      <c r="EH6" s="2">
        <f t="shared" si="0"/>
        <v>-125233573.52000001</v>
      </c>
      <c r="EI6" s="2">
        <f t="shared" si="0"/>
        <v>-125234401.52000001</v>
      </c>
      <c r="EJ6" s="2">
        <f t="shared" si="0"/>
        <v>-125225766.52000001</v>
      </c>
      <c r="EK6" s="72">
        <f t="shared" si="0"/>
        <v>-125063305.52000001</v>
      </c>
      <c r="EL6" s="2">
        <f t="shared" si="0"/>
        <v>-125067250.52000001</v>
      </c>
      <c r="EM6" s="2">
        <f t="shared" si="0"/>
        <v>-125205599.52000001</v>
      </c>
      <c r="EN6" s="2">
        <f t="shared" si="0"/>
        <v>-126172232.16000001</v>
      </c>
      <c r="EO6" s="2">
        <f t="shared" si="0"/>
        <v>-125239410.52000001</v>
      </c>
      <c r="EP6" s="2">
        <f t="shared" si="0"/>
        <v>-125026108.52000001</v>
      </c>
      <c r="EQ6" s="2">
        <f t="shared" si="0"/>
        <v>-125022285.52000001</v>
      </c>
      <c r="ER6" s="2">
        <f t="shared" si="0"/>
        <v>-125034234.55000001</v>
      </c>
      <c r="ES6" s="2">
        <f t="shared" si="0"/>
        <v>-125172816.55000001</v>
      </c>
      <c r="ET6" s="2">
        <f t="shared" si="0"/>
        <v>-125226099.55000001</v>
      </c>
      <c r="EU6" s="153">
        <f t="shared" si="0"/>
        <v>-125234538.54700001</v>
      </c>
      <c r="EV6" s="2">
        <f t="shared" si="0"/>
        <v>-125236556.54700001</v>
      </c>
      <c r="EW6" s="2">
        <f t="shared" si="0"/>
        <v>-125230039.54700001</v>
      </c>
      <c r="EX6" s="2">
        <f t="shared" ref="EX6:GC6" si="1">+EW51</f>
        <v>-125219921.46700001</v>
      </c>
      <c r="EY6" s="2">
        <f t="shared" si="1"/>
        <v>-125228973.86700001</v>
      </c>
      <c r="EZ6" s="2">
        <f t="shared" si="1"/>
        <v>-125180813.86700001</v>
      </c>
      <c r="FA6" s="2">
        <f t="shared" si="1"/>
        <v>-125141321.86700001</v>
      </c>
      <c r="FB6" s="2">
        <f t="shared" si="1"/>
        <v>-125173321.86700001</v>
      </c>
      <c r="FC6" s="2">
        <f t="shared" si="1"/>
        <v>-125234799.86700001</v>
      </c>
      <c r="FD6" s="2">
        <f t="shared" si="1"/>
        <v>-125225594.86700001</v>
      </c>
      <c r="FE6" s="221">
        <f t="shared" si="1"/>
        <v>-125222078.86700001</v>
      </c>
      <c r="FF6" s="2">
        <f t="shared" si="1"/>
        <v>-125221681.86700001</v>
      </c>
      <c r="FG6" s="2">
        <f t="shared" si="1"/>
        <v>-125228343.86700001</v>
      </c>
      <c r="FH6" s="2">
        <f t="shared" si="1"/>
        <v>-125238861.86700001</v>
      </c>
      <c r="FI6" s="221">
        <f t="shared" si="1"/>
        <v>-125225307.86700001</v>
      </c>
      <c r="FJ6" s="2">
        <f t="shared" si="1"/>
        <v>-125208997.87700002</v>
      </c>
      <c r="FK6" s="2">
        <f t="shared" si="1"/>
        <v>-125230474.87700002</v>
      </c>
      <c r="FL6" s="72">
        <f t="shared" si="1"/>
        <v>-125239494.877</v>
      </c>
      <c r="FM6" s="2">
        <f t="shared" si="1"/>
        <v>-125238553.87699999</v>
      </c>
      <c r="FN6" s="2">
        <f t="shared" si="1"/>
        <v>-132389838.457</v>
      </c>
      <c r="FO6" s="2">
        <f t="shared" si="1"/>
        <v>-125214306.457</v>
      </c>
      <c r="FP6" s="153">
        <f t="shared" si="1"/>
        <v>-125194957.617</v>
      </c>
      <c r="FQ6" s="2">
        <f t="shared" si="1"/>
        <v>-125231835.617</v>
      </c>
      <c r="FR6" s="2">
        <f t="shared" si="1"/>
        <v>-125022158.127</v>
      </c>
      <c r="FS6" s="2">
        <f t="shared" si="1"/>
        <v>-125174364.81700002</v>
      </c>
      <c r="FT6" s="2">
        <f t="shared" si="1"/>
        <v>-125217549.81700002</v>
      </c>
      <c r="FU6" s="2">
        <f t="shared" si="1"/>
        <v>-125217006.71700002</v>
      </c>
      <c r="FV6" s="2">
        <f t="shared" si="1"/>
        <v>-125181740.71700002</v>
      </c>
      <c r="FW6" s="2">
        <f t="shared" si="1"/>
        <v>-125202226.72700003</v>
      </c>
      <c r="FX6" s="2">
        <f t="shared" si="1"/>
        <v>-125462176.69700003</v>
      </c>
      <c r="FY6" s="2">
        <f t="shared" si="1"/>
        <v>-125043435.72700003</v>
      </c>
      <c r="FZ6" s="221">
        <f t="shared" si="1"/>
        <v>-125217823.72700003</v>
      </c>
      <c r="GA6" s="2">
        <f t="shared" si="1"/>
        <v>-125202767.72700003</v>
      </c>
      <c r="GB6" s="2">
        <f t="shared" si="1"/>
        <v>-125210077.72700003</v>
      </c>
      <c r="GC6" s="2">
        <f t="shared" si="1"/>
        <v>-125213566.72700003</v>
      </c>
      <c r="GD6" s="2">
        <f t="shared" ref="GD6:HI6" si="2">+GC51</f>
        <v>-125203494.72700003</v>
      </c>
      <c r="GE6" s="2">
        <f t="shared" si="2"/>
        <v>-125205221.72700003</v>
      </c>
      <c r="GF6" s="2">
        <f t="shared" si="2"/>
        <v>-125210895.72700003</v>
      </c>
      <c r="GG6" s="2">
        <f t="shared" si="2"/>
        <v>-125205342.72700003</v>
      </c>
      <c r="GH6" s="2">
        <f t="shared" si="2"/>
        <v>-124973254.08700003</v>
      </c>
      <c r="GI6" s="2">
        <f t="shared" si="2"/>
        <v>-125438431.20700003</v>
      </c>
      <c r="GJ6" s="2">
        <f t="shared" si="2"/>
        <v>-125420896.20700003</v>
      </c>
      <c r="GK6" s="2">
        <f t="shared" si="2"/>
        <v>-125226396.97700003</v>
      </c>
      <c r="GL6" s="153">
        <f t="shared" si="2"/>
        <v>-125227357.97700003</v>
      </c>
      <c r="GM6" s="2">
        <f t="shared" si="2"/>
        <v>-125232092.97700003</v>
      </c>
      <c r="GN6" s="2">
        <f t="shared" si="2"/>
        <v>-125231246.97700003</v>
      </c>
      <c r="GO6" s="2">
        <f t="shared" si="2"/>
        <v>-125234030.97700003</v>
      </c>
      <c r="GP6" s="2">
        <f t="shared" si="2"/>
        <v>-125232141.97700003</v>
      </c>
      <c r="GQ6" s="2">
        <f t="shared" si="2"/>
        <v>-139183682.78700003</v>
      </c>
      <c r="GR6" s="2">
        <f t="shared" si="2"/>
        <v>-125209146.97700003</v>
      </c>
      <c r="GS6" s="2">
        <f t="shared" si="2"/>
        <v>-125210974.97700004</v>
      </c>
      <c r="GT6" s="2">
        <f t="shared" si="2"/>
        <v>-125198264.97700004</v>
      </c>
      <c r="GU6" s="249">
        <f t="shared" si="2"/>
        <v>-125157764.97700004</v>
      </c>
      <c r="GV6" s="2">
        <f t="shared" si="2"/>
        <v>-125222089.97700006</v>
      </c>
      <c r="GW6" s="2">
        <f t="shared" si="2"/>
        <v>-125227619.97700006</v>
      </c>
      <c r="GX6" s="2">
        <f t="shared" si="2"/>
        <v>-125190562.97700006</v>
      </c>
      <c r="GY6" s="2">
        <f t="shared" si="2"/>
        <v>-125207964.97700007</v>
      </c>
      <c r="GZ6" s="2">
        <f t="shared" si="2"/>
        <v>-125065498.97700007</v>
      </c>
      <c r="HA6" s="2">
        <f t="shared" si="2"/>
        <v>-125207047.97700007</v>
      </c>
      <c r="HB6" s="2">
        <f t="shared" si="2"/>
        <v>-125221604.97700006</v>
      </c>
      <c r="HC6" s="2">
        <f t="shared" si="2"/>
        <v>-125226550.97700006</v>
      </c>
      <c r="HD6" s="153">
        <f t="shared" si="2"/>
        <v>-125236700.97700006</v>
      </c>
      <c r="HE6" s="2">
        <f t="shared" si="2"/>
        <v>-125241326.97700006</v>
      </c>
      <c r="HF6" s="2">
        <f t="shared" si="2"/>
        <v>-125241751.07700005</v>
      </c>
      <c r="HG6" s="2">
        <f t="shared" si="2"/>
        <v>-125198830.07700005</v>
      </c>
      <c r="HH6" s="2">
        <f t="shared" si="2"/>
        <v>-125014115.91700006</v>
      </c>
      <c r="HI6" s="2">
        <f t="shared" si="2"/>
        <v>-124897932.24700005</v>
      </c>
      <c r="HJ6" s="2">
        <f t="shared" ref="HJ6:IT6" si="3">+HI51</f>
        <v>-125184163.77700005</v>
      </c>
      <c r="HK6" s="2">
        <f t="shared" si="3"/>
        <v>-125134035.77700007</v>
      </c>
      <c r="HL6" s="2">
        <f t="shared" si="3"/>
        <v>-125078438.77700007</v>
      </c>
      <c r="HM6" s="2">
        <f t="shared" si="3"/>
        <v>-125178864.77700007</v>
      </c>
      <c r="HN6" s="128">
        <f t="shared" si="3"/>
        <v>-125219346.77700007</v>
      </c>
      <c r="HO6" s="72">
        <f t="shared" si="3"/>
        <v>-125229455.77700007</v>
      </c>
      <c r="HP6" s="2">
        <f t="shared" si="3"/>
        <v>-125234087.77700007</v>
      </c>
      <c r="HQ6" s="2">
        <f t="shared" si="3"/>
        <v>-125221325.77700007</v>
      </c>
      <c r="HR6" s="2">
        <f t="shared" si="3"/>
        <v>-125222056.77700007</v>
      </c>
      <c r="HS6" s="2">
        <f t="shared" si="3"/>
        <v>-125207554.77700007</v>
      </c>
      <c r="HT6" s="2">
        <f t="shared" si="3"/>
        <v>-125023935.77700007</v>
      </c>
      <c r="HU6" s="2">
        <f t="shared" si="3"/>
        <v>-125217718.77700007</v>
      </c>
      <c r="HV6" s="2">
        <f t="shared" si="3"/>
        <v>-125237887.77700007</v>
      </c>
      <c r="HW6" s="2">
        <f t="shared" si="3"/>
        <v>-125241614.77700007</v>
      </c>
      <c r="HX6" s="2">
        <f t="shared" si="3"/>
        <v>-125241748.77700007</v>
      </c>
      <c r="HY6" s="2">
        <f t="shared" si="3"/>
        <v>-125241750.77700007</v>
      </c>
      <c r="HZ6" s="153">
        <f t="shared" si="3"/>
        <v>-125241750.77700007</v>
      </c>
      <c r="IA6" s="2">
        <f t="shared" si="3"/>
        <v>-125241750.77700007</v>
      </c>
      <c r="IB6" s="2">
        <f t="shared" si="3"/>
        <v>-125241750.77700007</v>
      </c>
      <c r="IC6" s="2">
        <f t="shared" si="3"/>
        <v>-125241750.77700007</v>
      </c>
      <c r="ID6" s="2">
        <f t="shared" si="3"/>
        <v>-125241750.77700007</v>
      </c>
      <c r="IE6" s="2">
        <f t="shared" si="3"/>
        <v>-125214658.77700007</v>
      </c>
      <c r="IF6" s="2">
        <f t="shared" si="3"/>
        <v>-125221137.77700007</v>
      </c>
      <c r="IG6" s="2">
        <f t="shared" si="3"/>
        <v>-125091879.77700007</v>
      </c>
      <c r="IH6" s="100">
        <f t="shared" si="3"/>
        <v>-124375633.77700007</v>
      </c>
      <c r="II6" s="2">
        <f t="shared" si="3"/>
        <v>-124904955.48700008</v>
      </c>
      <c r="IJ6" s="2">
        <f t="shared" si="3"/>
        <v>-125148818.77700007</v>
      </c>
      <c r="IK6" s="2">
        <f t="shared" si="3"/>
        <v>-125223706.77700007</v>
      </c>
      <c r="IL6" s="2">
        <f t="shared" si="3"/>
        <v>-125221872.77700007</v>
      </c>
      <c r="IM6" s="2">
        <f t="shared" si="3"/>
        <v>-125095942.77700007</v>
      </c>
      <c r="IN6" s="2">
        <f t="shared" si="3"/>
        <v>-125040726.77700007</v>
      </c>
      <c r="IO6" s="2">
        <f t="shared" si="3"/>
        <v>-125058991.77700007</v>
      </c>
      <c r="IP6" s="2">
        <f t="shared" si="3"/>
        <v>-125205681.77700007</v>
      </c>
      <c r="IQ6" s="2">
        <f t="shared" si="3"/>
        <v>-125153298.77700007</v>
      </c>
      <c r="IR6" s="2">
        <f t="shared" si="3"/>
        <v>-125236114.77700008</v>
      </c>
      <c r="IS6" s="2">
        <f t="shared" si="3"/>
        <v>-125193030.7770001</v>
      </c>
      <c r="IT6" s="153">
        <f t="shared" si="3"/>
        <v>-125231304.7770001</v>
      </c>
      <c r="IU6" s="2"/>
    </row>
    <row r="7" spans="1:256" ht="24" customHeight="1">
      <c r="A7" s="24" t="s">
        <v>3</v>
      </c>
      <c r="B7" s="25"/>
      <c r="C7" s="154"/>
      <c r="D7" s="26"/>
      <c r="E7" s="26"/>
      <c r="F7" s="26"/>
      <c r="G7" s="26"/>
      <c r="H7" s="26"/>
      <c r="I7" s="26"/>
      <c r="J7" s="26"/>
      <c r="K7" s="26"/>
      <c r="L7" s="26"/>
      <c r="M7" s="26"/>
      <c r="N7" s="234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34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34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8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31"/>
      <c r="EH7" s="26"/>
      <c r="EI7" s="26"/>
      <c r="EJ7" s="26"/>
      <c r="EK7" s="122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34"/>
      <c r="FF7" s="26"/>
      <c r="FG7" s="26"/>
      <c r="FH7" s="26"/>
      <c r="FI7" s="234"/>
      <c r="FJ7" s="26"/>
      <c r="FK7" s="26"/>
      <c r="FL7" s="73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34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39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129"/>
      <c r="HO7" s="73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101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</row>
    <row r="8" spans="1:256" ht="14.1" customHeight="1">
      <c r="A8" s="58" t="s">
        <v>5</v>
      </c>
      <c r="B8" s="4"/>
      <c r="C8" s="155">
        <v>114838.5</v>
      </c>
      <c r="D8" s="4">
        <v>112148.48</v>
      </c>
      <c r="E8" s="4">
        <v>541000</v>
      </c>
      <c r="F8" s="4">
        <v>9455.43</v>
      </c>
      <c r="G8" s="4">
        <v>2800.45</v>
      </c>
      <c r="H8" s="4">
        <v>13180.43</v>
      </c>
      <c r="I8" s="4">
        <v>2071.7800000000002</v>
      </c>
      <c r="J8" s="4">
        <v>246.85</v>
      </c>
      <c r="K8" s="4">
        <v>12912.74</v>
      </c>
      <c r="L8" s="4">
        <v>99382.99</v>
      </c>
      <c r="M8" s="4">
        <v>4223.92</v>
      </c>
      <c r="N8" s="189">
        <v>12541.23</v>
      </c>
      <c r="O8" s="4">
        <v>11998.5</v>
      </c>
      <c r="P8" s="4">
        <v>68344.72</v>
      </c>
      <c r="Q8" s="4">
        <v>98755.82</v>
      </c>
      <c r="R8" s="4">
        <v>3919510.58</v>
      </c>
      <c r="S8" s="4">
        <v>11624.64</v>
      </c>
      <c r="T8" s="4">
        <v>29157.95</v>
      </c>
      <c r="U8" s="4">
        <v>7375.6</v>
      </c>
      <c r="V8" s="4">
        <v>5261.1</v>
      </c>
      <c r="W8" s="4">
        <v>137.19999999999999</v>
      </c>
      <c r="X8" s="4">
        <v>33229.279999999999</v>
      </c>
      <c r="Y8" s="4">
        <v>73019.03</v>
      </c>
      <c r="Z8" s="4">
        <v>81633.78</v>
      </c>
      <c r="AA8" s="4">
        <v>169419.69</v>
      </c>
      <c r="AB8" s="4">
        <v>13948.45</v>
      </c>
      <c r="AC8" s="4">
        <v>26098.959999999999</v>
      </c>
      <c r="AD8" s="4">
        <v>33499.910000000003</v>
      </c>
      <c r="AE8" s="4"/>
      <c r="AF8" s="189"/>
      <c r="AG8" s="4"/>
      <c r="AH8" s="4"/>
      <c r="AI8" s="4">
        <v>31882.84</v>
      </c>
      <c r="AJ8" s="4">
        <v>71821.09</v>
      </c>
      <c r="AK8" s="4">
        <v>14463.34</v>
      </c>
      <c r="AL8" s="4">
        <v>15629.02</v>
      </c>
      <c r="AM8" s="4">
        <v>21103.81</v>
      </c>
      <c r="AN8" s="4">
        <v>12133</v>
      </c>
      <c r="AO8" s="4">
        <v>110041.54</v>
      </c>
      <c r="AP8" s="4">
        <v>45818.85</v>
      </c>
      <c r="AQ8" s="4">
        <v>3216.83</v>
      </c>
      <c r="AR8" s="4">
        <v>22923.27</v>
      </c>
      <c r="AS8" s="4">
        <v>10839.87</v>
      </c>
      <c r="AT8" s="4">
        <v>3584.93</v>
      </c>
      <c r="AU8" s="4">
        <v>29366.26</v>
      </c>
      <c r="AV8" s="189">
        <v>31218</v>
      </c>
      <c r="AW8" s="4">
        <v>24673.59</v>
      </c>
      <c r="AX8" s="4">
        <v>25175.57</v>
      </c>
      <c r="AY8" s="4">
        <v>49100.35</v>
      </c>
      <c r="AZ8" s="4">
        <v>40830.870000000003</v>
      </c>
      <c r="BA8" s="4">
        <v>63449.11</v>
      </c>
      <c r="BB8" s="4">
        <v>20131.650000000001</v>
      </c>
      <c r="BC8" s="4">
        <v>5751.87</v>
      </c>
      <c r="BD8" s="4">
        <v>12643.85</v>
      </c>
      <c r="BE8" s="4">
        <v>107381.22</v>
      </c>
      <c r="BF8" s="4">
        <v>8827.4699999999993</v>
      </c>
      <c r="BG8" s="4">
        <v>5276.57</v>
      </c>
      <c r="BH8" s="4">
        <v>47045.34</v>
      </c>
      <c r="BI8" s="4">
        <v>29822.84</v>
      </c>
      <c r="BJ8" s="4">
        <v>60203.59</v>
      </c>
      <c r="BK8" s="4">
        <v>40317.35</v>
      </c>
      <c r="BL8" s="4">
        <v>6618.42</v>
      </c>
      <c r="BM8" s="4">
        <v>37214.629999999997</v>
      </c>
      <c r="BN8" s="4">
        <v>12021.94</v>
      </c>
      <c r="BO8" s="4">
        <v>24060.82</v>
      </c>
      <c r="BP8" s="4">
        <v>35720.769999999997</v>
      </c>
      <c r="BQ8" s="4">
        <v>4601</v>
      </c>
      <c r="BR8" s="4">
        <f>59309.92</f>
        <v>59309.919999999998</v>
      </c>
      <c r="BS8" s="4">
        <v>13645.09</v>
      </c>
      <c r="BT8" s="4">
        <v>1188.9100000000001</v>
      </c>
      <c r="BU8" s="4">
        <v>12554.47</v>
      </c>
      <c r="BV8" s="4">
        <v>1980.87</v>
      </c>
      <c r="BW8" s="4">
        <v>7977.26</v>
      </c>
      <c r="BX8" s="4">
        <v>16300.13</v>
      </c>
      <c r="BY8" s="4">
        <v>24082.17</v>
      </c>
      <c r="BZ8" s="4">
        <v>17662.38</v>
      </c>
      <c r="CA8" s="4">
        <v>15823.98</v>
      </c>
      <c r="CB8" s="4">
        <v>460888.68</v>
      </c>
      <c r="CC8" s="4">
        <v>10371.959999999999</v>
      </c>
      <c r="CD8" s="4">
        <v>196736.21</v>
      </c>
      <c r="CE8" s="4">
        <v>43401.47</v>
      </c>
      <c r="CF8" s="4">
        <v>25972.57</v>
      </c>
      <c r="CG8" s="4">
        <v>53675.21</v>
      </c>
      <c r="CH8" s="4">
        <v>37757.03</v>
      </c>
      <c r="CI8" s="4">
        <v>61263.76</v>
      </c>
      <c r="CJ8" s="4">
        <v>15981.13</v>
      </c>
      <c r="CK8" s="4"/>
      <c r="CL8" s="4"/>
      <c r="CM8" s="4">
        <v>78134.92</v>
      </c>
      <c r="CN8" s="4">
        <v>8984.33</v>
      </c>
      <c r="CO8" s="4"/>
      <c r="CP8" s="4">
        <v>26108.57</v>
      </c>
      <c r="CQ8" s="4"/>
      <c r="CR8" s="4">
        <v>82625.78</v>
      </c>
      <c r="CS8" s="4">
        <v>124702.76</v>
      </c>
      <c r="CT8" s="4"/>
      <c r="CU8" s="4">
        <v>66069.17</v>
      </c>
      <c r="CV8" s="4">
        <f>2149.59+14480</f>
        <v>16629.59</v>
      </c>
      <c r="CW8" s="4">
        <v>60991.39</v>
      </c>
      <c r="CX8" s="4">
        <v>37040.18</v>
      </c>
      <c r="CY8" s="4"/>
      <c r="CZ8" s="4">
        <f>31919.41+12680</f>
        <v>44599.41</v>
      </c>
      <c r="DA8" s="4">
        <v>23482.639999999999</v>
      </c>
      <c r="DB8" s="4">
        <v>33854.65</v>
      </c>
      <c r="DC8" s="4">
        <v>5626.22</v>
      </c>
      <c r="DD8" s="4"/>
      <c r="DE8" s="87">
        <f>7381.19+103311.11</f>
        <v>110692.3</v>
      </c>
      <c r="DF8" s="4"/>
      <c r="DG8" s="4">
        <f>530136.79+61018.29</f>
        <v>591155.08000000007</v>
      </c>
      <c r="DH8" s="4"/>
      <c r="DI8" s="4"/>
      <c r="DJ8" s="4"/>
      <c r="DK8" s="4"/>
      <c r="DL8" s="4"/>
      <c r="DM8" s="4"/>
      <c r="DN8" s="4"/>
      <c r="DO8" s="4">
        <f>83927.67+1369532.21+3172.23</f>
        <v>1456632.1099999999</v>
      </c>
      <c r="DP8" s="4">
        <v>10362.9</v>
      </c>
      <c r="DQ8" s="4">
        <f>159935.75</f>
        <v>159935.75</v>
      </c>
      <c r="DR8" s="87"/>
      <c r="DS8" s="4">
        <v>537665.05000000005</v>
      </c>
      <c r="DT8" s="4">
        <v>82158.05</v>
      </c>
      <c r="DU8" s="4">
        <v>18245.52</v>
      </c>
      <c r="DV8" s="4">
        <v>2817.13</v>
      </c>
      <c r="DW8" s="4"/>
      <c r="DX8" s="4">
        <v>108547.13</v>
      </c>
      <c r="DY8" s="4">
        <v>17565.62</v>
      </c>
      <c r="DZ8" s="4">
        <v>155320.78</v>
      </c>
      <c r="EA8" s="4">
        <v>349141.86</v>
      </c>
      <c r="EB8" s="4"/>
      <c r="EC8" s="4">
        <v>25503.53</v>
      </c>
      <c r="ED8" s="4">
        <v>54842.73</v>
      </c>
      <c r="EE8" s="4">
        <v>54621.31</v>
      </c>
      <c r="EF8" s="4">
        <v>9766.64</v>
      </c>
      <c r="EG8" s="32"/>
      <c r="EH8" s="4">
        <v>7141.45</v>
      </c>
      <c r="EI8" s="4">
        <v>16070.15</v>
      </c>
      <c r="EJ8" s="4">
        <v>170511.15</v>
      </c>
      <c r="EK8" s="74">
        <v>26943.17</v>
      </c>
      <c r="EL8" s="4">
        <v>4855</v>
      </c>
      <c r="EM8" s="4"/>
      <c r="EN8" s="4">
        <v>2340.9699999999998</v>
      </c>
      <c r="EO8" s="4">
        <v>214209.69</v>
      </c>
      <c r="EP8" s="4">
        <v>8173.47</v>
      </c>
      <c r="EQ8" s="4">
        <v>225725.22</v>
      </c>
      <c r="ER8" s="4">
        <v>2252.4</v>
      </c>
      <c r="ES8" s="4">
        <v>4559</v>
      </c>
      <c r="ET8" s="4">
        <v>786.48</v>
      </c>
      <c r="EU8" s="4">
        <v>4786.3100000000004</v>
      </c>
      <c r="EV8" s="4">
        <v>10563.13</v>
      </c>
      <c r="EW8" s="4">
        <v>12438.26</v>
      </c>
      <c r="EX8" s="4">
        <v>6751.2</v>
      </c>
      <c r="EY8" s="4">
        <v>57044.93</v>
      </c>
      <c r="EZ8" s="4">
        <v>136549.57999999999</v>
      </c>
      <c r="FA8" s="4">
        <v>30321.69</v>
      </c>
      <c r="FB8" s="4">
        <v>1571.13</v>
      </c>
      <c r="FC8" s="4">
        <v>12996.5</v>
      </c>
      <c r="FD8" s="4">
        <v>13431.91</v>
      </c>
      <c r="FE8" s="189">
        <v>12374.61</v>
      </c>
      <c r="FF8" s="4">
        <f>7597</f>
        <v>7597</v>
      </c>
      <c r="FG8" s="4">
        <v>925.07</v>
      </c>
      <c r="FH8" s="4">
        <v>16030.28</v>
      </c>
      <c r="FI8" s="189">
        <v>18862.72</v>
      </c>
      <c r="FJ8" s="4">
        <v>3553.5</v>
      </c>
      <c r="FK8" s="4">
        <v>1319.02</v>
      </c>
      <c r="FL8" s="74">
        <v>2297</v>
      </c>
      <c r="FM8" s="4"/>
      <c r="FN8" s="4">
        <f>22058.5+5731.05</f>
        <v>27789.55</v>
      </c>
      <c r="FO8" s="4">
        <v>31368.65</v>
      </c>
      <c r="FP8" s="4">
        <v>8088.47</v>
      </c>
      <c r="FQ8" s="4">
        <v>317901.27</v>
      </c>
      <c r="FR8" s="4">
        <v>1353.55</v>
      </c>
      <c r="FS8" s="4">
        <v>22979.84</v>
      </c>
      <c r="FT8" s="4">
        <v>9218.7900000000009</v>
      </c>
      <c r="FU8" s="4">
        <v>66858.570000000007</v>
      </c>
      <c r="FV8" s="4">
        <v>1064.3800000000001</v>
      </c>
      <c r="FW8" s="4">
        <v>11598.23</v>
      </c>
      <c r="FX8" s="4">
        <v>196523.51</v>
      </c>
      <c r="FY8" s="4"/>
      <c r="FZ8" s="189">
        <f>10166.53+8197.57+22891.08</f>
        <v>41255.18</v>
      </c>
      <c r="GA8" s="4">
        <v>8437.85</v>
      </c>
      <c r="GB8" s="4">
        <v>29268.42</v>
      </c>
      <c r="GC8" s="4">
        <v>31264.95</v>
      </c>
      <c r="GD8" s="4">
        <v>8849.7900000000009</v>
      </c>
      <c r="GE8" s="4">
        <v>28010.59</v>
      </c>
      <c r="GF8" s="4">
        <v>46745.58</v>
      </c>
      <c r="GG8" s="4">
        <v>307805.56</v>
      </c>
      <c r="GH8" s="4">
        <v>58451.62</v>
      </c>
      <c r="GI8" s="4">
        <v>40367.339999999997</v>
      </c>
      <c r="GJ8" s="4">
        <v>2633.72</v>
      </c>
      <c r="GK8" s="4">
        <v>10123.64</v>
      </c>
      <c r="GL8" s="4">
        <v>5242.84</v>
      </c>
      <c r="GM8" s="4">
        <v>9018.02</v>
      </c>
      <c r="GN8" s="4">
        <v>5059.88</v>
      </c>
      <c r="GO8" s="4">
        <v>12532.21</v>
      </c>
      <c r="GP8" s="4">
        <v>22647.8</v>
      </c>
      <c r="GQ8" s="4">
        <v>26629.96</v>
      </c>
      <c r="GR8" s="4">
        <v>12697.66</v>
      </c>
      <c r="GS8" s="4">
        <v>45057.48</v>
      </c>
      <c r="GT8" s="4">
        <v>72218.3</v>
      </c>
      <c r="GU8" s="123">
        <f>3146.06+13208</f>
        <v>16354.06</v>
      </c>
      <c r="GV8" s="4">
        <v>1865.42</v>
      </c>
      <c r="GW8" s="4">
        <v>64559.42</v>
      </c>
      <c r="GX8" s="4">
        <v>17671.77</v>
      </c>
      <c r="GY8" s="4">
        <v>171856.65</v>
      </c>
      <c r="GZ8" s="4">
        <v>22863.06</v>
      </c>
      <c r="HA8" s="4">
        <v>18205.830000000002</v>
      </c>
      <c r="HB8" s="4">
        <v>8224.94</v>
      </c>
      <c r="HC8" s="4"/>
      <c r="HD8" s="4"/>
      <c r="HE8" s="4"/>
      <c r="HF8" s="4">
        <v>44269.13</v>
      </c>
      <c r="HG8" s="4">
        <v>918599.43</v>
      </c>
      <c r="HH8" s="4">
        <f>3871.71+1894</f>
        <v>5765.71</v>
      </c>
      <c r="HI8" s="4">
        <f>1158+2260.7</f>
        <v>3418.7</v>
      </c>
      <c r="HJ8" s="4">
        <f>3106.8+51215.05+58184.87</f>
        <v>112506.72</v>
      </c>
      <c r="HK8" s="4">
        <f>1140+436416.47+91705.04+32127.25</f>
        <v>561388.76</v>
      </c>
      <c r="HL8" s="4">
        <v>10089.24</v>
      </c>
      <c r="HM8" s="4">
        <v>23361.85</v>
      </c>
      <c r="HN8" s="130">
        <v>7563</v>
      </c>
      <c r="HO8" s="74">
        <v>45</v>
      </c>
      <c r="HP8" s="4">
        <v>19558.27</v>
      </c>
      <c r="HQ8" s="4">
        <v>3029.85</v>
      </c>
      <c r="HR8" s="4">
        <v>30878.69</v>
      </c>
      <c r="HS8" s="4">
        <v>186247.61</v>
      </c>
      <c r="HT8" s="4">
        <v>3030.32</v>
      </c>
      <c r="HU8" s="4"/>
      <c r="HV8" s="4"/>
      <c r="HW8" s="4"/>
      <c r="HX8" s="4"/>
      <c r="HY8" s="4"/>
      <c r="HZ8" s="4"/>
      <c r="IA8" s="4"/>
      <c r="IB8" s="4"/>
      <c r="IC8" s="4"/>
      <c r="ID8" s="4">
        <f>18763.36+9476.45</f>
        <v>28239.81</v>
      </c>
      <c r="IE8" s="4">
        <v>17731.740000000002</v>
      </c>
      <c r="IF8" s="4">
        <v>146321.92000000001</v>
      </c>
      <c r="IG8" s="4">
        <f>767798.43+23270.33</f>
        <v>791068.76</v>
      </c>
      <c r="IH8" s="102">
        <v>40820.33</v>
      </c>
      <c r="II8" s="4">
        <v>38758.379999999997</v>
      </c>
      <c r="IJ8" s="4">
        <v>10973.7</v>
      </c>
      <c r="IK8" s="4">
        <v>8082.31</v>
      </c>
      <c r="IL8" s="4">
        <v>143665.97</v>
      </c>
      <c r="IM8" s="4">
        <v>181955.8</v>
      </c>
      <c r="IN8" s="4">
        <v>6279.56</v>
      </c>
      <c r="IO8" s="4">
        <v>22230.27</v>
      </c>
      <c r="IP8" s="4">
        <v>76107.55</v>
      </c>
      <c r="IQ8" s="4"/>
      <c r="IR8" s="4">
        <v>498962.63</v>
      </c>
      <c r="IS8" s="4"/>
      <c r="IT8" s="4">
        <v>5797.78</v>
      </c>
      <c r="IU8" s="4">
        <f t="shared" ref="IU8:IU16" si="4">SUM(D8:IT8)</f>
        <v>18728682.41</v>
      </c>
    </row>
    <row r="9" spans="1:256" ht="14.1" customHeight="1">
      <c r="A9" s="58" t="s">
        <v>6</v>
      </c>
      <c r="B9" s="4"/>
      <c r="C9" s="155"/>
      <c r="D9" s="4"/>
      <c r="E9" s="4"/>
      <c r="F9" s="4"/>
      <c r="G9" s="4"/>
      <c r="H9" s="4"/>
      <c r="I9" s="4"/>
      <c r="J9" s="4"/>
      <c r="K9" s="4"/>
      <c r="L9" s="4"/>
      <c r="M9" s="4">
        <v>160990.39000000001</v>
      </c>
      <c r="N9" s="18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v>5418.55</v>
      </c>
      <c r="AD9" s="4"/>
      <c r="AE9" s="4"/>
      <c r="AF9" s="189">
        <v>155139.51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>
        <v>24606.79</v>
      </c>
      <c r="AV9" s="189"/>
      <c r="AW9" s="4"/>
      <c r="AX9" s="4">
        <v>5384.95</v>
      </c>
      <c r="AY9" s="4">
        <v>154383.72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159546.51999999999</v>
      </c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>
        <v>1145.71</v>
      </c>
      <c r="CO9" s="4">
        <f>4749.36+157678.9</f>
        <v>162428.25999999998</v>
      </c>
      <c r="CP9" s="4">
        <v>5384.95</v>
      </c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87"/>
      <c r="DF9" s="4">
        <f>24606.79+149037.03</f>
        <v>173643.82</v>
      </c>
      <c r="DG9" s="4"/>
      <c r="DH9" s="4"/>
      <c r="DI9" s="4"/>
      <c r="DJ9" s="4"/>
      <c r="DK9" s="4">
        <v>5384.95</v>
      </c>
      <c r="DL9" s="4"/>
      <c r="DM9" s="4"/>
      <c r="DN9" s="4"/>
      <c r="DO9" s="4"/>
      <c r="DP9" s="4"/>
      <c r="DQ9" s="4"/>
      <c r="DR9" s="87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32">
        <v>5384.95</v>
      </c>
      <c r="EH9" s="4"/>
      <c r="EI9" s="4"/>
      <c r="EJ9" s="4"/>
      <c r="EK9" s="7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>
        <v>5384.95</v>
      </c>
      <c r="FE9" s="189"/>
      <c r="FF9" s="4"/>
      <c r="FG9" s="4"/>
      <c r="FH9" s="4"/>
      <c r="FI9" s="189"/>
      <c r="FJ9" s="4"/>
      <c r="FK9" s="4"/>
      <c r="FL9" s="74"/>
      <c r="FM9" s="4"/>
      <c r="FN9" s="4"/>
      <c r="FO9" s="4"/>
      <c r="FP9" s="4">
        <v>24606.79</v>
      </c>
      <c r="FQ9" s="4"/>
      <c r="FR9" s="4"/>
      <c r="FS9" s="4"/>
      <c r="FT9" s="4"/>
      <c r="FU9" s="4"/>
      <c r="FV9" s="4"/>
      <c r="FW9" s="4"/>
      <c r="FX9" s="4">
        <v>5384.95</v>
      </c>
      <c r="FY9" s="4"/>
      <c r="FZ9" s="189"/>
      <c r="GA9" s="4">
        <v>173273.08</v>
      </c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v>150847.09</v>
      </c>
      <c r="GU9" s="123"/>
      <c r="GV9" s="4">
        <v>5386.6</v>
      </c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>
        <v>146591.96</v>
      </c>
      <c r="HN9" s="130"/>
      <c r="HO9" s="74">
        <v>5386.6</v>
      </c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>
        <v>24610.84</v>
      </c>
      <c r="ID9" s="4"/>
      <c r="IE9" s="4"/>
      <c r="IF9" s="4">
        <v>5180.1000000000004</v>
      </c>
      <c r="IG9" s="4">
        <v>142139.46</v>
      </c>
      <c r="IH9" s="102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>
        <f t="shared" si="4"/>
        <v>1707635.4900000002</v>
      </c>
    </row>
    <row r="10" spans="1:256" ht="14.1" customHeight="1" thickBot="1">
      <c r="A10" s="58" t="s">
        <v>28</v>
      </c>
      <c r="B10" s="10"/>
      <c r="C10" s="155"/>
      <c r="D10" s="4"/>
      <c r="E10" s="4"/>
      <c r="F10" s="4"/>
      <c r="G10" s="4"/>
      <c r="H10" s="4">
        <v>13319.05</v>
      </c>
      <c r="I10" s="4"/>
      <c r="J10" s="4"/>
      <c r="K10" s="4"/>
      <c r="L10" s="4"/>
      <c r="M10" s="4">
        <v>60863.34</v>
      </c>
      <c r="N10" s="189"/>
      <c r="O10" s="4"/>
      <c r="P10" s="4"/>
      <c r="Q10" s="4">
        <v>38428.11</v>
      </c>
      <c r="R10" s="4"/>
      <c r="S10" s="4"/>
      <c r="T10" s="4"/>
      <c r="U10" s="4"/>
      <c r="V10" s="4">
        <v>11420.9</v>
      </c>
      <c r="W10" s="4"/>
      <c r="X10" s="4"/>
      <c r="Y10" s="4"/>
      <c r="Z10" s="4"/>
      <c r="AA10" s="4">
        <v>26051.25</v>
      </c>
      <c r="AB10" s="4"/>
      <c r="AC10" s="4"/>
      <c r="AD10" s="4"/>
      <c r="AE10" s="4"/>
      <c r="AF10" s="189">
        <v>67821.240000000005</v>
      </c>
      <c r="AG10" s="4"/>
      <c r="AH10" s="4"/>
      <c r="AI10" s="4"/>
      <c r="AJ10" s="4"/>
      <c r="AK10" s="4">
        <v>44019.71</v>
      </c>
      <c r="AL10" s="4"/>
      <c r="AM10" s="4"/>
      <c r="AN10" s="4"/>
      <c r="AO10" s="4"/>
      <c r="AP10" s="4">
        <v>72440.350000000006</v>
      </c>
      <c r="AQ10" s="4"/>
      <c r="AR10" s="4"/>
      <c r="AS10" s="4"/>
      <c r="AT10" s="4"/>
      <c r="AU10" s="4">
        <v>15606.39</v>
      </c>
      <c r="AV10" s="189"/>
      <c r="AW10" s="4"/>
      <c r="AX10" s="4"/>
      <c r="AY10" s="4"/>
      <c r="AZ10" s="4">
        <v>32275.03</v>
      </c>
      <c r="BA10" s="4"/>
      <c r="BB10" s="4"/>
      <c r="BC10" s="4"/>
      <c r="BD10" s="4"/>
      <c r="BE10" s="4">
        <v>22336.41</v>
      </c>
      <c r="BF10" s="4"/>
      <c r="BG10" s="4"/>
      <c r="BH10" s="4"/>
      <c r="BI10" s="4"/>
      <c r="BJ10" s="4">
        <v>43478.48</v>
      </c>
      <c r="BK10" s="4"/>
      <c r="BL10" s="4"/>
      <c r="BM10" s="4"/>
      <c r="BN10" s="4"/>
      <c r="BO10" s="4">
        <v>43887.63</v>
      </c>
      <c r="BP10" s="4"/>
      <c r="BQ10" s="4"/>
      <c r="BR10" s="4"/>
      <c r="BS10" s="4"/>
      <c r="BT10" s="4">
        <v>29581.040000000001</v>
      </c>
      <c r="BU10" s="4"/>
      <c r="BV10" s="4"/>
      <c r="BW10" s="4"/>
      <c r="BX10" s="4"/>
      <c r="BY10" s="4">
        <v>5317.93</v>
      </c>
      <c r="BZ10" s="4"/>
      <c r="CA10" s="4"/>
      <c r="CB10" s="4"/>
      <c r="CC10" s="4"/>
      <c r="CD10" s="4">
        <v>32235.13</v>
      </c>
      <c r="CE10" s="4"/>
      <c r="CF10" s="4"/>
      <c r="CG10" s="4"/>
      <c r="CH10" s="4"/>
      <c r="CI10" s="4">
        <f>69175.22+720</f>
        <v>69895.22</v>
      </c>
      <c r="CJ10" s="4"/>
      <c r="CK10" s="4"/>
      <c r="CL10" s="4"/>
      <c r="CM10" s="4">
        <v>54653.78</v>
      </c>
      <c r="CN10" s="4"/>
      <c r="CO10" s="4"/>
      <c r="CP10" s="4"/>
      <c r="CQ10" s="4"/>
      <c r="CR10" s="4">
        <v>80025.320000000007</v>
      </c>
      <c r="CS10" s="4"/>
      <c r="CT10" s="4"/>
      <c r="CU10" s="4"/>
      <c r="CV10" s="4"/>
      <c r="CW10" s="4">
        <f>70361.54+11251.59+240+146.62</f>
        <v>81999.749999999985</v>
      </c>
      <c r="CX10" s="4"/>
      <c r="CY10" s="4"/>
      <c r="CZ10" s="4"/>
      <c r="DA10" s="4"/>
      <c r="DB10" s="4">
        <v>162668.31</v>
      </c>
      <c r="DC10" s="4"/>
      <c r="DD10" s="4"/>
      <c r="DE10" s="87"/>
      <c r="DF10" s="4"/>
      <c r="DG10" s="4">
        <v>81882.25</v>
      </c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87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32"/>
      <c r="EH10" s="4"/>
      <c r="EI10" s="4"/>
      <c r="EJ10" s="4">
        <v>240</v>
      </c>
      <c r="EK10" s="76"/>
      <c r="EL10" s="4"/>
      <c r="EM10" s="4"/>
      <c r="EN10" s="4"/>
      <c r="EO10" s="4">
        <v>3933.27</v>
      </c>
      <c r="EP10" s="4"/>
      <c r="EQ10" s="4"/>
      <c r="ER10" s="4"/>
      <c r="ES10" s="4"/>
      <c r="ET10" s="4">
        <v>171.78</v>
      </c>
      <c r="EU10" s="5"/>
      <c r="EV10" s="4"/>
      <c r="EW10" s="4"/>
      <c r="EX10" s="4"/>
      <c r="EY10" s="4">
        <v>3092.04</v>
      </c>
      <c r="EZ10" s="4"/>
      <c r="FA10" s="4"/>
      <c r="FB10" s="4"/>
      <c r="FC10" s="4">
        <v>6304.08</v>
      </c>
      <c r="FD10" s="4"/>
      <c r="FE10" s="189"/>
      <c r="FF10" s="4"/>
      <c r="FG10" s="4"/>
      <c r="FH10" s="4"/>
      <c r="FI10" s="189"/>
      <c r="FJ10" s="4"/>
      <c r="FK10" s="4"/>
      <c r="FL10" s="7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189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123"/>
      <c r="GV10" s="4"/>
      <c r="GW10" s="4"/>
      <c r="GX10" s="4"/>
      <c r="GY10" s="4">
        <v>260</v>
      </c>
      <c r="GZ10" s="4"/>
      <c r="HA10" s="4"/>
      <c r="HB10" s="4"/>
      <c r="HC10" s="4"/>
      <c r="HD10" s="4">
        <v>1717.8</v>
      </c>
      <c r="HE10" s="4"/>
      <c r="HF10" s="4"/>
      <c r="HG10" s="4"/>
      <c r="HH10" s="4">
        <v>3847.38</v>
      </c>
      <c r="HI10" s="4"/>
      <c r="HJ10" s="4"/>
      <c r="HK10" s="4"/>
      <c r="HL10" s="4"/>
      <c r="HM10" s="4">
        <v>4949.84</v>
      </c>
      <c r="HN10" s="130"/>
      <c r="HO10" s="74"/>
      <c r="HP10" s="4"/>
      <c r="HQ10" s="4"/>
      <c r="HR10" s="4">
        <v>78053.55</v>
      </c>
      <c r="HS10" s="4"/>
      <c r="HT10" s="4"/>
      <c r="HU10" s="4"/>
      <c r="HV10" s="4"/>
      <c r="HW10" s="4">
        <v>64578.46</v>
      </c>
      <c r="HX10" s="4"/>
      <c r="HY10" s="4"/>
      <c r="HZ10" s="4"/>
      <c r="IA10" s="4">
        <v>35538.22</v>
      </c>
      <c r="IB10" s="4"/>
      <c r="IC10" s="4"/>
      <c r="ID10" s="4"/>
      <c r="IE10" s="4">
        <v>28521.38</v>
      </c>
      <c r="IF10" s="4"/>
      <c r="IG10" s="4"/>
      <c r="IH10" s="102"/>
      <c r="II10" s="4"/>
      <c r="IJ10" s="4">
        <v>89748.96</v>
      </c>
      <c r="IK10" s="4"/>
      <c r="IL10" s="4"/>
      <c r="IM10" s="4"/>
      <c r="IN10" s="4">
        <v>10153.89</v>
      </c>
      <c r="IO10" s="4"/>
      <c r="IP10" s="4"/>
      <c r="IQ10" s="4"/>
      <c r="IR10" s="4"/>
      <c r="IS10" s="4">
        <v>18719.41</v>
      </c>
      <c r="IT10" s="4"/>
      <c r="IU10" s="4">
        <f t="shared" si="4"/>
        <v>1440036.68</v>
      </c>
    </row>
    <row r="11" spans="1:256" s="8" customFormat="1" ht="14.1" customHeight="1" thickBot="1">
      <c r="A11" s="58" t="s">
        <v>7</v>
      </c>
      <c r="B11" s="4"/>
      <c r="C11" s="4"/>
      <c r="D11" s="4">
        <v>288.06</v>
      </c>
      <c r="E11" s="4">
        <v>40</v>
      </c>
      <c r="F11" s="4">
        <v>229.97</v>
      </c>
      <c r="G11" s="4">
        <f>481732.33+28197.81+227.77</f>
        <v>510157.91000000003</v>
      </c>
      <c r="H11" s="4"/>
      <c r="I11" s="4">
        <v>1393.32</v>
      </c>
      <c r="J11" s="4">
        <v>308</v>
      </c>
      <c r="K11" s="4">
        <v>1552</v>
      </c>
      <c r="L11" s="4"/>
      <c r="M11" s="4"/>
      <c r="N11" s="189">
        <v>79724.73</v>
      </c>
      <c r="O11" s="4">
        <f>4848+9777.25+657.39</f>
        <v>15282.64</v>
      </c>
      <c r="P11" s="4">
        <v>2465.09</v>
      </c>
      <c r="Q11" s="4"/>
      <c r="R11" s="4">
        <v>345</v>
      </c>
      <c r="S11" s="4">
        <v>2482.9899999999998</v>
      </c>
      <c r="T11" s="4">
        <f>20928+517.56</f>
        <v>21445.56</v>
      </c>
      <c r="U11" s="4">
        <v>334</v>
      </c>
      <c r="V11" s="4">
        <f>178.86+1005</f>
        <v>1183.8600000000001</v>
      </c>
      <c r="W11" s="4">
        <v>105</v>
      </c>
      <c r="X11" s="4">
        <f>3392.25+197.85</f>
        <v>3590.1</v>
      </c>
      <c r="Y11" s="4">
        <v>64518.29</v>
      </c>
      <c r="Z11" s="4">
        <v>1830.05</v>
      </c>
      <c r="AA11" s="4"/>
      <c r="AB11" s="4">
        <f>1294.19+1190</f>
        <v>2484.19</v>
      </c>
      <c r="AC11" s="4">
        <f>604281.57+1236.96</f>
        <v>605518.52999999991</v>
      </c>
      <c r="AD11" s="4">
        <v>1017.68</v>
      </c>
      <c r="AE11" s="4"/>
      <c r="AF11" s="189">
        <f>3500+593.79</f>
        <v>4093.79</v>
      </c>
      <c r="AG11" s="4">
        <v>45861.27</v>
      </c>
      <c r="AH11" s="4"/>
      <c r="AI11" s="4"/>
      <c r="AJ11" s="4">
        <v>777.68</v>
      </c>
      <c r="AK11" s="4">
        <f>1723+22.5</f>
        <v>1745.5</v>
      </c>
      <c r="AL11" s="4">
        <v>151.32</v>
      </c>
      <c r="AM11" s="4">
        <v>30</v>
      </c>
      <c r="AN11" s="4"/>
      <c r="AO11" s="4">
        <v>2286</v>
      </c>
      <c r="AP11" s="4">
        <v>1000</v>
      </c>
      <c r="AQ11" s="4"/>
      <c r="AR11" s="4"/>
      <c r="AS11" s="4">
        <v>241.19</v>
      </c>
      <c r="AT11" s="4"/>
      <c r="AU11" s="4">
        <v>89.08</v>
      </c>
      <c r="AV11" s="189"/>
      <c r="AW11" s="4">
        <f>481227.55+358.08</f>
        <v>481585.63</v>
      </c>
      <c r="AX11" s="4">
        <v>15651</v>
      </c>
      <c r="AY11" s="4">
        <v>1447.36</v>
      </c>
      <c r="AZ11" s="4"/>
      <c r="BA11" s="4">
        <f>1553.35+14047.85</f>
        <v>15601.2</v>
      </c>
      <c r="BB11" s="4">
        <v>223.21</v>
      </c>
      <c r="BC11" s="4">
        <v>11456.84</v>
      </c>
      <c r="BD11" s="4">
        <v>1273.1099999999999</v>
      </c>
      <c r="BE11" s="4">
        <v>20</v>
      </c>
      <c r="BF11" s="4">
        <v>10752.5</v>
      </c>
      <c r="BG11" s="4">
        <f>4175.04+35.63</f>
        <v>4210.67</v>
      </c>
      <c r="BH11" s="4">
        <v>91.91</v>
      </c>
      <c r="BI11" s="4">
        <v>1073.26</v>
      </c>
      <c r="BJ11" s="4">
        <f>3469.82+2500</f>
        <v>5969.82</v>
      </c>
      <c r="BK11" s="4"/>
      <c r="BL11" s="4">
        <f>84.9+13239.68</f>
        <v>13324.58</v>
      </c>
      <c r="BM11" s="4">
        <v>263.74</v>
      </c>
      <c r="BN11" s="4">
        <v>107.06</v>
      </c>
      <c r="BO11" s="4">
        <v>83.25</v>
      </c>
      <c r="BP11" s="4">
        <v>1950</v>
      </c>
      <c r="BQ11" s="4">
        <v>12457</v>
      </c>
      <c r="BR11" s="4">
        <f>199+4887.5</f>
        <v>5086.5</v>
      </c>
      <c r="BS11" s="4">
        <f>2326.2+107.06+8858.54</f>
        <v>11291.800000000001</v>
      </c>
      <c r="BT11" s="4">
        <f>1054.98+809062.78+1500</f>
        <v>811617.76</v>
      </c>
      <c r="BU11" s="4"/>
      <c r="BV11" s="4">
        <f>490.29+1792.21</f>
        <v>2282.5</v>
      </c>
      <c r="BW11" s="4">
        <f>1382.4+56.65</f>
        <v>1439.0500000000002</v>
      </c>
      <c r="BX11" s="4">
        <v>2184.3200000000002</v>
      </c>
      <c r="BY11" s="4">
        <v>40</v>
      </c>
      <c r="BZ11" s="4">
        <v>8613.5499999999993</v>
      </c>
      <c r="CA11" s="4">
        <f>2143.79+2193.93</f>
        <v>4337.7199999999993</v>
      </c>
      <c r="CB11" s="4">
        <v>323.94</v>
      </c>
      <c r="CC11" s="4">
        <f>2859.12+1270</f>
        <v>4129.12</v>
      </c>
      <c r="CD11" s="4"/>
      <c r="CE11" s="4">
        <v>288</v>
      </c>
      <c r="CF11" s="4">
        <f>300.09</f>
        <v>300.08999999999997</v>
      </c>
      <c r="CG11" s="4">
        <v>68.180000000000007</v>
      </c>
      <c r="CH11" s="4"/>
      <c r="CI11" s="4">
        <v>889.07</v>
      </c>
      <c r="CJ11" s="4">
        <f>219.29+42.39</f>
        <v>261.68</v>
      </c>
      <c r="CK11" s="4">
        <f>4578+123.13</f>
        <v>4701.13</v>
      </c>
      <c r="CL11" s="4">
        <v>31.31</v>
      </c>
      <c r="CM11" s="4">
        <v>142.91</v>
      </c>
      <c r="CN11" s="4">
        <f>165.39+127.26</f>
        <v>292.64999999999998</v>
      </c>
      <c r="CO11" s="4">
        <v>586.5</v>
      </c>
      <c r="CP11" s="4">
        <f>374.81+20.2</f>
        <v>395.01</v>
      </c>
      <c r="CQ11" s="4">
        <v>16.16</v>
      </c>
      <c r="CR11" s="4">
        <f>934297.12+43.94</f>
        <v>934341.05999999994</v>
      </c>
      <c r="CS11" s="4">
        <f>11+1489.93</f>
        <v>1500.93</v>
      </c>
      <c r="CT11" s="4">
        <f>2121.72+31.5</f>
        <v>2153.2199999999998</v>
      </c>
      <c r="CU11" s="4">
        <f>189.24+341</f>
        <v>530.24</v>
      </c>
      <c r="CV11" s="4">
        <f>678.97+29.79</f>
        <v>708.76</v>
      </c>
      <c r="CW11" s="4">
        <f>29.15+759.66</f>
        <v>788.81</v>
      </c>
      <c r="CX11" s="4">
        <v>10</v>
      </c>
      <c r="CY11" s="4"/>
      <c r="CZ11" s="4"/>
      <c r="DA11" s="4">
        <v>2038.93</v>
      </c>
      <c r="DB11" s="4"/>
      <c r="DC11" s="4">
        <v>979.34</v>
      </c>
      <c r="DD11" s="4">
        <v>80.95</v>
      </c>
      <c r="DE11" s="4">
        <f>77.77+86.26</f>
        <v>164.03</v>
      </c>
      <c r="DF11" s="4">
        <v>650</v>
      </c>
      <c r="DG11" s="4"/>
      <c r="DH11" s="4"/>
      <c r="DI11" s="4"/>
      <c r="DJ11" s="4"/>
      <c r="DK11" s="4"/>
      <c r="DL11" s="4">
        <v>1826.97</v>
      </c>
      <c r="DM11" s="4"/>
      <c r="DN11" s="4"/>
      <c r="DO11" s="4">
        <f>9957.7+514.89</f>
        <v>10472.59</v>
      </c>
      <c r="DP11" s="4">
        <f>5174.18+603.27</f>
        <v>5777.4500000000007</v>
      </c>
      <c r="DQ11" s="4">
        <v>646.21</v>
      </c>
      <c r="DR11" s="4">
        <v>404.23</v>
      </c>
      <c r="DS11" s="4">
        <v>234</v>
      </c>
      <c r="DT11" s="4">
        <v>697.29</v>
      </c>
      <c r="DU11" s="4">
        <v>743.2</v>
      </c>
      <c r="DV11" s="4">
        <v>1830.86</v>
      </c>
      <c r="DW11" s="4">
        <v>391.76</v>
      </c>
      <c r="DX11" s="4"/>
      <c r="DY11" s="4">
        <v>688.96</v>
      </c>
      <c r="DZ11" s="4">
        <f>6167.13+40</f>
        <v>6207.13</v>
      </c>
      <c r="EA11" s="4">
        <v>33.31</v>
      </c>
      <c r="EB11" s="4"/>
      <c r="EC11" s="4"/>
      <c r="ED11" s="4"/>
      <c r="EE11" s="4">
        <f>868.3</f>
        <v>868.3</v>
      </c>
      <c r="EF11" s="4"/>
      <c r="EG11" s="4">
        <v>258.89</v>
      </c>
      <c r="EH11" s="4">
        <v>2087.4899999999998</v>
      </c>
      <c r="EI11" s="4">
        <v>793.55</v>
      </c>
      <c r="EJ11" s="4">
        <v>1358.6</v>
      </c>
      <c r="EK11" s="190"/>
      <c r="EL11" s="4">
        <v>1198882.83</v>
      </c>
      <c r="EM11" s="4">
        <v>127.73</v>
      </c>
      <c r="EN11" s="4">
        <f>857155.19+51518.21</f>
        <v>908673.39999999991</v>
      </c>
      <c r="EO11" s="4">
        <v>6431.4</v>
      </c>
      <c r="EP11" s="4"/>
      <c r="EQ11" s="4"/>
      <c r="ER11" s="4">
        <f>12800+1023.92</f>
        <v>13823.92</v>
      </c>
      <c r="ES11" s="4">
        <f>1226.45+3681.88+1187.14</f>
        <v>6095.47</v>
      </c>
      <c r="ET11" s="4"/>
      <c r="EU11" s="4">
        <v>159.75</v>
      </c>
      <c r="EV11" s="4">
        <v>64.650000000000006</v>
      </c>
      <c r="EW11" s="4"/>
      <c r="EX11" s="4"/>
      <c r="EY11" s="4">
        <f>662.21+37.74</f>
        <v>699.95</v>
      </c>
      <c r="EZ11" s="4"/>
      <c r="FA11" s="4"/>
      <c r="FB11" s="4">
        <f>1852.76+135.56</f>
        <v>1988.32</v>
      </c>
      <c r="FC11" s="4">
        <f>333.05</f>
        <v>333.05</v>
      </c>
      <c r="FD11" s="4">
        <f>68.45+466.52</f>
        <v>534.97</v>
      </c>
      <c r="FE11" s="189">
        <v>52</v>
      </c>
      <c r="FF11" s="4">
        <f>3983.51+603.27+180.85</f>
        <v>4767.630000000001</v>
      </c>
      <c r="FG11" s="4">
        <v>863.12</v>
      </c>
      <c r="FH11" s="4"/>
      <c r="FI11" s="189"/>
      <c r="FJ11" s="4"/>
      <c r="FK11" s="4">
        <v>181648.86</v>
      </c>
      <c r="FL11" s="74">
        <v>545.45000000000005</v>
      </c>
      <c r="FM11" s="4">
        <v>14.12</v>
      </c>
      <c r="FN11" s="4"/>
      <c r="FO11" s="4"/>
      <c r="FP11" s="190"/>
      <c r="FQ11" s="4">
        <f>1802.46+58.06</f>
        <v>1860.52</v>
      </c>
      <c r="FR11" s="4"/>
      <c r="FS11" s="4"/>
      <c r="FT11" s="4"/>
      <c r="FU11" s="4">
        <v>2364.37</v>
      </c>
      <c r="FV11" s="4"/>
      <c r="FW11" s="4"/>
      <c r="FX11" s="4"/>
      <c r="FY11" s="4">
        <v>1681.11</v>
      </c>
      <c r="FZ11" s="189">
        <v>2682.08</v>
      </c>
      <c r="GA11" s="4">
        <f>1542.25+29.35</f>
        <v>1571.6</v>
      </c>
      <c r="GB11" s="4"/>
      <c r="GC11" s="4"/>
      <c r="GD11" s="4">
        <f>6744.4+17.68</f>
        <v>6762.08</v>
      </c>
      <c r="GE11" s="4"/>
      <c r="GF11" s="4"/>
      <c r="GG11" s="4">
        <f>5525.22+242.52</f>
        <v>5767.7400000000007</v>
      </c>
      <c r="GH11" s="4"/>
      <c r="GI11" s="4"/>
      <c r="GJ11" s="4"/>
      <c r="GK11" s="4">
        <v>52232</v>
      </c>
      <c r="GL11" s="4"/>
      <c r="GM11" s="4">
        <v>21.6</v>
      </c>
      <c r="GN11" s="4"/>
      <c r="GO11" s="4"/>
      <c r="GP11" s="4">
        <v>296.79000000000002</v>
      </c>
      <c r="GQ11" s="4">
        <f>52.5+1000+282.5</f>
        <v>1335</v>
      </c>
      <c r="GR11" s="4"/>
      <c r="GS11" s="4">
        <v>1530.03</v>
      </c>
      <c r="GT11" s="4"/>
      <c r="GU11" s="189">
        <v>881.32</v>
      </c>
      <c r="GV11" s="4">
        <f>946442.7+26.91</f>
        <v>946469.61</v>
      </c>
      <c r="GW11" s="4"/>
      <c r="GX11" s="4">
        <f>6053.11+4400</f>
        <v>10453.11</v>
      </c>
      <c r="GY11" s="4">
        <f>252+819.67</f>
        <v>1071.67</v>
      </c>
      <c r="GZ11" s="4"/>
      <c r="HA11" s="4">
        <v>455</v>
      </c>
      <c r="HB11" s="4">
        <v>206.15</v>
      </c>
      <c r="HC11" s="4">
        <v>3910</v>
      </c>
      <c r="HD11" s="4"/>
      <c r="HE11" s="4">
        <v>2.91</v>
      </c>
      <c r="HF11" s="4"/>
      <c r="HG11" s="4"/>
      <c r="HH11" s="4"/>
      <c r="HI11" s="4"/>
      <c r="HJ11" s="4">
        <v>706.5</v>
      </c>
      <c r="HK11" s="4">
        <f>37.44+545.82</f>
        <v>583.26</v>
      </c>
      <c r="HL11" s="4">
        <v>117</v>
      </c>
      <c r="HM11" s="4">
        <v>85908.58</v>
      </c>
      <c r="HN11" s="130">
        <f>670.99+1668.28+233805</f>
        <v>236144.27</v>
      </c>
      <c r="HO11" s="189">
        <v>542.25</v>
      </c>
      <c r="HP11" s="4">
        <v>552.58000000000004</v>
      </c>
      <c r="HQ11" s="4">
        <v>55.57</v>
      </c>
      <c r="HR11" s="4">
        <f>515+909349.94</f>
        <v>909864.94</v>
      </c>
      <c r="HS11" s="4"/>
      <c r="HT11" s="4">
        <v>1009.69</v>
      </c>
      <c r="HU11" s="4"/>
      <c r="HV11" s="4">
        <v>164.75</v>
      </c>
      <c r="HW11" s="4"/>
      <c r="HX11" s="4"/>
      <c r="HY11" s="4"/>
      <c r="HZ11" s="4"/>
      <c r="IA11" s="4">
        <v>2.48</v>
      </c>
      <c r="IB11" s="4"/>
      <c r="IC11" s="4"/>
      <c r="ID11" s="4"/>
      <c r="IE11" s="4">
        <v>230</v>
      </c>
      <c r="IF11" s="4">
        <f>20925.31+286.4</f>
        <v>21211.710000000003</v>
      </c>
      <c r="IG11" s="4"/>
      <c r="IH11" s="185">
        <v>3680</v>
      </c>
      <c r="II11" s="4">
        <f>1186+473253.58</f>
        <v>474439.58</v>
      </c>
      <c r="IJ11" s="4">
        <f>1498.3+5502.88</f>
        <v>7001.18</v>
      </c>
      <c r="IK11" s="4"/>
      <c r="IL11" s="4"/>
      <c r="IM11" s="4">
        <f>904+322.06</f>
        <v>1226.06</v>
      </c>
      <c r="IN11" s="4"/>
      <c r="IO11" s="4">
        <v>4000</v>
      </c>
      <c r="IP11" s="4">
        <v>348840</v>
      </c>
      <c r="IQ11" s="4">
        <v>394.47</v>
      </c>
      <c r="IR11" s="4">
        <v>317.19</v>
      </c>
      <c r="IS11" s="4"/>
      <c r="IT11" s="4"/>
      <c r="IU11" s="4">
        <f t="shared" si="4"/>
        <v>9252954.3200000059</v>
      </c>
    </row>
    <row r="12" spans="1:256" ht="14.1" customHeight="1">
      <c r="A12" s="4" t="s">
        <v>38</v>
      </c>
      <c r="B12" s="10"/>
      <c r="C12" s="155"/>
      <c r="D12" s="4"/>
      <c r="E12" s="4">
        <v>22216.93</v>
      </c>
      <c r="F12" s="4"/>
      <c r="G12" s="4" t="s">
        <v>49</v>
      </c>
      <c r="H12" s="4"/>
      <c r="I12" s="4"/>
      <c r="J12" s="4"/>
      <c r="K12" s="4"/>
      <c r="L12" s="4"/>
      <c r="M12" s="4"/>
      <c r="N12" s="18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189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189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>
        <v>84536.03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v>76505.009999999995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>
        <v>544843.11</v>
      </c>
      <c r="CU12" s="4"/>
      <c r="CV12" s="4"/>
      <c r="CW12" s="4"/>
      <c r="CX12" s="4"/>
      <c r="CY12" s="4"/>
      <c r="CZ12" s="4">
        <v>80197.08</v>
      </c>
      <c r="DA12" s="4"/>
      <c r="DB12" s="4"/>
      <c r="DC12" s="4"/>
      <c r="DD12" s="4">
        <v>38791.019999999997</v>
      </c>
      <c r="DE12" s="87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>
        <v>10605.63</v>
      </c>
      <c r="DQ12" s="4"/>
      <c r="DR12" s="87"/>
      <c r="DS12" s="4"/>
      <c r="DT12" s="4"/>
      <c r="DU12" s="4"/>
      <c r="DV12" s="4"/>
      <c r="DW12" s="4"/>
      <c r="DX12" s="4">
        <v>82502.759999999995</v>
      </c>
      <c r="DY12" s="4"/>
      <c r="DZ12" s="4"/>
      <c r="EA12" s="4"/>
      <c r="EB12" s="4"/>
      <c r="EC12" s="4"/>
      <c r="ED12" s="4"/>
      <c r="EE12" s="4">
        <v>97735.17</v>
      </c>
      <c r="EF12" s="4"/>
      <c r="EG12" s="32"/>
      <c r="EH12" s="4"/>
      <c r="EI12" s="4"/>
      <c r="EJ12" s="4"/>
      <c r="EK12" s="77"/>
      <c r="EL12" s="4"/>
      <c r="EM12" s="4"/>
      <c r="EN12" s="4"/>
      <c r="EO12" s="4"/>
      <c r="EP12" s="4"/>
      <c r="EQ12" s="4"/>
      <c r="ER12" s="4"/>
      <c r="ES12" s="4"/>
      <c r="ET12" s="4"/>
      <c r="EU12" s="3"/>
      <c r="EV12" s="4"/>
      <c r="EW12" s="4"/>
      <c r="EX12" s="4"/>
      <c r="EY12" s="4"/>
      <c r="EZ12" s="4"/>
      <c r="FA12" s="4"/>
      <c r="FB12" s="4"/>
      <c r="FC12" s="4"/>
      <c r="FD12" s="4"/>
      <c r="FE12" s="189"/>
      <c r="FF12" s="4">
        <v>87228.4</v>
      </c>
      <c r="FG12" s="4"/>
      <c r="FH12" s="4"/>
      <c r="FI12" s="189"/>
      <c r="FJ12" s="4"/>
      <c r="FK12" s="4"/>
      <c r="FL12" s="74"/>
      <c r="FM12" s="4"/>
      <c r="FN12" s="4"/>
      <c r="FO12" s="4"/>
      <c r="FP12" s="4"/>
      <c r="FQ12" s="4"/>
      <c r="FR12" s="4"/>
      <c r="FS12" s="4">
        <v>62532.9</v>
      </c>
      <c r="FT12" s="4"/>
      <c r="FU12" s="4"/>
      <c r="FV12" s="4"/>
      <c r="FW12" s="4"/>
      <c r="FX12" s="4"/>
      <c r="FY12" s="4"/>
      <c r="FZ12" s="189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123"/>
      <c r="GV12" s="4"/>
      <c r="GW12" s="4">
        <v>185.45</v>
      </c>
      <c r="GX12" s="4"/>
      <c r="GY12" s="4">
        <v>2145.5300000000002</v>
      </c>
      <c r="GZ12" s="4"/>
      <c r="HA12" s="4"/>
      <c r="HB12" s="4"/>
      <c r="HC12" s="4"/>
      <c r="HD12" s="4"/>
      <c r="HE12" s="4">
        <v>813</v>
      </c>
      <c r="HF12" s="4"/>
      <c r="HG12" s="4"/>
      <c r="HH12" s="4"/>
      <c r="HI12" s="4"/>
      <c r="HJ12" s="4"/>
      <c r="HK12" s="4"/>
      <c r="HL12" s="4"/>
      <c r="HM12" s="4"/>
      <c r="HN12" s="130"/>
      <c r="HO12" s="74"/>
      <c r="HP12" s="4"/>
      <c r="HQ12" s="4"/>
      <c r="HR12" s="4"/>
      <c r="HS12" s="4"/>
      <c r="HT12" s="4">
        <v>1968111.42</v>
      </c>
      <c r="HU12" s="4"/>
      <c r="HV12" s="4"/>
      <c r="HW12" s="4"/>
      <c r="HX12" s="4"/>
      <c r="HY12" s="4"/>
      <c r="HZ12" s="4"/>
      <c r="IA12" s="4"/>
      <c r="IB12" s="4"/>
      <c r="IC12" s="4">
        <v>57536.85</v>
      </c>
      <c r="ID12" s="4"/>
      <c r="IE12" s="4"/>
      <c r="IF12" s="4"/>
      <c r="IG12" s="4"/>
      <c r="IH12" s="102"/>
      <c r="II12" s="4"/>
      <c r="IJ12" s="4"/>
      <c r="IK12" s="4"/>
      <c r="IL12" s="4"/>
      <c r="IM12" s="4"/>
      <c r="IN12" s="4"/>
      <c r="IO12" s="4"/>
      <c r="IP12" s="4">
        <v>44885.15</v>
      </c>
      <c r="IQ12" s="4"/>
      <c r="IR12" s="4"/>
      <c r="IS12" s="4"/>
      <c r="IT12" s="4"/>
      <c r="IU12" s="4">
        <f t="shared" si="4"/>
        <v>3261371.4399999995</v>
      </c>
      <c r="IV12" s="8"/>
    </row>
    <row r="13" spans="1:256" s="38" customFormat="1" ht="14.1" customHeight="1">
      <c r="A13" s="32" t="s">
        <v>47</v>
      </c>
      <c r="B13" s="32"/>
      <c r="C13" s="32">
        <v>158585.47</v>
      </c>
      <c r="D13" s="32">
        <v>178705.55</v>
      </c>
      <c r="E13" s="32">
        <v>296489.46000000002</v>
      </c>
      <c r="F13" s="32"/>
      <c r="G13" s="32"/>
      <c r="H13" s="32"/>
      <c r="I13" s="32">
        <v>222813.81</v>
      </c>
      <c r="J13" s="32">
        <v>259118.86</v>
      </c>
      <c r="K13" s="32">
        <v>247177.56</v>
      </c>
      <c r="L13" s="32">
        <v>171049.46</v>
      </c>
      <c r="M13" s="32">
        <v>158533.95000000001</v>
      </c>
      <c r="N13" s="123">
        <v>211918.24</v>
      </c>
      <c r="O13" s="32">
        <v>294114.45</v>
      </c>
      <c r="P13" s="32">
        <v>245450.99</v>
      </c>
      <c r="Q13" s="32">
        <v>237375.42</v>
      </c>
      <c r="R13" s="32">
        <v>204960.66</v>
      </c>
      <c r="S13" s="32">
        <v>164805.78</v>
      </c>
      <c r="T13" s="32">
        <v>289755.93</v>
      </c>
      <c r="U13" s="32">
        <v>251788.13</v>
      </c>
      <c r="V13" s="32">
        <v>159822.26999999999</v>
      </c>
      <c r="W13" s="32">
        <v>260220.43</v>
      </c>
      <c r="X13" s="32">
        <v>250630.64</v>
      </c>
      <c r="Y13" s="32">
        <v>169578.7</v>
      </c>
      <c r="Z13" s="32">
        <v>39255.82</v>
      </c>
      <c r="AA13" s="32">
        <v>262096.81</v>
      </c>
      <c r="AB13" s="32">
        <v>225406.83</v>
      </c>
      <c r="AC13" s="32">
        <v>34587.269999999997</v>
      </c>
      <c r="AD13" s="32">
        <v>133731.19</v>
      </c>
      <c r="AE13" s="32">
        <v>115652.98</v>
      </c>
      <c r="AF13" s="123">
        <v>114091.07</v>
      </c>
      <c r="AG13" s="32">
        <v>270432.98</v>
      </c>
      <c r="AH13" s="32">
        <v>163545.28</v>
      </c>
      <c r="AI13" s="32">
        <v>122369.1</v>
      </c>
      <c r="AJ13" s="32">
        <v>49705.95</v>
      </c>
      <c r="AK13" s="32">
        <v>232791.3</v>
      </c>
      <c r="AL13" s="32">
        <v>8159494.6200000001</v>
      </c>
      <c r="AM13" s="32">
        <v>5368139.62</v>
      </c>
      <c r="AN13" s="32">
        <v>167261.68</v>
      </c>
      <c r="AO13" s="32">
        <v>255024.26</v>
      </c>
      <c r="AP13" s="32">
        <v>141387.66</v>
      </c>
      <c r="AQ13" s="32">
        <v>121201.77</v>
      </c>
      <c r="AR13" s="32">
        <v>273909.78999999998</v>
      </c>
      <c r="AS13" s="32">
        <v>173102.87</v>
      </c>
      <c r="AT13" s="32">
        <v>180251.39</v>
      </c>
      <c r="AU13" s="32">
        <v>1449676.42</v>
      </c>
      <c r="AV13" s="123">
        <v>137986.9</v>
      </c>
      <c r="AW13" s="32">
        <v>246028.73</v>
      </c>
      <c r="AX13" s="32">
        <v>322511.78000000003</v>
      </c>
      <c r="AY13" s="32">
        <v>137969.09</v>
      </c>
      <c r="AZ13" s="32">
        <v>170011.34</v>
      </c>
      <c r="BA13" s="32">
        <v>149716.41</v>
      </c>
      <c r="BB13" s="32">
        <v>87598.63</v>
      </c>
      <c r="BC13" s="32">
        <v>169412.23</v>
      </c>
      <c r="BD13" s="32">
        <v>256573.3</v>
      </c>
      <c r="BE13" s="32">
        <v>231200.23</v>
      </c>
      <c r="BF13" s="32">
        <v>159919.54</v>
      </c>
      <c r="BG13" s="32">
        <v>276354.28000000003</v>
      </c>
      <c r="BH13" s="32">
        <v>250028.93</v>
      </c>
      <c r="BI13" s="32">
        <v>187444.74</v>
      </c>
      <c r="BJ13" s="32">
        <v>344760.86</v>
      </c>
      <c r="BK13" s="32">
        <v>162346.66</v>
      </c>
      <c r="BL13" s="32">
        <v>167673.38</v>
      </c>
      <c r="BM13" s="32">
        <v>225717.55</v>
      </c>
      <c r="BN13" s="32">
        <v>159346.16</v>
      </c>
      <c r="BO13" s="32">
        <v>228256.22</v>
      </c>
      <c r="BP13" s="32">
        <v>159078.82999999999</v>
      </c>
      <c r="BQ13" s="32">
        <v>118824.25</v>
      </c>
      <c r="BR13" s="32">
        <v>194393.24</v>
      </c>
      <c r="BS13" s="32">
        <v>210036.7</v>
      </c>
      <c r="BT13" s="32">
        <v>203821.14</v>
      </c>
      <c r="BU13" s="32">
        <v>201206.84</v>
      </c>
      <c r="BV13" s="32">
        <v>248074.15</v>
      </c>
      <c r="BW13" s="32">
        <v>185678.24</v>
      </c>
      <c r="BX13" s="32">
        <v>216104.3</v>
      </c>
      <c r="BY13" s="32">
        <v>218690.37</v>
      </c>
      <c r="BZ13" s="32">
        <v>228431.62</v>
      </c>
      <c r="CA13" s="32">
        <v>244348.57</v>
      </c>
      <c r="CB13" s="32">
        <v>170778.57</v>
      </c>
      <c r="CC13" s="32"/>
      <c r="CD13" s="32"/>
      <c r="CE13" s="32">
        <v>142965.82999999999</v>
      </c>
      <c r="CF13" s="32">
        <v>159898.4</v>
      </c>
      <c r="CG13" s="32">
        <v>197887.53</v>
      </c>
      <c r="CH13" s="32">
        <v>181381.29</v>
      </c>
      <c r="CI13" s="32">
        <v>138106.23999999999</v>
      </c>
      <c r="CJ13" s="32">
        <v>109751.15</v>
      </c>
      <c r="CK13" s="32">
        <v>205069.06</v>
      </c>
      <c r="CL13" s="32">
        <v>643219.68999999994</v>
      </c>
      <c r="CM13" s="32">
        <v>103898.74</v>
      </c>
      <c r="CN13" s="32">
        <v>4808280.0199999996</v>
      </c>
      <c r="CO13" s="32">
        <v>247641.19</v>
      </c>
      <c r="CP13" s="32">
        <v>146150.62</v>
      </c>
      <c r="CQ13" s="32">
        <v>144199.88</v>
      </c>
      <c r="CR13" s="32">
        <v>148383.54999999999</v>
      </c>
      <c r="CS13" s="32">
        <v>70307.92</v>
      </c>
      <c r="CT13" s="32">
        <v>51023.48</v>
      </c>
      <c r="CU13" s="32">
        <v>155684.72</v>
      </c>
      <c r="CV13" s="32">
        <v>118097.3</v>
      </c>
      <c r="CW13" s="32">
        <v>185677.41</v>
      </c>
      <c r="CX13" s="32">
        <v>119207.25</v>
      </c>
      <c r="CY13" s="32">
        <v>142431.28</v>
      </c>
      <c r="CZ13" s="32">
        <v>138663.59</v>
      </c>
      <c r="DA13" s="32">
        <v>135351.15</v>
      </c>
      <c r="DB13" s="32">
        <v>109919.02</v>
      </c>
      <c r="DC13" s="32">
        <v>143527.49</v>
      </c>
      <c r="DD13" s="32">
        <v>142711.07</v>
      </c>
      <c r="DE13" s="32">
        <v>194973.67</v>
      </c>
      <c r="DF13" s="32">
        <v>2644.55</v>
      </c>
      <c r="DG13" s="32">
        <v>70572.08</v>
      </c>
      <c r="DH13" s="32">
        <v>171802.47</v>
      </c>
      <c r="DI13" s="32"/>
      <c r="DJ13" s="32">
        <v>111158.48</v>
      </c>
      <c r="DK13" s="32">
        <v>117955.22</v>
      </c>
      <c r="DL13" s="32">
        <v>121059.49</v>
      </c>
      <c r="DM13" s="32">
        <v>167296.21</v>
      </c>
      <c r="DN13" s="32">
        <v>184540.23</v>
      </c>
      <c r="DO13" s="32">
        <v>188803.97</v>
      </c>
      <c r="DP13" s="32">
        <v>221661.75</v>
      </c>
      <c r="DQ13" s="32"/>
      <c r="DR13" s="32">
        <v>122794.15</v>
      </c>
      <c r="DS13" s="32">
        <v>98721.2</v>
      </c>
      <c r="DT13" s="32"/>
      <c r="DU13" s="32">
        <v>79087.539999999994</v>
      </c>
      <c r="DV13" s="32">
        <v>203308.18</v>
      </c>
      <c r="DW13" s="32">
        <v>176111.09</v>
      </c>
      <c r="DX13" s="32">
        <v>206710.69</v>
      </c>
      <c r="DY13" s="32">
        <v>182985.94</v>
      </c>
      <c r="DZ13" s="32">
        <v>127350.63</v>
      </c>
      <c r="EA13" s="32">
        <v>347436.66</v>
      </c>
      <c r="EB13" s="32">
        <v>533663.05000000005</v>
      </c>
      <c r="EC13" s="32">
        <v>113741.24</v>
      </c>
      <c r="ED13" s="32">
        <v>507977.78</v>
      </c>
      <c r="EE13" s="32">
        <v>108473.31</v>
      </c>
      <c r="EF13" s="32">
        <v>162597.29</v>
      </c>
      <c r="EG13" s="32">
        <v>131602.60999999999</v>
      </c>
      <c r="EH13" s="32">
        <v>133053.10999999999</v>
      </c>
      <c r="EI13" s="32">
        <v>105420.68</v>
      </c>
      <c r="EJ13" s="32">
        <v>160638.47</v>
      </c>
      <c r="EK13" s="123">
        <v>126472.88</v>
      </c>
      <c r="EL13" s="32">
        <v>61334.52</v>
      </c>
      <c r="EM13" s="32">
        <v>1349852.89</v>
      </c>
      <c r="EN13" s="32"/>
      <c r="EO13" s="32">
        <v>137201.59</v>
      </c>
      <c r="EP13" s="32">
        <v>238328.15</v>
      </c>
      <c r="EQ13" s="32">
        <v>79332.63</v>
      </c>
      <c r="ER13" s="32">
        <v>190000.36</v>
      </c>
      <c r="ES13" s="32">
        <v>185103.55</v>
      </c>
      <c r="ET13" s="32">
        <v>196425.43</v>
      </c>
      <c r="EU13" s="32">
        <v>242344.39</v>
      </c>
      <c r="EV13" s="32">
        <v>466879.75</v>
      </c>
      <c r="EW13" s="32">
        <v>244698.48</v>
      </c>
      <c r="EX13" s="32">
        <v>207279.95</v>
      </c>
      <c r="EY13" s="32">
        <v>266685.03999999998</v>
      </c>
      <c r="EZ13" s="32">
        <v>177043.92</v>
      </c>
      <c r="FA13" s="32">
        <v>65068.31</v>
      </c>
      <c r="FB13" s="32">
        <v>174450.94</v>
      </c>
      <c r="FC13" s="32">
        <v>266261.71999999997</v>
      </c>
      <c r="FD13" s="32">
        <v>230556.95</v>
      </c>
      <c r="FE13" s="123">
        <v>261182.11</v>
      </c>
      <c r="FF13" s="32">
        <v>216631.72</v>
      </c>
      <c r="FG13" s="32">
        <v>201588.44</v>
      </c>
      <c r="FH13" s="32">
        <v>222596.27</v>
      </c>
      <c r="FI13" s="123">
        <v>205270.11</v>
      </c>
      <c r="FJ13" s="32">
        <v>225277.07</v>
      </c>
      <c r="FK13" s="32">
        <v>206517.16</v>
      </c>
      <c r="FL13" s="74">
        <v>401092.18</v>
      </c>
      <c r="FM13" s="32">
        <v>243334.31</v>
      </c>
      <c r="FN13" s="32">
        <v>149309.79</v>
      </c>
      <c r="FO13" s="32">
        <v>220941.85</v>
      </c>
      <c r="FP13" s="32">
        <v>1145901.0900000001</v>
      </c>
      <c r="FQ13" s="32">
        <v>177309.97</v>
      </c>
      <c r="FR13" s="32"/>
      <c r="FS13" s="32">
        <v>836155</v>
      </c>
      <c r="FT13" s="32">
        <v>274264.02</v>
      </c>
      <c r="FU13" s="32">
        <v>537200.04</v>
      </c>
      <c r="FV13" s="32">
        <v>223167.4</v>
      </c>
      <c r="FW13" s="32">
        <v>428720.41</v>
      </c>
      <c r="FX13" s="32"/>
      <c r="FY13" s="32">
        <v>473685.72</v>
      </c>
      <c r="FZ13" s="123">
        <v>261399.21</v>
      </c>
      <c r="GA13" s="32">
        <v>396323.4</v>
      </c>
      <c r="GB13" s="32">
        <v>355893.53</v>
      </c>
      <c r="GC13" s="32">
        <v>260348.23</v>
      </c>
      <c r="GD13" s="32">
        <v>180315.46</v>
      </c>
      <c r="GE13" s="32">
        <v>986207.07</v>
      </c>
      <c r="GF13" s="32">
        <v>252429.08</v>
      </c>
      <c r="GG13" s="32">
        <v>192596</v>
      </c>
      <c r="GH13" s="32"/>
      <c r="GI13" s="32">
        <v>307387.34000000003</v>
      </c>
      <c r="GJ13" s="32">
        <v>213888.01</v>
      </c>
      <c r="GK13" s="32">
        <v>1073709.17</v>
      </c>
      <c r="GL13" s="32">
        <v>380333.22</v>
      </c>
      <c r="GM13" s="32">
        <v>350394.62</v>
      </c>
      <c r="GN13" s="32">
        <v>220080.93</v>
      </c>
      <c r="GO13" s="32">
        <v>228725.79</v>
      </c>
      <c r="GP13" s="32">
        <v>312393.27</v>
      </c>
      <c r="GQ13" s="32"/>
      <c r="GR13" s="32">
        <v>204366.55</v>
      </c>
      <c r="GS13" s="32">
        <v>496550.11</v>
      </c>
      <c r="GT13" s="32">
        <v>223534.99</v>
      </c>
      <c r="GU13" s="123">
        <v>421153.87</v>
      </c>
      <c r="GV13" s="32">
        <v>385321.89</v>
      </c>
      <c r="GW13" s="32">
        <v>202452.64</v>
      </c>
      <c r="GX13" s="32">
        <v>185754.48</v>
      </c>
      <c r="GY13" s="32">
        <v>241783.06</v>
      </c>
      <c r="GZ13" s="32">
        <v>148585.59</v>
      </c>
      <c r="HA13" s="32">
        <v>849705.7</v>
      </c>
      <c r="HB13" s="32">
        <v>205424.75</v>
      </c>
      <c r="HC13" s="32">
        <v>980333.66</v>
      </c>
      <c r="HD13" s="32">
        <v>242279.3</v>
      </c>
      <c r="HE13" s="32">
        <v>167694.01999999999</v>
      </c>
      <c r="HF13" s="32">
        <v>217134.5</v>
      </c>
      <c r="HG13" s="32">
        <v>333354.06</v>
      </c>
      <c r="HH13" s="32"/>
      <c r="HI13" s="32"/>
      <c r="HJ13" s="32">
        <v>189601.13</v>
      </c>
      <c r="HK13" s="32">
        <v>2696028.61</v>
      </c>
      <c r="HL13" s="32">
        <v>586602.6</v>
      </c>
      <c r="HM13" s="32">
        <v>202969.62</v>
      </c>
      <c r="HN13" s="141">
        <v>322857.77</v>
      </c>
      <c r="HO13" s="123">
        <v>379165.1</v>
      </c>
      <c r="HP13" s="32">
        <v>306559.18</v>
      </c>
      <c r="HQ13" s="32">
        <v>203268.63</v>
      </c>
      <c r="HR13" s="32">
        <v>196000.29</v>
      </c>
      <c r="HS13" s="32">
        <v>213351.57</v>
      </c>
      <c r="HT13" s="32">
        <v>104322.06</v>
      </c>
      <c r="HU13" s="32">
        <v>236476.96</v>
      </c>
      <c r="HV13" s="32">
        <v>179086.99</v>
      </c>
      <c r="HW13" s="32">
        <v>207466.72</v>
      </c>
      <c r="HX13" s="32">
        <v>110812.96</v>
      </c>
      <c r="HY13" s="32">
        <v>180700.3</v>
      </c>
      <c r="HZ13" s="32">
        <v>195986.47</v>
      </c>
      <c r="IA13" s="32">
        <v>247063.09</v>
      </c>
      <c r="IB13" s="32">
        <v>308807.49</v>
      </c>
      <c r="IC13" s="32">
        <v>215577.57</v>
      </c>
      <c r="ID13" s="32">
        <v>125450.63</v>
      </c>
      <c r="IE13" s="32">
        <v>175502.05</v>
      </c>
      <c r="IF13" s="32">
        <v>252002.98</v>
      </c>
      <c r="IG13" s="32">
        <v>317501.37</v>
      </c>
      <c r="IH13" s="102">
        <v>128386.67</v>
      </c>
      <c r="II13" s="32"/>
      <c r="IJ13" s="32">
        <v>664205.19999999995</v>
      </c>
      <c r="IK13" s="32">
        <v>332449.74</v>
      </c>
      <c r="IL13" s="32">
        <v>575419.02</v>
      </c>
      <c r="IM13" s="32">
        <v>191636.49</v>
      </c>
      <c r="IN13" s="32">
        <v>157592.09</v>
      </c>
      <c r="IO13" s="32">
        <v>171462.2</v>
      </c>
      <c r="IP13" s="32">
        <v>302094.51</v>
      </c>
      <c r="IQ13" s="32">
        <v>175207.42</v>
      </c>
      <c r="IR13" s="32">
        <v>189458.89</v>
      </c>
      <c r="IS13" s="32">
        <v>669427.30000000005</v>
      </c>
      <c r="IT13" s="32">
        <v>203669.03</v>
      </c>
      <c r="IU13" s="32">
        <f t="shared" si="4"/>
        <v>77888817.649999946</v>
      </c>
    </row>
    <row r="14" spans="1:256" ht="14.1" customHeight="1">
      <c r="A14" s="4" t="s">
        <v>4</v>
      </c>
      <c r="B14" s="10"/>
      <c r="C14" s="155">
        <v>17607978.460000001</v>
      </c>
      <c r="D14" s="4">
        <v>55857404.630000003</v>
      </c>
      <c r="E14" s="4"/>
      <c r="F14" s="4">
        <v>34488917.549999997</v>
      </c>
      <c r="G14" s="4">
        <v>55923903.090000004</v>
      </c>
      <c r="H14" s="4">
        <v>26905694.539999999</v>
      </c>
      <c r="I14" s="4">
        <v>21635072.039999999</v>
      </c>
      <c r="J14" s="4">
        <v>168439.97</v>
      </c>
      <c r="K14" s="4">
        <v>2617724.7200000002</v>
      </c>
      <c r="L14" s="4">
        <v>52439966.210000001</v>
      </c>
      <c r="M14" s="4">
        <v>547084.71</v>
      </c>
      <c r="N14" s="189">
        <v>8686548.0800000001</v>
      </c>
      <c r="O14" s="4">
        <v>173078.17</v>
      </c>
      <c r="P14" s="4">
        <f>5944863.54+59681.19</f>
        <v>6004544.7300000004</v>
      </c>
      <c r="Q14" s="4">
        <v>557362.69999999995</v>
      </c>
      <c r="R14" s="4">
        <v>1443969.74</v>
      </c>
      <c r="S14" s="4">
        <v>1026846.49</v>
      </c>
      <c r="T14" s="4">
        <v>133070.31</v>
      </c>
      <c r="U14" s="4">
        <v>543065.47</v>
      </c>
      <c r="V14" s="4">
        <v>1967628.3</v>
      </c>
      <c r="W14" s="4">
        <v>1053491.6200000001</v>
      </c>
      <c r="X14" s="4">
        <v>940026.9</v>
      </c>
      <c r="Y14" s="4">
        <v>969463.53</v>
      </c>
      <c r="Z14" s="4">
        <v>904755.72</v>
      </c>
      <c r="AA14" s="4">
        <v>465529.38</v>
      </c>
      <c r="AB14" s="4">
        <v>657791.97</v>
      </c>
      <c r="AC14" s="4">
        <v>1606437.18</v>
      </c>
      <c r="AD14" s="4">
        <v>111132.39</v>
      </c>
      <c r="AE14" s="4">
        <v>291676.18</v>
      </c>
      <c r="AF14" s="189">
        <v>97098.35</v>
      </c>
      <c r="AG14" s="4">
        <v>881364.45</v>
      </c>
      <c r="AH14" s="4">
        <v>345428.04</v>
      </c>
      <c r="AI14" s="4">
        <v>469686.26</v>
      </c>
      <c r="AJ14" s="4">
        <v>297399.61</v>
      </c>
      <c r="AK14" s="4">
        <v>162194.54999999999</v>
      </c>
      <c r="AL14" s="4">
        <v>727995.57</v>
      </c>
      <c r="AM14" s="4">
        <v>123061.63</v>
      </c>
      <c r="AN14" s="4">
        <v>596419.69999999995</v>
      </c>
      <c r="AO14" s="4">
        <v>754420.33</v>
      </c>
      <c r="AP14" s="4">
        <v>275699.90000000002</v>
      </c>
      <c r="AQ14" s="4">
        <v>346598.72</v>
      </c>
      <c r="AR14" s="4">
        <v>232181.26</v>
      </c>
      <c r="AS14" s="4">
        <v>835982.04</v>
      </c>
      <c r="AT14" s="4">
        <v>947620.72</v>
      </c>
      <c r="AU14" s="4">
        <v>511228.15</v>
      </c>
      <c r="AV14" s="189">
        <v>585426.66</v>
      </c>
      <c r="AW14" s="4">
        <v>1330204.42</v>
      </c>
      <c r="AX14" s="4">
        <v>366156.42</v>
      </c>
      <c r="AY14" s="4">
        <v>240340.82</v>
      </c>
      <c r="AZ14" s="4">
        <v>76498.570000000007</v>
      </c>
      <c r="BA14" s="4">
        <v>192559.56</v>
      </c>
      <c r="BB14" s="4">
        <v>384861.47</v>
      </c>
      <c r="BC14" s="4">
        <v>328984.03000000003</v>
      </c>
      <c r="BD14" s="4">
        <v>289534.09999999998</v>
      </c>
      <c r="BE14" s="4">
        <v>144793.57</v>
      </c>
      <c r="BF14" s="4"/>
      <c r="BG14" s="4"/>
      <c r="BH14" s="4">
        <v>120722.7</v>
      </c>
      <c r="BI14" s="4">
        <v>1043365.23</v>
      </c>
      <c r="BJ14" s="4">
        <v>1199666.72</v>
      </c>
      <c r="BK14" s="4">
        <v>293867.21999999997</v>
      </c>
      <c r="BL14" s="4">
        <v>771451.76</v>
      </c>
      <c r="BM14" s="4">
        <v>98729.08</v>
      </c>
      <c r="BN14" s="4">
        <v>222868.32</v>
      </c>
      <c r="BO14" s="4">
        <v>268242.64</v>
      </c>
      <c r="BP14" s="4">
        <v>356672.37</v>
      </c>
      <c r="BQ14" s="4">
        <v>535403.81999999995</v>
      </c>
      <c r="BR14" s="4"/>
      <c r="BS14" s="4">
        <v>588910.47</v>
      </c>
      <c r="BT14" s="4">
        <v>297278.08000000002</v>
      </c>
      <c r="BU14" s="4">
        <v>339636.64</v>
      </c>
      <c r="BV14" s="4"/>
      <c r="BW14" s="4">
        <v>304862.39</v>
      </c>
      <c r="BX14" s="4">
        <v>332762.56</v>
      </c>
      <c r="BY14" s="4">
        <v>159369.82999999999</v>
      </c>
      <c r="BZ14" s="4">
        <v>246517.55</v>
      </c>
      <c r="CA14" s="4"/>
      <c r="CB14" s="4">
        <v>47226.33</v>
      </c>
      <c r="CC14" s="4">
        <v>300548.34000000003</v>
      </c>
      <c r="CD14" s="4">
        <v>115472.99</v>
      </c>
      <c r="CE14" s="4">
        <v>205401.34</v>
      </c>
      <c r="CF14" s="4">
        <v>338101.27</v>
      </c>
      <c r="CG14" s="4"/>
      <c r="CH14" s="4"/>
      <c r="CI14" s="4">
        <f>262860.98+377467.14+5114.33</f>
        <v>645442.44999999995</v>
      </c>
      <c r="CJ14" s="4"/>
      <c r="CK14" s="4">
        <v>239186.02</v>
      </c>
      <c r="CL14" s="4">
        <v>438185.35</v>
      </c>
      <c r="CM14" s="4">
        <v>353110.73</v>
      </c>
      <c r="CN14" s="4">
        <v>292759.37</v>
      </c>
      <c r="CO14" s="4">
        <v>313527.15999999997</v>
      </c>
      <c r="CP14" s="4">
        <v>48636</v>
      </c>
      <c r="CQ14" s="4">
        <v>526951.05000000005</v>
      </c>
      <c r="CR14" s="4">
        <v>216128.23</v>
      </c>
      <c r="CS14" s="4"/>
      <c r="CT14" s="4"/>
      <c r="CU14" s="4">
        <v>16159.93</v>
      </c>
      <c r="CV14" s="4">
        <v>102534.85</v>
      </c>
      <c r="CW14" s="4"/>
      <c r="CX14" s="4"/>
      <c r="CY14" s="4">
        <v>21139.09</v>
      </c>
      <c r="CZ14" s="4">
        <v>589229.81000000006</v>
      </c>
      <c r="DA14" s="4"/>
      <c r="DB14" s="4"/>
      <c r="DC14" s="4">
        <v>197524.02</v>
      </c>
      <c r="DD14" s="4">
        <v>172469.35</v>
      </c>
      <c r="DE14" s="87">
        <v>572500.03</v>
      </c>
      <c r="DF14" s="4">
        <v>656539.38</v>
      </c>
      <c r="DG14" s="4">
        <v>414037.78</v>
      </c>
      <c r="DH14" s="4">
        <v>454255.81</v>
      </c>
      <c r="DI14" s="4">
        <v>127468.3</v>
      </c>
      <c r="DJ14" s="4">
        <v>65196.55</v>
      </c>
      <c r="DK14" s="4">
        <v>826801.7</v>
      </c>
      <c r="DL14" s="4"/>
      <c r="DM14" s="4"/>
      <c r="DN14" s="4"/>
      <c r="DO14" s="4"/>
      <c r="DP14" s="4">
        <v>255773.78</v>
      </c>
      <c r="DQ14" s="4">
        <v>43115.39</v>
      </c>
      <c r="DR14" s="87">
        <v>147506.76999999999</v>
      </c>
      <c r="DS14" s="4">
        <v>475441.41</v>
      </c>
      <c r="DT14" s="4">
        <v>53115.66</v>
      </c>
      <c r="DU14" s="4">
        <v>40606.54</v>
      </c>
      <c r="DV14" s="4">
        <f>362588.78+46683.57</f>
        <v>409272.35000000003</v>
      </c>
      <c r="DW14" s="4"/>
      <c r="DX14" s="4"/>
      <c r="DY14" s="4"/>
      <c r="DZ14" s="4">
        <v>1946.62</v>
      </c>
      <c r="EA14" s="4"/>
      <c r="EB14" s="4">
        <v>1588.41</v>
      </c>
      <c r="EC14" s="4"/>
      <c r="ED14" s="4"/>
      <c r="EE14" s="4"/>
      <c r="EF14" s="4"/>
      <c r="EG14" s="32"/>
      <c r="EH14" s="4"/>
      <c r="EI14" s="4"/>
      <c r="EJ14" s="4"/>
      <c r="EK14" s="7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89"/>
      <c r="FF14" s="4"/>
      <c r="FG14" s="4"/>
      <c r="FH14" s="4"/>
      <c r="FI14" s="189"/>
      <c r="FJ14" s="4"/>
      <c r="FK14" s="4"/>
      <c r="FL14" s="7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89"/>
      <c r="GA14" s="4"/>
      <c r="GB14" s="4"/>
      <c r="GC14" s="4"/>
      <c r="GD14" s="4"/>
      <c r="GE14" s="4"/>
      <c r="GF14" s="4"/>
      <c r="GG14" s="4"/>
      <c r="GH14" s="4"/>
      <c r="GI14" s="4">
        <v>279.62</v>
      </c>
      <c r="GJ14" s="4"/>
      <c r="GK14" s="4">
        <v>159316.82</v>
      </c>
      <c r="GL14" s="4">
        <v>149025.51999999999</v>
      </c>
      <c r="GM14" s="4">
        <v>176231.31</v>
      </c>
      <c r="GN14" s="4"/>
      <c r="GO14" s="4">
        <v>169471.32</v>
      </c>
      <c r="GP14" s="4">
        <v>211362.19</v>
      </c>
      <c r="GQ14" s="4">
        <v>1027969.74</v>
      </c>
      <c r="GR14" s="4">
        <v>748499.84</v>
      </c>
      <c r="GS14" s="4">
        <v>717639.06</v>
      </c>
      <c r="GT14" s="4">
        <v>2114386.83</v>
      </c>
      <c r="GU14" s="123">
        <v>1104735.52</v>
      </c>
      <c r="GV14" s="4">
        <v>1043590.53</v>
      </c>
      <c r="GW14" s="4">
        <v>1784892.93</v>
      </c>
      <c r="GX14" s="4">
        <v>1209534.42</v>
      </c>
      <c r="GY14" s="4">
        <v>1609133.52</v>
      </c>
      <c r="GZ14" s="4">
        <v>1132625.1399999999</v>
      </c>
      <c r="HA14" s="4">
        <v>151748.19</v>
      </c>
      <c r="HB14" s="4">
        <v>1710215.61</v>
      </c>
      <c r="HC14" s="4">
        <v>314020.03000000003</v>
      </c>
      <c r="HD14" s="4">
        <v>184457.27</v>
      </c>
      <c r="HE14" s="4"/>
      <c r="HF14" s="4">
        <v>4763172.8600000003</v>
      </c>
      <c r="HG14" s="4">
        <v>1703532.42</v>
      </c>
      <c r="HH14" s="4">
        <v>3029103.6</v>
      </c>
      <c r="HI14" s="4">
        <v>2456622.46</v>
      </c>
      <c r="HJ14" s="4">
        <v>1073178.3899999999</v>
      </c>
      <c r="HK14" s="4">
        <v>2850506.95</v>
      </c>
      <c r="HL14" s="4">
        <v>1458187.03</v>
      </c>
      <c r="HM14" s="4">
        <v>1773204.52</v>
      </c>
      <c r="HN14" s="130">
        <v>3610385.31</v>
      </c>
      <c r="HO14" s="74">
        <v>2717187.93</v>
      </c>
      <c r="HP14" s="4">
        <v>3314417.46</v>
      </c>
      <c r="HQ14" s="4">
        <v>1207745.69</v>
      </c>
      <c r="HR14" s="4">
        <v>1024372.84</v>
      </c>
      <c r="HS14" s="4">
        <v>375163.92</v>
      </c>
      <c r="HT14" s="4">
        <v>6457144.21</v>
      </c>
      <c r="HU14" s="4">
        <v>9235354.8200000003</v>
      </c>
      <c r="HV14" s="4">
        <v>9685998.1999999993</v>
      </c>
      <c r="HW14" s="4">
        <v>3811120.43</v>
      </c>
      <c r="HX14" s="4"/>
      <c r="HY14" s="4">
        <v>15968918.35</v>
      </c>
      <c r="HZ14" s="4">
        <v>7519497.96</v>
      </c>
      <c r="IA14" s="4">
        <v>18979456.870000001</v>
      </c>
      <c r="IB14" s="4"/>
      <c r="IC14" s="4">
        <v>31709063.559999999</v>
      </c>
      <c r="ID14" s="4">
        <v>663386.9</v>
      </c>
      <c r="IE14" s="4">
        <v>10164501.6</v>
      </c>
      <c r="IF14" s="4">
        <v>16913770.550000001</v>
      </c>
      <c r="IG14" s="4">
        <v>12406444.4</v>
      </c>
      <c r="IH14" s="102">
        <v>52331990.539999999</v>
      </c>
      <c r="II14" s="4">
        <v>21309890.300000001</v>
      </c>
      <c r="IJ14" s="4">
        <v>18680078.550000001</v>
      </c>
      <c r="IK14" s="4">
        <v>9475477.7799999993</v>
      </c>
      <c r="IL14" s="4">
        <v>5004925.26</v>
      </c>
      <c r="IM14" s="4">
        <v>7082612.9400000004</v>
      </c>
      <c r="IN14" s="4">
        <v>7698336.5700000003</v>
      </c>
      <c r="IO14" s="4">
        <v>4185232.29</v>
      </c>
      <c r="IP14" s="4">
        <v>10283620.25</v>
      </c>
      <c r="IQ14" s="4">
        <v>23386707.149999999</v>
      </c>
      <c r="IR14" s="4">
        <v>22888613.920000002</v>
      </c>
      <c r="IS14" s="4"/>
      <c r="IT14" s="4">
        <v>18254836.280000001</v>
      </c>
      <c r="IU14" s="4">
        <f t="shared" si="4"/>
        <v>697742489.22999978</v>
      </c>
    </row>
    <row r="15" spans="1:256" ht="14.1" customHeight="1" thickBot="1">
      <c r="A15" s="4" t="s">
        <v>53</v>
      </c>
      <c r="B15" s="10"/>
      <c r="C15" s="155">
        <v>9648.42</v>
      </c>
      <c r="D15" s="4">
        <v>866.42</v>
      </c>
      <c r="E15" s="4"/>
      <c r="F15" s="4">
        <v>962.64</v>
      </c>
      <c r="G15" s="4">
        <v>2750.48</v>
      </c>
      <c r="H15" s="4">
        <v>29.67</v>
      </c>
      <c r="I15" s="4">
        <v>1143.8</v>
      </c>
      <c r="J15" s="4">
        <v>227.39</v>
      </c>
      <c r="K15" s="4">
        <v>325.72000000000003</v>
      </c>
      <c r="L15" s="4">
        <v>4147.05</v>
      </c>
      <c r="M15" s="4">
        <v>4250.3100000000004</v>
      </c>
      <c r="N15" s="189">
        <v>883.57</v>
      </c>
      <c r="O15" s="4">
        <v>297.19</v>
      </c>
      <c r="P15" s="4">
        <v>2068.4499999999998</v>
      </c>
      <c r="Q15" s="4">
        <v>3859.25</v>
      </c>
      <c r="R15" s="4">
        <v>281.89</v>
      </c>
      <c r="S15" s="4">
        <v>941.07</v>
      </c>
      <c r="T15" s="4">
        <v>36378.03</v>
      </c>
      <c r="U15" s="4">
        <v>2361.64</v>
      </c>
      <c r="V15" s="4"/>
      <c r="W15" s="4">
        <v>307.25</v>
      </c>
      <c r="X15" s="4"/>
      <c r="Y15" s="4">
        <v>481.65</v>
      </c>
      <c r="Z15" s="4">
        <v>963.04</v>
      </c>
      <c r="AA15" s="4">
        <v>243.8</v>
      </c>
      <c r="AB15" s="4">
        <v>901.09</v>
      </c>
      <c r="AC15" s="4">
        <v>3764.83</v>
      </c>
      <c r="AD15" s="4">
        <v>446.89</v>
      </c>
      <c r="AE15" s="4">
        <v>856.54</v>
      </c>
      <c r="AF15" s="189">
        <v>2196.4699999999998</v>
      </c>
      <c r="AG15" s="4">
        <v>1460.75</v>
      </c>
      <c r="AH15" s="4">
        <v>4013.96</v>
      </c>
      <c r="AI15" s="4"/>
      <c r="AJ15" s="4">
        <v>2612.4</v>
      </c>
      <c r="AK15" s="4">
        <v>5021.63</v>
      </c>
      <c r="AL15" s="4">
        <v>1225</v>
      </c>
      <c r="AM15" s="4"/>
      <c r="AN15" s="4"/>
      <c r="AO15" s="4">
        <v>2446.5300000000002</v>
      </c>
      <c r="AP15" s="4">
        <v>262.64</v>
      </c>
      <c r="AQ15" s="4">
        <v>5370.42</v>
      </c>
      <c r="AR15" s="4"/>
      <c r="AS15" s="4">
        <v>59.68</v>
      </c>
      <c r="AT15" s="4">
        <v>506.76</v>
      </c>
      <c r="AU15" s="4">
        <v>675.31</v>
      </c>
      <c r="AV15" s="189"/>
      <c r="AW15" s="4">
        <v>958.37</v>
      </c>
      <c r="AX15" s="4">
        <v>31.46</v>
      </c>
      <c r="AY15" s="4"/>
      <c r="AZ15" s="4">
        <v>160.93</v>
      </c>
      <c r="BA15" s="4">
        <v>421.14</v>
      </c>
      <c r="BB15" s="4">
        <v>1937.28</v>
      </c>
      <c r="BC15" s="4">
        <v>55.96</v>
      </c>
      <c r="BD15" s="4">
        <v>1378.63</v>
      </c>
      <c r="BE15" s="4"/>
      <c r="BF15" s="4"/>
      <c r="BG15" s="4"/>
      <c r="BH15" s="4">
        <v>4809.6499999999996</v>
      </c>
      <c r="BI15" s="4">
        <v>6659.53</v>
      </c>
      <c r="BJ15" s="4">
        <v>523.74</v>
      </c>
      <c r="BK15" s="4">
        <v>1200.6600000000001</v>
      </c>
      <c r="BL15" s="4">
        <v>4433.09</v>
      </c>
      <c r="BM15" s="4">
        <v>667.22</v>
      </c>
      <c r="BN15" s="4"/>
      <c r="BO15" s="4"/>
      <c r="BP15" s="4">
        <v>3508.55</v>
      </c>
      <c r="BQ15" s="4">
        <v>2752.56</v>
      </c>
      <c r="BR15" s="4">
        <v>408.19</v>
      </c>
      <c r="BS15" s="4">
        <v>533.85</v>
      </c>
      <c r="BT15" s="4">
        <v>28127.45</v>
      </c>
      <c r="BU15" s="4">
        <v>165.88</v>
      </c>
      <c r="BV15" s="4">
        <v>56.82</v>
      </c>
      <c r="BW15" s="4">
        <v>360.78</v>
      </c>
      <c r="BX15" s="4">
        <v>444.24</v>
      </c>
      <c r="BY15" s="4">
        <v>58.1</v>
      </c>
      <c r="BZ15" s="4"/>
      <c r="CA15" s="4">
        <v>73.180000000000007</v>
      </c>
      <c r="CB15" s="4">
        <v>905.28</v>
      </c>
      <c r="CC15" s="4">
        <v>29.5</v>
      </c>
      <c r="CD15" s="4">
        <v>629.09</v>
      </c>
      <c r="CE15" s="4">
        <v>581.64</v>
      </c>
      <c r="CF15" s="4">
        <v>5031.74</v>
      </c>
      <c r="CG15" s="4"/>
      <c r="CH15" s="4"/>
      <c r="CI15" s="4">
        <f>773.17+3177.68</f>
        <v>3950.85</v>
      </c>
      <c r="CJ15" s="4">
        <v>1367.97</v>
      </c>
      <c r="CK15" s="4">
        <v>4128.09</v>
      </c>
      <c r="CL15" s="4"/>
      <c r="CM15" s="4">
        <v>2263.09</v>
      </c>
      <c r="CN15" s="4">
        <v>231.28</v>
      </c>
      <c r="CO15" s="4">
        <v>672.78</v>
      </c>
      <c r="CP15" s="4">
        <v>677.24</v>
      </c>
      <c r="CQ15" s="4">
        <v>798.41</v>
      </c>
      <c r="CR15" s="4">
        <v>407.35</v>
      </c>
      <c r="CS15" s="4"/>
      <c r="CT15" s="4"/>
      <c r="CU15" s="4">
        <v>1579.96</v>
      </c>
      <c r="CV15" s="4">
        <v>489.64</v>
      </c>
      <c r="CW15" s="4">
        <v>2656.24</v>
      </c>
      <c r="CX15" s="4"/>
      <c r="CY15" s="4">
        <v>1870.95</v>
      </c>
      <c r="CZ15" s="4">
        <v>1879.65</v>
      </c>
      <c r="DA15" s="4"/>
      <c r="DB15" s="4">
        <v>326.38</v>
      </c>
      <c r="DC15" s="4"/>
      <c r="DD15" s="4"/>
      <c r="DE15" s="87">
        <v>591.23</v>
      </c>
      <c r="DF15" s="4">
        <v>160.83000000000001</v>
      </c>
      <c r="DG15" s="4">
        <v>26.79</v>
      </c>
      <c r="DH15" s="4">
        <v>94.73</v>
      </c>
      <c r="DI15" s="4">
        <v>2003.08</v>
      </c>
      <c r="DJ15" s="4">
        <v>28.54</v>
      </c>
      <c r="DK15" s="4">
        <v>2059.3200000000002</v>
      </c>
      <c r="DL15" s="4"/>
      <c r="DM15" s="4"/>
      <c r="DN15" s="4"/>
      <c r="DO15" s="4"/>
      <c r="DP15" s="4">
        <v>65.739999999999995</v>
      </c>
      <c r="DQ15" s="4">
        <v>328.64</v>
      </c>
      <c r="DR15" s="87">
        <v>521.88</v>
      </c>
      <c r="DS15" s="4">
        <v>248.59</v>
      </c>
      <c r="DT15" s="4">
        <v>329.76</v>
      </c>
      <c r="DU15" s="4"/>
      <c r="DV15" s="4">
        <v>4146.99</v>
      </c>
      <c r="DW15" s="4">
        <v>3396.76</v>
      </c>
      <c r="DX15" s="4"/>
      <c r="DY15" s="4">
        <v>2205.4</v>
      </c>
      <c r="DZ15" s="4">
        <v>541.24</v>
      </c>
      <c r="EA15" s="4"/>
      <c r="EB15" s="4">
        <v>176.19</v>
      </c>
      <c r="EC15" s="4"/>
      <c r="ED15" s="4"/>
      <c r="EE15" s="4"/>
      <c r="EF15" s="4">
        <v>1154.32</v>
      </c>
      <c r="EG15" s="32">
        <v>3197.94</v>
      </c>
      <c r="EH15" s="4">
        <v>161.4</v>
      </c>
      <c r="EI15" s="4"/>
      <c r="EJ15" s="4">
        <v>7478.02</v>
      </c>
      <c r="EK15" s="74"/>
      <c r="EL15" s="4">
        <v>558.83000000000004</v>
      </c>
      <c r="EM15" s="4"/>
      <c r="EN15" s="4">
        <v>1003.67</v>
      </c>
      <c r="EO15" s="4">
        <v>4273.1899999999996</v>
      </c>
      <c r="EP15" s="4">
        <v>4485.6099999999997</v>
      </c>
      <c r="EQ15" s="4">
        <v>3873.87</v>
      </c>
      <c r="ER15" s="4"/>
      <c r="ES15" s="4">
        <v>534.96</v>
      </c>
      <c r="ET15" s="4"/>
      <c r="EU15" s="4">
        <v>466.58</v>
      </c>
      <c r="EV15" s="4">
        <v>379.54</v>
      </c>
      <c r="EW15" s="4">
        <v>455.86</v>
      </c>
      <c r="EX15" s="4">
        <v>466.52</v>
      </c>
      <c r="EY15" s="4">
        <v>256.33999999999997</v>
      </c>
      <c r="EZ15" s="4">
        <v>294.10000000000002</v>
      </c>
      <c r="FA15" s="4">
        <v>851.05</v>
      </c>
      <c r="FB15" s="5">
        <v>686.05</v>
      </c>
      <c r="FC15" s="4">
        <v>316.02999999999997</v>
      </c>
      <c r="FD15" s="4">
        <v>947.56</v>
      </c>
      <c r="FE15" s="189">
        <v>3905.8</v>
      </c>
      <c r="FF15" s="4">
        <v>533.77</v>
      </c>
      <c r="FG15" s="4">
        <v>2678.54</v>
      </c>
      <c r="FH15" s="4"/>
      <c r="FI15" s="189">
        <v>901.4</v>
      </c>
      <c r="FJ15" s="4"/>
      <c r="FK15" s="4">
        <v>3559.34</v>
      </c>
      <c r="FL15" s="74">
        <v>96.43</v>
      </c>
      <c r="FM15" s="5">
        <v>125.31</v>
      </c>
      <c r="FN15" s="4">
        <v>80.510000000000005</v>
      </c>
      <c r="FO15" s="4">
        <v>1104.3900000000001</v>
      </c>
      <c r="FP15" s="4">
        <v>490.19</v>
      </c>
      <c r="FQ15" s="4">
        <v>107.45</v>
      </c>
      <c r="FR15" s="4">
        <v>2159.6</v>
      </c>
      <c r="FS15" s="4">
        <v>25000.83</v>
      </c>
      <c r="FT15" s="4">
        <v>44.51</v>
      </c>
      <c r="FU15" s="4">
        <v>542.35</v>
      </c>
      <c r="FV15" s="4">
        <v>1979.08</v>
      </c>
      <c r="FW15" s="4">
        <v>10806.48</v>
      </c>
      <c r="FX15" s="4">
        <v>12358.38</v>
      </c>
      <c r="FY15" s="4">
        <v>595.63</v>
      </c>
      <c r="FZ15" s="189"/>
      <c r="GA15" s="4"/>
      <c r="GB15" s="4">
        <v>78.459999999999994</v>
      </c>
      <c r="GC15" s="4"/>
      <c r="GD15" s="4">
        <v>4622.53</v>
      </c>
      <c r="GE15" s="4">
        <v>448.12</v>
      </c>
      <c r="GF15" s="4">
        <v>2931.66</v>
      </c>
      <c r="GG15" s="4">
        <v>118.34</v>
      </c>
      <c r="GH15" s="5">
        <v>48.75</v>
      </c>
      <c r="GI15" s="4"/>
      <c r="GJ15" s="4"/>
      <c r="GK15" s="4">
        <v>2077.13</v>
      </c>
      <c r="GL15" s="4">
        <v>179.42</v>
      </c>
      <c r="GM15" s="4">
        <v>239.54</v>
      </c>
      <c r="GN15" s="4">
        <f>251318.31+2884.41</f>
        <v>254202.72</v>
      </c>
      <c r="GO15" s="4">
        <v>1218.8900000000001</v>
      </c>
      <c r="GP15" s="4">
        <v>35.74</v>
      </c>
      <c r="GQ15" s="4">
        <v>317.95999999999998</v>
      </c>
      <c r="GR15" s="4">
        <v>2013.43</v>
      </c>
      <c r="GS15" s="4"/>
      <c r="GT15" s="4"/>
      <c r="GU15" s="123">
        <v>402.71</v>
      </c>
      <c r="GV15" s="4">
        <v>1106.03</v>
      </c>
      <c r="GW15" s="4">
        <v>2352.65</v>
      </c>
      <c r="GX15" s="4">
        <v>65.680000000000007</v>
      </c>
      <c r="GY15" s="4">
        <v>2276.0700000000002</v>
      </c>
      <c r="GZ15" s="4">
        <v>984.9</v>
      </c>
      <c r="HA15" s="4">
        <v>155128.17000000001</v>
      </c>
      <c r="HB15" s="4"/>
      <c r="HC15" s="4">
        <v>214.42</v>
      </c>
      <c r="HD15" s="4">
        <v>1490.27</v>
      </c>
      <c r="HE15" s="4"/>
      <c r="HF15" s="4">
        <v>141.03</v>
      </c>
      <c r="HG15" s="4">
        <v>1486.19</v>
      </c>
      <c r="HH15" s="4">
        <v>439.58</v>
      </c>
      <c r="HI15" s="4">
        <v>1134.26</v>
      </c>
      <c r="HJ15" s="4">
        <v>93.84</v>
      </c>
      <c r="HK15" s="4">
        <v>159.81</v>
      </c>
      <c r="HL15" s="4">
        <v>641.86</v>
      </c>
      <c r="HM15" s="4">
        <v>317.97000000000003</v>
      </c>
      <c r="HN15" s="130">
        <v>5717.93</v>
      </c>
      <c r="HO15" s="74">
        <v>2408.71</v>
      </c>
      <c r="HP15" s="4">
        <v>3184.95</v>
      </c>
      <c r="HQ15" s="4">
        <v>1036.96</v>
      </c>
      <c r="HR15" s="4">
        <v>791.21</v>
      </c>
      <c r="HS15" s="4">
        <v>684.81</v>
      </c>
      <c r="HT15" s="4">
        <v>386.45</v>
      </c>
      <c r="HU15" s="4">
        <v>76.97</v>
      </c>
      <c r="HV15" s="4"/>
      <c r="HW15" s="4">
        <v>492.96</v>
      </c>
      <c r="HX15" s="4"/>
      <c r="HY15" s="4">
        <v>826.26</v>
      </c>
      <c r="HZ15" s="4"/>
      <c r="IA15" s="4">
        <v>7672.55</v>
      </c>
      <c r="IB15" s="4"/>
      <c r="IC15" s="4">
        <v>2051.7800000000002</v>
      </c>
      <c r="ID15" s="4">
        <v>100.1</v>
      </c>
      <c r="IE15" s="4"/>
      <c r="IF15" s="4">
        <v>479.71</v>
      </c>
      <c r="IG15" s="4">
        <v>1021.53</v>
      </c>
      <c r="IH15" s="102">
        <v>1287.01</v>
      </c>
      <c r="II15" s="4">
        <v>1556.77</v>
      </c>
      <c r="IJ15" s="4"/>
      <c r="IK15" s="4">
        <v>37.590000000000003</v>
      </c>
      <c r="IL15" s="4">
        <v>418.16</v>
      </c>
      <c r="IM15" s="4">
        <v>884.13</v>
      </c>
      <c r="IN15" s="4">
        <v>1385.26</v>
      </c>
      <c r="IO15" s="4">
        <v>3204.06</v>
      </c>
      <c r="IP15" s="4">
        <v>419.44</v>
      </c>
      <c r="IQ15" s="4">
        <v>364.7</v>
      </c>
      <c r="IR15" s="4">
        <v>428.97</v>
      </c>
      <c r="IS15" s="4"/>
      <c r="IT15" s="4">
        <v>246.82</v>
      </c>
      <c r="IU15" s="4">
        <f t="shared" si="4"/>
        <v>775766.6599999998</v>
      </c>
    </row>
    <row r="16" spans="1:256" s="209" customFormat="1" ht="14.1" customHeight="1" thickBot="1">
      <c r="A16" s="204" t="s">
        <v>82</v>
      </c>
      <c r="B16" s="205"/>
      <c r="C16" s="204"/>
      <c r="D16" s="204"/>
      <c r="E16" s="204">
        <v>5167714</v>
      </c>
      <c r="F16" s="204">
        <v>3287315.45</v>
      </c>
      <c r="G16" s="204">
        <v>10244.040000000001</v>
      </c>
      <c r="H16" s="204"/>
      <c r="I16" s="204">
        <v>755887.54</v>
      </c>
      <c r="J16" s="204">
        <v>7425.69</v>
      </c>
      <c r="K16" s="204"/>
      <c r="L16" s="204"/>
      <c r="M16" s="204"/>
      <c r="N16" s="216"/>
      <c r="O16" s="204"/>
      <c r="P16" s="204"/>
      <c r="Q16" s="204"/>
      <c r="R16" s="204">
        <v>886538.27</v>
      </c>
      <c r="S16" s="204"/>
      <c r="T16" s="204">
        <v>132</v>
      </c>
      <c r="U16" s="204">
        <v>5395776.4199999999</v>
      </c>
      <c r="V16" s="204">
        <v>2174194.6</v>
      </c>
      <c r="W16" s="204">
        <v>1920338.31</v>
      </c>
      <c r="X16" s="204"/>
      <c r="Y16" s="204">
        <v>9246298.9800000004</v>
      </c>
      <c r="Z16" s="204">
        <v>278926.53000000003</v>
      </c>
      <c r="AA16" s="204">
        <v>2758.7</v>
      </c>
      <c r="AB16" s="204">
        <v>17892.18</v>
      </c>
      <c r="AC16" s="204"/>
      <c r="AD16" s="204"/>
      <c r="AE16" s="204">
        <v>144667.54</v>
      </c>
      <c r="AF16" s="216"/>
      <c r="AG16" s="204">
        <v>444894.59</v>
      </c>
      <c r="AH16" s="204"/>
      <c r="AI16" s="204"/>
      <c r="AJ16" s="204"/>
      <c r="AK16" s="204"/>
      <c r="AL16" s="204"/>
      <c r="AM16" s="204">
        <v>566692</v>
      </c>
      <c r="AN16" s="204">
        <v>6278940</v>
      </c>
      <c r="AO16" s="204"/>
      <c r="AP16" s="204">
        <v>3030018.4</v>
      </c>
      <c r="AQ16" s="204"/>
      <c r="AR16" s="204"/>
      <c r="AS16" s="204">
        <v>51735</v>
      </c>
      <c r="AT16" s="204">
        <v>8197521.3399999999</v>
      </c>
      <c r="AU16" s="204">
        <v>2428583.9900000002</v>
      </c>
      <c r="AV16" s="216">
        <v>97298.54</v>
      </c>
      <c r="AW16" s="204"/>
      <c r="AX16" s="204">
        <v>27937.68</v>
      </c>
      <c r="AY16" s="204"/>
      <c r="AZ16" s="204">
        <v>935422.99</v>
      </c>
      <c r="BA16" s="204">
        <v>215964.43</v>
      </c>
      <c r="BB16" s="204"/>
      <c r="BC16" s="204">
        <v>381</v>
      </c>
      <c r="BD16" s="204"/>
      <c r="BE16" s="204"/>
      <c r="BF16" s="204">
        <v>55996.14</v>
      </c>
      <c r="BG16" s="204"/>
      <c r="BH16" s="204"/>
      <c r="BI16" s="204">
        <v>5157560</v>
      </c>
      <c r="BJ16" s="204">
        <v>366239.42</v>
      </c>
      <c r="BK16" s="204">
        <v>4535600</v>
      </c>
      <c r="BL16" s="204"/>
      <c r="BM16" s="204"/>
      <c r="BN16" s="204"/>
      <c r="BO16" s="204"/>
      <c r="BP16" s="204">
        <v>2125884.67</v>
      </c>
      <c r="BQ16" s="204"/>
      <c r="BR16" s="204">
        <v>161931.39000000001</v>
      </c>
      <c r="BS16" s="204"/>
      <c r="BT16" s="204"/>
      <c r="BU16" s="204">
        <v>226908</v>
      </c>
      <c r="BV16" s="204">
        <v>172946.98</v>
      </c>
      <c r="BW16" s="204"/>
      <c r="BX16" s="204"/>
      <c r="BY16" s="204"/>
      <c r="BZ16" s="204"/>
      <c r="CA16" s="204"/>
      <c r="CB16" s="204">
        <v>1350</v>
      </c>
      <c r="CC16" s="204">
        <v>94083.87</v>
      </c>
      <c r="CD16" s="204">
        <v>18</v>
      </c>
      <c r="CE16" s="204"/>
      <c r="CF16" s="204">
        <v>12039492</v>
      </c>
      <c r="CG16" s="204">
        <v>79435.67</v>
      </c>
      <c r="CH16" s="204"/>
      <c r="CI16" s="204">
        <v>1194.23</v>
      </c>
      <c r="CJ16" s="204"/>
      <c r="CK16" s="204">
        <v>225435.29</v>
      </c>
      <c r="CL16" s="204">
        <v>9949104.6400000006</v>
      </c>
      <c r="CM16" s="204">
        <v>2910953.35</v>
      </c>
      <c r="CN16" s="204"/>
      <c r="CO16" s="204"/>
      <c r="CP16" s="204">
        <v>399287.47</v>
      </c>
      <c r="CQ16" s="204"/>
      <c r="CR16" s="204">
        <v>169083.88</v>
      </c>
      <c r="CS16" s="204"/>
      <c r="CT16" s="204"/>
      <c r="CU16" s="204"/>
      <c r="CV16" s="204"/>
      <c r="CW16" s="204">
        <v>807378.69</v>
      </c>
      <c r="CX16" s="204">
        <v>112249.14</v>
      </c>
      <c r="CY16" s="204">
        <v>2734009.86</v>
      </c>
      <c r="CZ16" s="204">
        <v>338925.62</v>
      </c>
      <c r="DA16" s="204">
        <v>5059969.43</v>
      </c>
      <c r="DB16" s="204">
        <v>5835751.4900000002</v>
      </c>
      <c r="DC16" s="204">
        <v>8319635.1200000001</v>
      </c>
      <c r="DD16" s="204">
        <v>858994.46</v>
      </c>
      <c r="DE16" s="204">
        <v>326350.39</v>
      </c>
      <c r="DF16" s="204">
        <v>106373.42</v>
      </c>
      <c r="DG16" s="204">
        <v>65019.44</v>
      </c>
      <c r="DH16" s="204">
        <v>299160.96999999997</v>
      </c>
      <c r="DI16" s="204">
        <v>1883222.43</v>
      </c>
      <c r="DJ16" s="204"/>
      <c r="DK16" s="204">
        <v>155715.85</v>
      </c>
      <c r="DL16" s="204"/>
      <c r="DM16" s="204"/>
      <c r="DN16" s="204">
        <v>53982</v>
      </c>
      <c r="DO16" s="204">
        <v>192091.79</v>
      </c>
      <c r="DP16" s="204"/>
      <c r="DQ16" s="204"/>
      <c r="DR16" s="204"/>
      <c r="DS16" s="204"/>
      <c r="DT16" s="204">
        <v>138530.59</v>
      </c>
      <c r="DU16" s="204">
        <v>3072482.86</v>
      </c>
      <c r="DV16" s="204">
        <v>5093634.6900000004</v>
      </c>
      <c r="DW16" s="204">
        <v>4741674.8</v>
      </c>
      <c r="DX16" s="204">
        <v>7442973.5599999996</v>
      </c>
      <c r="DY16" s="204">
        <v>481.46</v>
      </c>
      <c r="DZ16" s="204">
        <v>3486597.38</v>
      </c>
      <c r="EA16" s="204">
        <v>322752.19</v>
      </c>
      <c r="EB16" s="204">
        <v>2614065.29</v>
      </c>
      <c r="EC16" s="204">
        <v>2291057.16</v>
      </c>
      <c r="ED16" s="204">
        <v>18241.419999999998</v>
      </c>
      <c r="EE16" s="204">
        <v>962.42</v>
      </c>
      <c r="EF16" s="204">
        <v>3360996.98</v>
      </c>
      <c r="EG16" s="204">
        <v>1805167.93</v>
      </c>
      <c r="EH16" s="204">
        <v>10278790.91</v>
      </c>
      <c r="EI16" s="204">
        <v>223045.77</v>
      </c>
      <c r="EJ16" s="204">
        <v>11911.38</v>
      </c>
      <c r="EK16" s="216"/>
      <c r="EL16" s="204">
        <v>1255880.74</v>
      </c>
      <c r="EM16" s="204">
        <v>2583615.63</v>
      </c>
      <c r="EN16" s="204">
        <v>4316412</v>
      </c>
      <c r="EO16" s="204"/>
      <c r="EP16" s="204"/>
      <c r="EQ16" s="204">
        <v>6970157.1299999999</v>
      </c>
      <c r="ER16" s="204">
        <v>113254.42</v>
      </c>
      <c r="ES16" s="206"/>
      <c r="ET16" s="204">
        <v>148372.89300000001</v>
      </c>
      <c r="EU16" s="204">
        <v>264824.8</v>
      </c>
      <c r="EV16" s="204"/>
      <c r="EW16" s="204">
        <v>55082.39</v>
      </c>
      <c r="EX16" s="204">
        <v>381547.5</v>
      </c>
      <c r="EY16" s="204"/>
      <c r="EZ16" s="204"/>
      <c r="FA16" s="362">
        <v>69900517</v>
      </c>
      <c r="FB16" s="204"/>
      <c r="FC16" s="204"/>
      <c r="FD16" s="204">
        <v>333732.56</v>
      </c>
      <c r="FE16" s="216">
        <v>65526.59</v>
      </c>
      <c r="FF16" s="204">
        <v>123615</v>
      </c>
      <c r="FG16" s="204">
        <v>9048673.2599999998</v>
      </c>
      <c r="FH16" s="204"/>
      <c r="FI16" s="216"/>
      <c r="FJ16" s="204">
        <v>6891661.25</v>
      </c>
      <c r="FK16" s="204">
        <v>9223779.5600000005</v>
      </c>
      <c r="FL16" s="74"/>
      <c r="FM16" s="363">
        <f>113633309</f>
        <v>113633309</v>
      </c>
      <c r="FN16" s="204">
        <v>7149873</v>
      </c>
      <c r="FO16" s="204"/>
      <c r="FP16" s="204">
        <v>23014.76</v>
      </c>
      <c r="FQ16" s="204">
        <v>101238.58</v>
      </c>
      <c r="FR16" s="204"/>
      <c r="FS16" s="204">
        <v>278510.65999999997</v>
      </c>
      <c r="FT16" s="204">
        <v>4294835.5</v>
      </c>
      <c r="FU16" s="204"/>
      <c r="FV16" s="204">
        <v>5057.67</v>
      </c>
      <c r="FW16" s="204"/>
      <c r="FX16" s="204"/>
      <c r="FY16" s="204"/>
      <c r="FZ16" s="216">
        <v>2291947.2599999998</v>
      </c>
      <c r="GA16" s="204">
        <v>371138.11</v>
      </c>
      <c r="GB16" s="204"/>
      <c r="GC16" s="204">
        <v>3034330.18</v>
      </c>
      <c r="GD16" s="204">
        <v>3456.49</v>
      </c>
      <c r="GE16" s="204"/>
      <c r="GF16" s="204">
        <v>257221.57</v>
      </c>
      <c r="GG16" s="204">
        <v>1762.74</v>
      </c>
      <c r="GH16" s="362">
        <f>89115955</f>
        <v>89115955</v>
      </c>
      <c r="GI16" s="204">
        <v>10257279.859999999</v>
      </c>
      <c r="GJ16" s="204">
        <f>270060+1221.23</f>
        <v>271281.23</v>
      </c>
      <c r="GK16" s="204">
        <v>37604.589999999997</v>
      </c>
      <c r="GL16" s="204">
        <v>891225.98</v>
      </c>
      <c r="GM16" s="204">
        <v>47.34</v>
      </c>
      <c r="GN16" s="204"/>
      <c r="GO16" s="204">
        <v>1558886.54</v>
      </c>
      <c r="GP16" s="204">
        <v>1018337.89</v>
      </c>
      <c r="GQ16" s="204">
        <v>6541178.8399999999</v>
      </c>
      <c r="GR16" s="204">
        <v>3333733.29</v>
      </c>
      <c r="GS16" s="204"/>
      <c r="GT16" s="204">
        <v>187173.73</v>
      </c>
      <c r="GU16" s="216">
        <v>113431.85</v>
      </c>
      <c r="GV16" s="204">
        <v>69307.899999999994</v>
      </c>
      <c r="GW16" s="204">
        <v>65678.929999999993</v>
      </c>
      <c r="GX16" s="204">
        <v>4580788.2699999996</v>
      </c>
      <c r="GY16" s="204">
        <v>421733.34</v>
      </c>
      <c r="GZ16" s="204"/>
      <c r="HA16" s="204"/>
      <c r="HB16" s="204">
        <v>1139463.8700000001</v>
      </c>
      <c r="HC16" s="204">
        <v>100238.72</v>
      </c>
      <c r="HD16" s="204"/>
      <c r="HE16" s="204">
        <v>7914237</v>
      </c>
      <c r="HF16" s="204">
        <v>18616.419999999998</v>
      </c>
      <c r="HG16" s="204">
        <v>2726256.51</v>
      </c>
      <c r="HH16" s="204"/>
      <c r="HI16" s="204"/>
      <c r="HJ16" s="204"/>
      <c r="HK16" s="204"/>
      <c r="HL16" s="204">
        <v>26162.09</v>
      </c>
      <c r="HM16" s="204">
        <v>5858323.25</v>
      </c>
      <c r="HN16" s="218">
        <v>110982.96</v>
      </c>
      <c r="HO16" s="216"/>
      <c r="HP16" s="204">
        <v>1055920.8899999999</v>
      </c>
      <c r="HQ16" s="204">
        <v>141145.51</v>
      </c>
      <c r="HR16" s="204">
        <v>235828.49</v>
      </c>
      <c r="HS16" s="204">
        <v>1940998.88</v>
      </c>
      <c r="HT16" s="204">
        <v>11838446.25</v>
      </c>
      <c r="HU16" s="204">
        <v>819511.83</v>
      </c>
      <c r="HV16" s="204">
        <v>8875942.0199999996</v>
      </c>
      <c r="HW16" s="204">
        <v>4863401.38</v>
      </c>
      <c r="HX16" s="204"/>
      <c r="HY16" s="204">
        <v>12063.08</v>
      </c>
      <c r="HZ16" s="204"/>
      <c r="IA16" s="204"/>
      <c r="IB16" s="204"/>
      <c r="IC16" s="204">
        <v>17104.71</v>
      </c>
      <c r="ID16" s="204"/>
      <c r="IE16" s="204">
        <v>811897.14</v>
      </c>
      <c r="IF16" s="204"/>
      <c r="IG16" s="204"/>
      <c r="IH16" s="217"/>
      <c r="II16" s="204">
        <v>63534.92</v>
      </c>
      <c r="IJ16" s="204">
        <v>1256415.77</v>
      </c>
      <c r="IK16" s="204">
        <v>57379.73</v>
      </c>
      <c r="IL16" s="204"/>
      <c r="IM16" s="204"/>
      <c r="IN16" s="204"/>
      <c r="IO16" s="204">
        <v>2513.15</v>
      </c>
      <c r="IP16" s="204">
        <v>41707.949999999997</v>
      </c>
      <c r="IQ16" s="204"/>
      <c r="IR16" s="204">
        <v>5437063</v>
      </c>
      <c r="IS16" s="204"/>
      <c r="IT16" s="204"/>
      <c r="IU16" s="204">
        <f t="shared" si="4"/>
        <v>579247350.44300008</v>
      </c>
    </row>
    <row r="17" spans="1:255" s="38" customFormat="1" ht="14.1" customHeight="1" thickBot="1">
      <c r="A17" s="32" t="s">
        <v>30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12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123"/>
      <c r="AG17" s="32"/>
      <c r="AH17" s="32"/>
      <c r="AI17" s="32">
        <f>297+1536+539+440+780+5283.94+207.19+573.18+57.99+114.96</f>
        <v>9829.2599999999984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123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>
        <v>27310181.66</v>
      </c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123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5"/>
      <c r="FC17" s="32"/>
      <c r="FD17" s="32"/>
      <c r="FE17" s="123"/>
      <c r="FF17" s="32"/>
      <c r="FG17" s="32"/>
      <c r="FH17" s="32"/>
      <c r="FI17" s="123"/>
      <c r="FJ17" s="32"/>
      <c r="FK17" s="32"/>
      <c r="FL17" s="74"/>
      <c r="FM17" s="35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123"/>
      <c r="GA17" s="32"/>
      <c r="GB17" s="32"/>
      <c r="GC17" s="32"/>
      <c r="GD17" s="32">
        <f>393668.2+4350</f>
        <v>398018.2</v>
      </c>
      <c r="GE17" s="32"/>
      <c r="GF17" s="32"/>
      <c r="GG17" s="32"/>
      <c r="GH17" s="35"/>
      <c r="GI17" s="32"/>
      <c r="GJ17" s="32"/>
      <c r="GK17" s="32">
        <v>194678</v>
      </c>
      <c r="GL17" s="32"/>
      <c r="GM17" s="32"/>
      <c r="GN17" s="32"/>
      <c r="GO17" s="32"/>
      <c r="GP17" s="32"/>
      <c r="GQ17" s="32"/>
      <c r="GR17" s="32"/>
      <c r="GS17" s="32"/>
      <c r="GT17" s="32"/>
      <c r="GU17" s="123">
        <v>3375.4</v>
      </c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141"/>
      <c r="HO17" s="123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10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>
        <v>0</v>
      </c>
    </row>
    <row r="18" spans="1:255" s="38" customFormat="1" ht="14.1" customHeight="1" thickBot="1">
      <c r="A18" s="32" t="s">
        <v>37</v>
      </c>
      <c r="B18" s="32"/>
      <c r="C18" s="32">
        <v>37367.39</v>
      </c>
      <c r="D18" s="32">
        <f>44301.06+239.3</f>
        <v>44540.36</v>
      </c>
      <c r="E18" s="32">
        <v>44877.27</v>
      </c>
      <c r="F18" s="32">
        <v>43479.33</v>
      </c>
      <c r="G18" s="32">
        <v>47051.02</v>
      </c>
      <c r="H18" s="32">
        <v>40638.43</v>
      </c>
      <c r="I18" s="32">
        <v>46672.89</v>
      </c>
      <c r="J18" s="32">
        <f>40820.65+283.38</f>
        <v>41104.03</v>
      </c>
      <c r="K18" s="32">
        <v>33063</v>
      </c>
      <c r="L18" s="32">
        <v>49995.96</v>
      </c>
      <c r="M18" s="32">
        <v>49350.84</v>
      </c>
      <c r="N18" s="123">
        <v>36131.97</v>
      </c>
      <c r="O18" s="32">
        <v>75045.429999999993</v>
      </c>
      <c r="P18" s="32">
        <v>85339.08</v>
      </c>
      <c r="Q18" s="32">
        <f>48484.48+399.6</f>
        <v>48884.08</v>
      </c>
      <c r="R18" s="32">
        <v>41697.379999999997</v>
      </c>
      <c r="S18" s="32">
        <v>44599.37</v>
      </c>
      <c r="T18" s="32">
        <v>55971.51</v>
      </c>
      <c r="U18" s="32">
        <v>52877.42</v>
      </c>
      <c r="V18" s="32">
        <v>46085.46</v>
      </c>
      <c r="W18" s="32">
        <f>100+47580.4</f>
        <v>47680.4</v>
      </c>
      <c r="X18" s="32">
        <v>38249.07</v>
      </c>
      <c r="Y18" s="32">
        <v>39701.769999999997</v>
      </c>
      <c r="Z18" s="32">
        <f>52006.8+154.05</f>
        <v>52160.850000000006</v>
      </c>
      <c r="AA18" s="32">
        <v>47988.21</v>
      </c>
      <c r="AB18" s="32">
        <v>31000.12</v>
      </c>
      <c r="AC18" s="32">
        <v>42040.68</v>
      </c>
      <c r="AD18" s="32"/>
      <c r="AE18" s="32"/>
      <c r="AF18" s="123"/>
      <c r="AG18" s="32"/>
      <c r="AH18" s="32"/>
      <c r="AI18" s="32">
        <v>35827.58</v>
      </c>
      <c r="AJ18" s="32">
        <v>50149.69</v>
      </c>
      <c r="AK18" s="32">
        <v>48830.06</v>
      </c>
      <c r="AL18" s="32">
        <v>45306.28</v>
      </c>
      <c r="AM18" s="32"/>
      <c r="AN18" s="32">
        <v>40416.78</v>
      </c>
      <c r="AO18" s="32">
        <f>46140.23+1198.5</f>
        <v>47338.73</v>
      </c>
      <c r="AP18" s="32">
        <f>44953.7+75.3</f>
        <v>45029</v>
      </c>
      <c r="AQ18" s="32">
        <v>48224.03</v>
      </c>
      <c r="AR18" s="32">
        <v>44836.09</v>
      </c>
      <c r="AS18" s="32">
        <v>39411.17</v>
      </c>
      <c r="AT18" s="32">
        <v>52337.17</v>
      </c>
      <c r="AU18" s="32">
        <v>45717.17</v>
      </c>
      <c r="AV18" s="123">
        <v>45266.58</v>
      </c>
      <c r="AW18" s="32">
        <v>44057.69</v>
      </c>
      <c r="AX18" s="32">
        <v>35879.19</v>
      </c>
      <c r="AY18" s="32">
        <v>50029.99</v>
      </c>
      <c r="AZ18" s="32">
        <v>45220.28</v>
      </c>
      <c r="BA18" s="32">
        <v>36742.879999999997</v>
      </c>
      <c r="BB18" s="32">
        <v>46754.1</v>
      </c>
      <c r="BC18" s="32">
        <v>42851.01</v>
      </c>
      <c r="BD18" s="32">
        <v>50260.959999999999</v>
      </c>
      <c r="BE18" s="32">
        <v>47314.65</v>
      </c>
      <c r="BF18" s="32">
        <v>94552.24</v>
      </c>
      <c r="BG18" s="32">
        <v>42532.7</v>
      </c>
      <c r="BH18" s="32">
        <f>39255.29+708.75</f>
        <v>39964.04</v>
      </c>
      <c r="BI18" s="32">
        <f>49261.29+171.52</f>
        <v>49432.81</v>
      </c>
      <c r="BJ18" s="32">
        <v>42759.29</v>
      </c>
      <c r="BK18" s="32">
        <v>41018.01</v>
      </c>
      <c r="BL18" s="32">
        <v>41637.769999999997</v>
      </c>
      <c r="BM18" s="32">
        <v>42144.65</v>
      </c>
      <c r="BN18" s="32">
        <v>44937.31</v>
      </c>
      <c r="BO18" s="32">
        <v>33068.6</v>
      </c>
      <c r="BP18" s="32">
        <v>30848.66</v>
      </c>
      <c r="BQ18" s="32">
        <f>30313.85+132.35</f>
        <v>30446.199999999997</v>
      </c>
      <c r="BR18" s="32">
        <v>29443.34</v>
      </c>
      <c r="BS18" s="32">
        <v>47307.22</v>
      </c>
      <c r="BT18" s="32">
        <v>44253.51</v>
      </c>
      <c r="BU18" s="32">
        <v>39928.080000000002</v>
      </c>
      <c r="BV18" s="32">
        <v>37655.050000000003</v>
      </c>
      <c r="BW18" s="32">
        <v>37080.29</v>
      </c>
      <c r="BX18" s="32">
        <f>49017.52+104.15</f>
        <v>49121.67</v>
      </c>
      <c r="BY18" s="32">
        <v>40170.629999999997</v>
      </c>
      <c r="BZ18" s="32">
        <v>42154.51</v>
      </c>
      <c r="CA18" s="32">
        <v>46782.01</v>
      </c>
      <c r="CB18" s="32">
        <f>35454.95+161.75</f>
        <v>35616.699999999997</v>
      </c>
      <c r="CC18" s="32">
        <v>60089.03</v>
      </c>
      <c r="CD18" s="32">
        <v>42102.43</v>
      </c>
      <c r="CE18" s="32">
        <v>69138.44</v>
      </c>
      <c r="CF18" s="32">
        <f>36802.42+86.3</f>
        <v>36888.720000000001</v>
      </c>
      <c r="CG18" s="32">
        <f>32026.53+438.9</f>
        <v>32465.43</v>
      </c>
      <c r="CH18" s="32">
        <f>37795.22+200.75</f>
        <v>37995.97</v>
      </c>
      <c r="CI18" s="32">
        <f>35247.41+183.39</f>
        <v>35430.800000000003</v>
      </c>
      <c r="CJ18" s="32">
        <v>28702.66</v>
      </c>
      <c r="CK18" s="32">
        <v>20099.419999999998</v>
      </c>
      <c r="CL18" s="32">
        <v>11825.17</v>
      </c>
      <c r="CM18" s="32">
        <v>25381.38</v>
      </c>
      <c r="CN18" s="32">
        <v>18971.48</v>
      </c>
      <c r="CO18" s="32">
        <v>7166.36</v>
      </c>
      <c r="CP18" s="32"/>
      <c r="CQ18" s="32"/>
      <c r="CR18" s="32">
        <v>139.25</v>
      </c>
      <c r="CS18" s="32">
        <v>3882.45</v>
      </c>
      <c r="CT18" s="32"/>
      <c r="CU18" s="32"/>
      <c r="CV18" s="32"/>
      <c r="CW18" s="32"/>
      <c r="CX18" s="32">
        <v>5174.09</v>
      </c>
      <c r="CY18" s="32"/>
      <c r="CZ18" s="32"/>
      <c r="DA18" s="32"/>
      <c r="DB18" s="32">
        <v>93.95</v>
      </c>
      <c r="DC18" s="32">
        <v>5958.01</v>
      </c>
      <c r="DD18" s="32"/>
      <c r="DE18" s="32"/>
      <c r="DF18" s="32"/>
      <c r="DG18" s="32"/>
      <c r="DH18" s="32">
        <v>4912.46</v>
      </c>
      <c r="DI18" s="32">
        <v>1607.98</v>
      </c>
      <c r="DJ18" s="32"/>
      <c r="DK18" s="32">
        <v>25.75</v>
      </c>
      <c r="DL18" s="32">
        <v>888.2</v>
      </c>
      <c r="DM18" s="32"/>
      <c r="DN18" s="32"/>
      <c r="DO18" s="32"/>
      <c r="DP18" s="32"/>
      <c r="DQ18" s="32">
        <v>526.6</v>
      </c>
      <c r="DR18" s="32"/>
      <c r="DS18" s="32"/>
      <c r="DT18" s="32"/>
      <c r="DU18" s="32"/>
      <c r="DV18" s="32">
        <v>408.35</v>
      </c>
      <c r="DW18" s="32"/>
      <c r="DX18" s="32"/>
      <c r="DY18" s="32">
        <v>3209.1</v>
      </c>
      <c r="DZ18" s="32">
        <v>6849.93</v>
      </c>
      <c r="EA18" s="32">
        <v>25</v>
      </c>
      <c r="EB18" s="32"/>
      <c r="EC18" s="32"/>
      <c r="ED18" s="32"/>
      <c r="EE18" s="32">
        <v>6.44</v>
      </c>
      <c r="EF18" s="32"/>
      <c r="EG18" s="120">
        <f>196439.86</f>
        <v>196439.86</v>
      </c>
      <c r="EH18" s="32"/>
      <c r="EI18" s="32"/>
      <c r="EJ18" s="32">
        <v>1523.2</v>
      </c>
      <c r="EK18" s="123"/>
      <c r="EL18" s="32"/>
      <c r="EM18" s="32"/>
      <c r="EN18" s="32"/>
      <c r="EO18" s="32"/>
      <c r="EP18" s="32"/>
      <c r="EQ18" s="32">
        <v>779.55</v>
      </c>
      <c r="ER18" s="32">
        <v>12376.56</v>
      </c>
      <c r="ES18" s="32">
        <v>62328.27</v>
      </c>
      <c r="ET18" s="32">
        <v>55625.279999999999</v>
      </c>
      <c r="EU18" s="32">
        <v>52394.96</v>
      </c>
      <c r="EV18" s="32">
        <v>53633.51</v>
      </c>
      <c r="EW18" s="32">
        <v>54458.49</v>
      </c>
      <c r="EX18" s="32">
        <v>56607</v>
      </c>
      <c r="EY18" s="32">
        <v>53929.55</v>
      </c>
      <c r="EZ18" s="32">
        <v>48200.62</v>
      </c>
      <c r="FA18" s="32">
        <v>43954.45</v>
      </c>
      <c r="FB18" s="32">
        <f>53462.9+672.4</f>
        <v>54135.3</v>
      </c>
      <c r="FC18" s="32">
        <f>48675.73+137.8</f>
        <v>48813.530000000006</v>
      </c>
      <c r="FD18" s="32">
        <v>48618.47</v>
      </c>
      <c r="FE18" s="123">
        <v>40294.720000000001</v>
      </c>
      <c r="FF18" s="32">
        <f>41811.3+352.65</f>
        <v>42163.950000000004</v>
      </c>
      <c r="FG18" s="32">
        <v>52382.71</v>
      </c>
      <c r="FH18" s="32">
        <v>52987.29</v>
      </c>
      <c r="FI18" s="123">
        <v>45918.51</v>
      </c>
      <c r="FJ18" s="32">
        <v>41395.51</v>
      </c>
      <c r="FK18" s="32">
        <v>30772.13</v>
      </c>
      <c r="FL18" s="74">
        <v>54058.45</v>
      </c>
      <c r="FM18" s="32">
        <v>26031.82</v>
      </c>
      <c r="FN18" s="32">
        <v>60660.41</v>
      </c>
      <c r="FO18" s="32">
        <v>814.15</v>
      </c>
      <c r="FP18" s="32">
        <v>60751.59</v>
      </c>
      <c r="FQ18" s="32">
        <v>46451.1</v>
      </c>
      <c r="FR18" s="32">
        <v>42763.95</v>
      </c>
      <c r="FS18" s="32">
        <v>43934.36</v>
      </c>
      <c r="FT18" s="32">
        <v>18920.14</v>
      </c>
      <c r="FU18" s="32">
        <v>44124.7</v>
      </c>
      <c r="FV18" s="32">
        <v>47136.94</v>
      </c>
      <c r="FW18" s="32">
        <v>47455.39</v>
      </c>
      <c r="FX18" s="32">
        <v>42532.06</v>
      </c>
      <c r="FY18" s="32">
        <v>62858.61</v>
      </c>
      <c r="FZ18" s="123">
        <v>52263.6</v>
      </c>
      <c r="GA18" s="32">
        <f>47266.37+135.85</f>
        <v>47402.22</v>
      </c>
      <c r="GB18" s="32">
        <f>46659.51+657.4</f>
        <v>47316.91</v>
      </c>
      <c r="GC18" s="32">
        <v>47578.86</v>
      </c>
      <c r="GD18" s="32">
        <v>35749.94</v>
      </c>
      <c r="GE18" s="32">
        <v>48529.87</v>
      </c>
      <c r="GF18" s="32">
        <v>49032.72</v>
      </c>
      <c r="GG18" s="32">
        <v>42940.45</v>
      </c>
      <c r="GH18" s="32">
        <v>43936.41</v>
      </c>
      <c r="GI18" s="32">
        <v>39626.699999999997</v>
      </c>
      <c r="GJ18" s="32">
        <v>49190.73</v>
      </c>
      <c r="GK18" s="32">
        <v>44184.56</v>
      </c>
      <c r="GL18" s="32">
        <v>73653.81</v>
      </c>
      <c r="GM18" s="32">
        <v>39239.629999999997</v>
      </c>
      <c r="GN18" s="32">
        <v>40119.129999999997</v>
      </c>
      <c r="GO18" s="32">
        <v>48232.7</v>
      </c>
      <c r="GP18" s="32">
        <v>46718</v>
      </c>
      <c r="GQ18" s="32">
        <f>43306.5+237.2</f>
        <v>43543.7</v>
      </c>
      <c r="GR18" s="32">
        <v>44651.02</v>
      </c>
      <c r="GS18" s="32">
        <v>90250.45</v>
      </c>
      <c r="GT18" s="32">
        <v>47492.37</v>
      </c>
      <c r="GU18" s="123">
        <v>40296.32</v>
      </c>
      <c r="GV18" s="32">
        <v>48190.03</v>
      </c>
      <c r="GW18" s="32">
        <v>43095.86</v>
      </c>
      <c r="GX18" s="32">
        <v>48104.31</v>
      </c>
      <c r="GY18" s="32">
        <v>47694.29</v>
      </c>
      <c r="GZ18" s="32">
        <v>42064.46</v>
      </c>
      <c r="HA18" s="32">
        <f>37729.43+6</f>
        <v>37735.43</v>
      </c>
      <c r="HB18" s="32">
        <v>26977.62</v>
      </c>
      <c r="HC18" s="32">
        <v>209</v>
      </c>
      <c r="HD18" s="32"/>
      <c r="HE18" s="32">
        <v>489</v>
      </c>
      <c r="HF18" s="32">
        <v>37082.92</v>
      </c>
      <c r="HG18" s="32">
        <v>48266.29</v>
      </c>
      <c r="HH18" s="32">
        <v>47106.23</v>
      </c>
      <c r="HI18" s="32">
        <v>41414.519999999997</v>
      </c>
      <c r="HJ18" s="32">
        <v>42209.599999999999</v>
      </c>
      <c r="HK18" s="32">
        <f>37830.49+349.25</f>
        <v>38179.74</v>
      </c>
      <c r="HL18" s="32">
        <v>45933.8</v>
      </c>
      <c r="HM18" s="32">
        <f>42417.31+390.6</f>
        <v>42807.909999999996</v>
      </c>
      <c r="HN18" s="141">
        <v>38850.61</v>
      </c>
      <c r="HO18" s="123">
        <v>35763.17</v>
      </c>
      <c r="HP18" s="32">
        <v>36422.71</v>
      </c>
      <c r="HQ18" s="32">
        <v>46430.1</v>
      </c>
      <c r="HR18" s="32">
        <v>51610.79</v>
      </c>
      <c r="HS18" s="32">
        <f>37819.13+473.7</f>
        <v>38292.829999999994</v>
      </c>
      <c r="HT18" s="32">
        <f>37443.3</f>
        <v>37443.300000000003</v>
      </c>
      <c r="HU18" s="32">
        <v>1489.25</v>
      </c>
      <c r="HV18" s="32"/>
      <c r="HW18" s="32"/>
      <c r="HX18" s="32"/>
      <c r="HY18" s="32">
        <v>141.19999999999999</v>
      </c>
      <c r="HZ18" s="32">
        <v>59.75</v>
      </c>
      <c r="IA18" s="32">
        <v>200.05</v>
      </c>
      <c r="IB18" s="32">
        <v>491</v>
      </c>
      <c r="IC18" s="32">
        <v>945.2</v>
      </c>
      <c r="ID18" s="32">
        <v>25607.91</v>
      </c>
      <c r="IE18" s="32">
        <v>53296.43</v>
      </c>
      <c r="IF18" s="32">
        <v>37498.92</v>
      </c>
      <c r="IG18" s="32">
        <v>55091.839999999997</v>
      </c>
      <c r="IH18" s="102">
        <v>41550.160000000003</v>
      </c>
      <c r="II18" s="32">
        <v>43252.160000000003</v>
      </c>
      <c r="IJ18" s="32">
        <v>28048.5</v>
      </c>
      <c r="IK18" s="32"/>
      <c r="IL18" s="32">
        <v>25335.46</v>
      </c>
      <c r="IM18" s="32">
        <v>5163.3</v>
      </c>
      <c r="IN18" s="32"/>
      <c r="IO18" s="32">
        <v>41467.21</v>
      </c>
      <c r="IP18" s="32">
        <v>44132.25</v>
      </c>
      <c r="IQ18" s="32">
        <f>2849.55+681.75</f>
        <v>3531.3</v>
      </c>
      <c r="IR18" s="32">
        <v>39622.639999999999</v>
      </c>
      <c r="IS18" s="32">
        <v>1789.15</v>
      </c>
      <c r="IT18" s="32">
        <v>101461.89</v>
      </c>
      <c r="IU18" s="32">
        <f>SUM(C18:IT18)</f>
        <v>7976941.8199999994</v>
      </c>
    </row>
    <row r="19" spans="1:255" s="38" customFormat="1" ht="14.1" customHeight="1" thickBot="1">
      <c r="A19" s="32" t="s">
        <v>29</v>
      </c>
      <c r="B19" s="32"/>
      <c r="C19" s="37"/>
      <c r="D19" s="37"/>
      <c r="E19" s="37">
        <f>1772408.5+193808.33</f>
        <v>1966216.83</v>
      </c>
      <c r="F19" s="37"/>
      <c r="G19" s="37"/>
      <c r="H19" s="37"/>
      <c r="I19" s="37"/>
      <c r="J19" s="37">
        <v>541305.9</v>
      </c>
      <c r="K19" s="37"/>
      <c r="L19" s="37"/>
      <c r="M19" s="37"/>
      <c r="N19" s="195"/>
      <c r="O19" s="37">
        <v>5360567.99</v>
      </c>
      <c r="P19" s="37"/>
      <c r="Q19" s="37"/>
      <c r="R19" s="37"/>
      <c r="S19" s="37"/>
      <c r="T19" s="37"/>
      <c r="U19" s="37"/>
      <c r="V19" s="37"/>
      <c r="W19" s="37"/>
      <c r="X19" s="37">
        <v>2246976.81</v>
      </c>
      <c r="Y19" s="37"/>
      <c r="Z19" s="37"/>
      <c r="AA19" s="37"/>
      <c r="AB19" s="37"/>
      <c r="AC19" s="37">
        <v>371714</v>
      </c>
      <c r="AD19" s="37"/>
      <c r="AE19" s="37"/>
      <c r="AF19" s="195"/>
      <c r="AG19" s="37"/>
      <c r="AH19" s="37"/>
      <c r="AI19" s="37"/>
      <c r="AJ19" s="37"/>
      <c r="AK19" s="37"/>
      <c r="AL19" s="37"/>
      <c r="AM19" s="37">
        <v>1356417.38</v>
      </c>
      <c r="AN19" s="37"/>
      <c r="AO19" s="37"/>
      <c r="AP19" s="37"/>
      <c r="AQ19" s="37"/>
      <c r="AR19" s="37"/>
      <c r="AS19" s="37"/>
      <c r="AT19" s="37">
        <v>3789440.5</v>
      </c>
      <c r="AU19" s="37"/>
      <c r="AV19" s="195"/>
      <c r="AW19" s="37">
        <v>2688689.52</v>
      </c>
      <c r="AX19" s="37"/>
      <c r="AY19" s="37"/>
      <c r="AZ19" s="37"/>
      <c r="BA19" s="37"/>
      <c r="BB19" s="37">
        <v>4949756.63</v>
      </c>
      <c r="BC19" s="37"/>
      <c r="BD19" s="37">
        <v>156597.13</v>
      </c>
      <c r="BE19" s="37"/>
      <c r="BF19" s="37"/>
      <c r="BG19" s="37">
        <v>3709449.16</v>
      </c>
      <c r="BH19" s="37"/>
      <c r="BI19" s="37"/>
      <c r="BJ19" s="37"/>
      <c r="BK19" s="37"/>
      <c r="BL19" s="37"/>
      <c r="BM19" s="37">
        <v>2059091.15</v>
      </c>
      <c r="BN19" s="37"/>
      <c r="BO19" s="37">
        <v>250000</v>
      </c>
      <c r="BP19" s="37"/>
      <c r="BQ19" s="37">
        <f>346491.59+557068.62</f>
        <v>903560.21</v>
      </c>
      <c r="BR19" s="37"/>
      <c r="BS19" s="37"/>
      <c r="BT19" s="37"/>
      <c r="BU19" s="37"/>
      <c r="BV19" s="37">
        <f>369155.99</f>
        <v>369155.99</v>
      </c>
      <c r="BW19" s="37"/>
      <c r="BX19" s="37"/>
      <c r="BY19" s="37"/>
      <c r="BZ19" s="37"/>
      <c r="CA19" s="37">
        <v>975192.34</v>
      </c>
      <c r="CB19" s="37"/>
      <c r="CC19" s="37"/>
      <c r="CD19" s="37"/>
      <c r="CE19" s="37"/>
      <c r="CF19" s="37">
        <v>2622539.16</v>
      </c>
      <c r="CG19" s="37"/>
      <c r="CH19" s="37"/>
      <c r="CI19" s="37"/>
      <c r="CJ19" s="37">
        <v>1983630.36</v>
      </c>
      <c r="CK19" s="37"/>
      <c r="CL19" s="37"/>
      <c r="CM19" s="37"/>
      <c r="CN19" s="37"/>
      <c r="CO19" s="37">
        <v>158212.14000000001</v>
      </c>
      <c r="CP19" s="37"/>
      <c r="CQ19" s="37"/>
      <c r="CR19" s="37"/>
      <c r="CS19" s="37"/>
      <c r="CT19" s="37">
        <v>98532.38</v>
      </c>
      <c r="CU19" s="37"/>
      <c r="CV19" s="37"/>
      <c r="CW19" s="37"/>
      <c r="CX19" s="37"/>
      <c r="CY19" s="37"/>
      <c r="CZ19" s="37">
        <v>1929231.49</v>
      </c>
      <c r="DA19" s="37"/>
      <c r="DB19" s="37"/>
      <c r="DC19" s="37"/>
      <c r="DD19" s="37">
        <v>2357159.25</v>
      </c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>
        <v>896997.15</v>
      </c>
      <c r="DS19" s="37"/>
      <c r="DT19" s="37"/>
      <c r="DU19" s="37"/>
      <c r="DV19" s="37"/>
      <c r="DW19" s="37">
        <f>263124.38+500000</f>
        <v>763124.38</v>
      </c>
      <c r="DX19" s="37"/>
      <c r="DY19" s="37"/>
      <c r="DZ19" s="37"/>
      <c r="EA19" s="37"/>
      <c r="EB19" s="37"/>
      <c r="EC19" s="37">
        <f>799438.63</f>
        <v>799438.63</v>
      </c>
      <c r="ED19" s="37"/>
      <c r="EE19" s="37"/>
      <c r="EF19" s="37"/>
      <c r="EG19" s="194">
        <f>125341750-125341750</f>
        <v>0</v>
      </c>
      <c r="EH19" s="37"/>
      <c r="EI19" s="37"/>
      <c r="EJ19" s="37"/>
      <c r="EK19" s="195"/>
      <c r="EL19" s="37">
        <v>1404227.94</v>
      </c>
      <c r="EM19" s="37"/>
      <c r="EN19" s="37"/>
      <c r="EO19" s="37"/>
      <c r="EP19" s="37"/>
      <c r="EQ19" s="37"/>
      <c r="ER19" s="37"/>
      <c r="ES19" s="37">
        <v>120312.77</v>
      </c>
      <c r="ET19" s="37"/>
      <c r="EU19" s="37">
        <v>1300000</v>
      </c>
      <c r="EV19" s="37"/>
      <c r="EW19" s="37"/>
      <c r="EX19" s="37">
        <v>1196754.83</v>
      </c>
      <c r="EY19" s="37"/>
      <c r="EZ19" s="37"/>
      <c r="FA19" s="37"/>
      <c r="FB19" s="37">
        <v>1396524.06</v>
      </c>
      <c r="FC19" s="37"/>
      <c r="FD19" s="37"/>
      <c r="FE19" s="195"/>
      <c r="FF19" s="37">
        <v>1036527.92</v>
      </c>
      <c r="FG19" s="37"/>
      <c r="FH19" s="37"/>
      <c r="FI19" s="195"/>
      <c r="FJ19" s="37"/>
      <c r="FK19" s="37"/>
      <c r="FL19" s="75">
        <f>68000.26+17149063</f>
        <v>17217063.260000002</v>
      </c>
      <c r="FM19" s="37">
        <v>28579</v>
      </c>
      <c r="FN19" s="37"/>
      <c r="FO19" s="37"/>
      <c r="FP19" s="37">
        <v>261642.45</v>
      </c>
      <c r="FQ19" s="37"/>
      <c r="FR19" s="37"/>
      <c r="FS19" s="37"/>
      <c r="FT19" s="37">
        <f>6698998.8+142953.7+250000</f>
        <v>7091952.5</v>
      </c>
      <c r="FU19" s="37">
        <v>747292.93</v>
      </c>
      <c r="FV19" s="37"/>
      <c r="FW19" s="37">
        <v>52895.37</v>
      </c>
      <c r="FX19" s="37"/>
      <c r="FY19" s="37"/>
      <c r="FZ19" s="195">
        <f>308.04+6916+69081.36</f>
        <v>76305.399999999994</v>
      </c>
      <c r="GA19" s="37"/>
      <c r="GB19" s="37"/>
      <c r="GC19" s="37"/>
      <c r="GD19" s="37">
        <v>284750.18</v>
      </c>
      <c r="GE19" s="37"/>
      <c r="GF19" s="37"/>
      <c r="GG19" s="37"/>
      <c r="GH19" s="37"/>
      <c r="GI19" s="37">
        <f>154610.9+75000000</f>
        <v>75154610.900000006</v>
      </c>
      <c r="GJ19" s="37"/>
      <c r="GK19" s="37">
        <v>99607.37</v>
      </c>
      <c r="GL19" s="37">
        <f>62742.58+164.31</f>
        <v>62906.89</v>
      </c>
      <c r="GM19" s="37"/>
      <c r="GN19" s="37">
        <v>497906.83</v>
      </c>
      <c r="GO19" s="37"/>
      <c r="GP19" s="37"/>
      <c r="GQ19" s="37"/>
      <c r="GR19" s="37"/>
      <c r="GS19" s="37">
        <v>165086.37</v>
      </c>
      <c r="GT19" s="37"/>
      <c r="GU19" s="195">
        <v>75203125</v>
      </c>
      <c r="GV19" s="37">
        <f>1476.52+4.5</f>
        <v>1481.02</v>
      </c>
      <c r="GW19" s="37">
        <v>79837.490000000005</v>
      </c>
      <c r="GX19" s="37"/>
      <c r="GY19" s="37"/>
      <c r="GZ19" s="37"/>
      <c r="HA19" s="37"/>
      <c r="HB19" s="37"/>
      <c r="HC19" s="37"/>
      <c r="HD19" s="37"/>
      <c r="HE19" s="37"/>
      <c r="HF19" s="37"/>
      <c r="HG19" s="37">
        <f>386293.34+189288.33</f>
        <v>575581.67000000004</v>
      </c>
      <c r="HH19" s="37"/>
      <c r="HI19" s="37"/>
      <c r="HJ19" s="37"/>
      <c r="HK19" s="37">
        <v>260899.37</v>
      </c>
      <c r="HL19" s="37"/>
      <c r="HM19" s="37"/>
      <c r="HN19" s="196"/>
      <c r="HO19" s="195"/>
      <c r="HP19" s="37">
        <v>80951.72</v>
      </c>
      <c r="HQ19" s="37"/>
      <c r="HR19" s="37"/>
      <c r="HS19" s="37"/>
      <c r="HT19" s="37">
        <v>93487.67</v>
      </c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>
        <v>1593827.38</v>
      </c>
      <c r="IF19" s="37"/>
      <c r="IG19" s="37"/>
      <c r="IH19" s="103">
        <v>743207.15</v>
      </c>
      <c r="II19" s="37"/>
      <c r="IJ19" s="37"/>
      <c r="IK19" s="37"/>
      <c r="IL19" s="37"/>
      <c r="IM19" s="37">
        <v>66247.460000000006</v>
      </c>
      <c r="IN19" s="37"/>
      <c r="IO19" s="37"/>
      <c r="IP19" s="37"/>
      <c r="IQ19" s="37">
        <v>181403.22</v>
      </c>
      <c r="IR19" s="37"/>
      <c r="IS19" s="37"/>
      <c r="IT19" s="37"/>
      <c r="IU19" s="32"/>
    </row>
    <row r="20" spans="1:255" s="38" customFormat="1" ht="14.1" customHeight="1">
      <c r="A20" s="32" t="s">
        <v>31</v>
      </c>
      <c r="B20" s="32"/>
      <c r="C20" s="32"/>
      <c r="D20" s="32"/>
      <c r="E20" s="32"/>
      <c r="F20" s="32"/>
      <c r="G20" s="32"/>
      <c r="H20" s="32">
        <v>350000000</v>
      </c>
      <c r="I20" s="32"/>
      <c r="J20" s="32">
        <v>800000.4</v>
      </c>
      <c r="K20" s="32">
        <v>1000000</v>
      </c>
      <c r="L20" s="32"/>
      <c r="M20" s="32">
        <v>400000</v>
      </c>
      <c r="N20" s="123">
        <v>58900000</v>
      </c>
      <c r="O20" s="32"/>
      <c r="P20" s="32"/>
      <c r="Q20" s="32">
        <v>6700000</v>
      </c>
      <c r="R20" s="32"/>
      <c r="S20" s="32">
        <v>5600000</v>
      </c>
      <c r="T20" s="32">
        <v>1359081.08</v>
      </c>
      <c r="U20" s="32"/>
      <c r="V20" s="32"/>
      <c r="W20" s="32"/>
      <c r="X20" s="32"/>
      <c r="Y20" s="32"/>
      <c r="Z20" s="32">
        <v>3200000</v>
      </c>
      <c r="AA20" s="32">
        <v>14000000</v>
      </c>
      <c r="AB20" s="32">
        <v>3000000</v>
      </c>
      <c r="AC20" s="32">
        <v>2600000</v>
      </c>
      <c r="AD20" s="32">
        <v>1700000</v>
      </c>
      <c r="AE20" s="32">
        <v>700000</v>
      </c>
      <c r="AF20" s="123">
        <v>58900000</v>
      </c>
      <c r="AG20" s="32">
        <v>9500000</v>
      </c>
      <c r="AH20" s="32">
        <v>300000</v>
      </c>
      <c r="AI20" s="32">
        <v>500000</v>
      </c>
      <c r="AJ20" s="32">
        <v>1900000</v>
      </c>
      <c r="AK20" s="32">
        <v>8000000</v>
      </c>
      <c r="AL20" s="32"/>
      <c r="AM20" s="32"/>
      <c r="AN20" s="32"/>
      <c r="AO20" s="32">
        <v>2700000</v>
      </c>
      <c r="AP20" s="32"/>
      <c r="AQ20" s="32">
        <v>1900000</v>
      </c>
      <c r="AR20" s="32">
        <v>1800000</v>
      </c>
      <c r="AS20" s="32">
        <v>750000</v>
      </c>
      <c r="AT20" s="32">
        <v>1500000</v>
      </c>
      <c r="AU20" s="32"/>
      <c r="AV20" s="123">
        <v>20700000</v>
      </c>
      <c r="AW20" s="32"/>
      <c r="AX20" s="32"/>
      <c r="AY20" s="32">
        <v>1600000</v>
      </c>
      <c r="AZ20" s="32"/>
      <c r="BA20" s="32">
        <v>4100000</v>
      </c>
      <c r="BB20" s="32"/>
      <c r="BC20" s="32">
        <v>8800000</v>
      </c>
      <c r="BD20" s="32">
        <v>16000000</v>
      </c>
      <c r="BE20" s="32">
        <v>2200000</v>
      </c>
      <c r="BF20" s="32">
        <v>4200000</v>
      </c>
      <c r="BG20" s="32"/>
      <c r="BH20" s="32">
        <v>1200000</v>
      </c>
      <c r="BI20" s="32"/>
      <c r="BJ20" s="32">
        <v>1800000</v>
      </c>
      <c r="BK20" s="32"/>
      <c r="BL20" s="32">
        <v>4500000</v>
      </c>
      <c r="BM20" s="32"/>
      <c r="BN20" s="32">
        <v>900000</v>
      </c>
      <c r="BO20" s="32"/>
      <c r="BP20" s="32">
        <v>1400000</v>
      </c>
      <c r="BQ20" s="32">
        <v>1900000</v>
      </c>
      <c r="BR20" s="32">
        <v>14500000</v>
      </c>
      <c r="BS20" s="32">
        <v>500000</v>
      </c>
      <c r="BT20" s="32"/>
      <c r="BU20" s="32"/>
      <c r="BV20" s="32"/>
      <c r="BW20" s="32"/>
      <c r="BX20" s="32">
        <v>400000</v>
      </c>
      <c r="BY20" s="32">
        <v>60900000</v>
      </c>
      <c r="BZ20" s="32">
        <v>16500000</v>
      </c>
      <c r="CA20" s="32">
        <v>6500000</v>
      </c>
      <c r="CB20" s="32">
        <v>1200000</v>
      </c>
      <c r="CC20" s="32">
        <v>2300000</v>
      </c>
      <c r="CD20" s="32">
        <v>500000</v>
      </c>
      <c r="CE20" s="32">
        <v>600000</v>
      </c>
      <c r="CF20" s="32"/>
      <c r="CG20" s="32">
        <v>1400000</v>
      </c>
      <c r="CH20" s="32">
        <v>1150000</v>
      </c>
      <c r="CI20" s="32">
        <v>4000000</v>
      </c>
      <c r="CJ20" s="32">
        <v>1200000</v>
      </c>
      <c r="CK20" s="32">
        <v>3000000</v>
      </c>
      <c r="CL20" s="32"/>
      <c r="CM20" s="32">
        <v>2000000</v>
      </c>
      <c r="CN20" s="32"/>
      <c r="CO20" s="32"/>
      <c r="CP20" s="32">
        <v>1750000</v>
      </c>
      <c r="CQ20" s="32">
        <v>700000</v>
      </c>
      <c r="CR20" s="32"/>
      <c r="CS20" s="32"/>
      <c r="CT20" s="32">
        <v>10600000</v>
      </c>
      <c r="CU20" s="32">
        <v>1600000</v>
      </c>
      <c r="CV20" s="32">
        <v>2600000</v>
      </c>
      <c r="CW20" s="32">
        <v>1700000</v>
      </c>
      <c r="CX20" s="32">
        <v>2300000</v>
      </c>
      <c r="CY20" s="32">
        <v>2300000</v>
      </c>
      <c r="CZ20" s="32"/>
      <c r="DA20" s="32"/>
      <c r="DB20" s="32"/>
      <c r="DC20" s="32"/>
      <c r="DD20" s="32">
        <v>800000</v>
      </c>
      <c r="DE20" s="32">
        <v>8200000</v>
      </c>
      <c r="DF20" s="32">
        <v>1100000</v>
      </c>
      <c r="DG20" s="32">
        <v>6800000</v>
      </c>
      <c r="DH20" s="32">
        <v>1500000</v>
      </c>
      <c r="DI20" s="32"/>
      <c r="DJ20" s="32">
        <v>200000</v>
      </c>
      <c r="DK20" s="32"/>
      <c r="DL20" s="32">
        <v>2000000</v>
      </c>
      <c r="DM20" s="32"/>
      <c r="DN20" s="32">
        <v>62000000</v>
      </c>
      <c r="DO20" s="32"/>
      <c r="DP20" s="32"/>
      <c r="DQ20" s="32">
        <v>1900000</v>
      </c>
      <c r="DR20" s="32"/>
      <c r="DS20" s="32"/>
      <c r="DT20" s="32">
        <v>600000</v>
      </c>
      <c r="DU20" s="32"/>
      <c r="DV20" s="32"/>
      <c r="DW20" s="32"/>
      <c r="DX20" s="32"/>
      <c r="DY20" s="32">
        <v>600000</v>
      </c>
      <c r="DZ20" s="32">
        <v>1400000</v>
      </c>
      <c r="EA20" s="32">
        <v>1400000</v>
      </c>
      <c r="EB20" s="32">
        <v>300000</v>
      </c>
      <c r="EC20" s="32">
        <f>250000+5000000</f>
        <v>5250000</v>
      </c>
      <c r="ED20" s="32">
        <v>15400000</v>
      </c>
      <c r="EE20" s="32">
        <v>800000</v>
      </c>
      <c r="EF20" s="32">
        <v>1100000</v>
      </c>
      <c r="EG20" s="35">
        <v>0</v>
      </c>
      <c r="EH20" s="32"/>
      <c r="EI20" s="32">
        <v>500000</v>
      </c>
      <c r="EJ20" s="32">
        <v>1500000</v>
      </c>
      <c r="EK20" s="123">
        <v>60500000</v>
      </c>
      <c r="EL20" s="32">
        <v>11600000</v>
      </c>
      <c r="EM20" s="32"/>
      <c r="EN20" s="32"/>
      <c r="EO20" s="32">
        <v>1000000</v>
      </c>
      <c r="EP20" s="32">
        <v>3000000</v>
      </c>
      <c r="EQ20" s="32"/>
      <c r="ER20" s="32">
        <v>100000</v>
      </c>
      <c r="ES20" s="32">
        <v>2400000</v>
      </c>
      <c r="ET20" s="32">
        <v>250000</v>
      </c>
      <c r="EU20" s="32"/>
      <c r="EV20" s="32">
        <v>2100000</v>
      </c>
      <c r="EW20" s="32">
        <v>1600000</v>
      </c>
      <c r="EX20" s="32"/>
      <c r="EY20" s="32">
        <v>16300000</v>
      </c>
      <c r="EZ20" s="32">
        <v>450000</v>
      </c>
      <c r="FA20" s="32">
        <v>0</v>
      </c>
      <c r="FB20" s="32"/>
      <c r="FC20" s="32">
        <v>750000</v>
      </c>
      <c r="FD20" s="32"/>
      <c r="FE20" s="123">
        <v>60200000</v>
      </c>
      <c r="FF20" s="32">
        <v>9150000</v>
      </c>
      <c r="FG20" s="32"/>
      <c r="FH20" s="32">
        <v>1800000</v>
      </c>
      <c r="FI20" s="123">
        <v>4500000</v>
      </c>
      <c r="FJ20" s="32"/>
      <c r="FK20" s="32"/>
      <c r="FL20" s="74"/>
      <c r="FM20" s="32"/>
      <c r="FN20" s="32">
        <v>700000</v>
      </c>
      <c r="FO20" s="32">
        <v>2800000</v>
      </c>
      <c r="FP20" s="32">
        <v>2200000</v>
      </c>
      <c r="FQ20" s="32">
        <v>700000</v>
      </c>
      <c r="FR20" s="32">
        <v>1850000</v>
      </c>
      <c r="FS20" s="32">
        <v>4300000</v>
      </c>
      <c r="FT20" s="32">
        <v>4800000</v>
      </c>
      <c r="FU20" s="32">
        <v>2700000</v>
      </c>
      <c r="FV20" s="32">
        <v>700000</v>
      </c>
      <c r="FW20" s="32"/>
      <c r="FX20" s="32">
        <v>1300000</v>
      </c>
      <c r="FY20" s="32">
        <v>2500000</v>
      </c>
      <c r="FZ20" s="123">
        <f>70400000+75000000</f>
        <v>145400000</v>
      </c>
      <c r="GA20" s="32">
        <v>1000000</v>
      </c>
      <c r="GB20" s="32">
        <v>5000000</v>
      </c>
      <c r="GC20" s="32">
        <v>3750000</v>
      </c>
      <c r="GD20" s="32">
        <v>1200000</v>
      </c>
      <c r="GE20" s="32">
        <v>1000000</v>
      </c>
      <c r="GF20" s="32">
        <v>750000</v>
      </c>
      <c r="GG20" s="32">
        <v>800000</v>
      </c>
      <c r="GH20" s="32"/>
      <c r="GI20" s="32"/>
      <c r="GJ20" s="32">
        <v>1700000</v>
      </c>
      <c r="GK20" s="32">
        <v>150000</v>
      </c>
      <c r="GL20" s="32">
        <v>3500000</v>
      </c>
      <c r="GM20" s="32">
        <v>2300000</v>
      </c>
      <c r="GN20" s="32">
        <v>200000</v>
      </c>
      <c r="GO20" s="32"/>
      <c r="GP20" s="32"/>
      <c r="GQ20" s="32">
        <v>7200000</v>
      </c>
      <c r="GR20" s="32"/>
      <c r="GS20" s="32">
        <v>500000</v>
      </c>
      <c r="GT20" s="32"/>
      <c r="GU20" s="123"/>
      <c r="GV20" s="32">
        <v>1300000</v>
      </c>
      <c r="GW20" s="32"/>
      <c r="GX20" s="32"/>
      <c r="GY20" s="32"/>
      <c r="GZ20" s="32">
        <v>100000</v>
      </c>
      <c r="HA20" s="32">
        <v>7700000</v>
      </c>
      <c r="HB20" s="32"/>
      <c r="HC20" s="32">
        <v>2800000</v>
      </c>
      <c r="HD20" s="32">
        <v>750000</v>
      </c>
      <c r="HE20" s="32"/>
      <c r="HF20" s="32"/>
      <c r="HG20" s="32"/>
      <c r="HH20" s="32"/>
      <c r="HI20" s="32">
        <v>13200000</v>
      </c>
      <c r="HJ20" s="32">
        <v>3500000</v>
      </c>
      <c r="HK20" s="32"/>
      <c r="HL20" s="32"/>
      <c r="HM20" s="32"/>
      <c r="HN20" s="141"/>
      <c r="HO20" s="123">
        <v>73300000</v>
      </c>
      <c r="HP20" s="32"/>
      <c r="HQ20" s="32"/>
      <c r="HR20" s="32"/>
      <c r="HS20" s="32"/>
      <c r="HT20" s="32"/>
      <c r="HU20" s="32"/>
      <c r="HV20" s="32"/>
      <c r="HW20" s="32">
        <v>281.35000000000002</v>
      </c>
      <c r="HX20" s="32">
        <v>1700000</v>
      </c>
      <c r="HY20" s="32"/>
      <c r="HZ20" s="32"/>
      <c r="IA20" s="32"/>
      <c r="IB20" s="32">
        <v>800000</v>
      </c>
      <c r="IC20" s="32"/>
      <c r="ID20" s="32"/>
      <c r="IE20" s="32"/>
      <c r="IF20" s="32"/>
      <c r="IG20" s="32">
        <v>88800000</v>
      </c>
      <c r="IH20" s="102"/>
      <c r="II20" s="32"/>
      <c r="IJ20" s="32">
        <v>49800000</v>
      </c>
      <c r="IK20" s="32">
        <v>24805.82</v>
      </c>
      <c r="IL20" s="32">
        <v>46000000</v>
      </c>
      <c r="IM20" s="32"/>
      <c r="IN20" s="32">
        <v>24735.91</v>
      </c>
      <c r="IO20" s="32"/>
      <c r="IP20" s="32"/>
      <c r="IQ20" s="32"/>
      <c r="IR20" s="32"/>
      <c r="IS20" s="32">
        <v>1000000</v>
      </c>
      <c r="IT20" s="32"/>
      <c r="IU20" s="32"/>
    </row>
    <row r="21" spans="1:255" s="38" customFormat="1" ht="14.1" customHeight="1">
      <c r="A21" s="32" t="s">
        <v>57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2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123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123"/>
      <c r="AW21" s="32"/>
      <c r="AX21" s="32"/>
      <c r="AY21" s="32"/>
      <c r="AZ21" s="32"/>
      <c r="BA21" s="32"/>
      <c r="BB21" s="32"/>
      <c r="BC21" s="32">
        <v>50000000</v>
      </c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>
        <v>25000000</v>
      </c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>
        <v>10000000</v>
      </c>
      <c r="CP21" s="32"/>
      <c r="CQ21" s="32"/>
      <c r="CR21" s="32"/>
      <c r="CS21" s="32">
        <v>5000000</v>
      </c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>
        <v>10000000</v>
      </c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123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123"/>
      <c r="FF21" s="32"/>
      <c r="FG21" s="32"/>
      <c r="FH21" s="32"/>
      <c r="FI21" s="123"/>
      <c r="FJ21" s="32"/>
      <c r="FK21" s="32"/>
      <c r="FL21" s="74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123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123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141"/>
      <c r="HO21" s="123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10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</row>
    <row r="22" spans="1:255" s="38" customFormat="1" ht="14.1" customHeight="1">
      <c r="A22" s="32" t="s">
        <v>35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12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123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123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>
        <v>25000000</v>
      </c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>
        <v>10000000</v>
      </c>
      <c r="CP22" s="32"/>
      <c r="CQ22" s="32"/>
      <c r="CR22" s="32"/>
      <c r="CS22" s="32">
        <v>5000000</v>
      </c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>
        <v>10000000</v>
      </c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123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123"/>
      <c r="FF22" s="32">
        <v>472440</v>
      </c>
      <c r="FG22" s="32"/>
      <c r="FH22" s="32"/>
      <c r="FI22" s="123"/>
      <c r="FJ22" s="32"/>
      <c r="FK22" s="32"/>
      <c r="FL22" s="74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123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123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141"/>
      <c r="HO22" s="123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10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</row>
    <row r="23" spans="1:255" s="38" customFormat="1" ht="14.1" customHeight="1">
      <c r="A23" s="32" t="s">
        <v>32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2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123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123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>
        <v>10000000</v>
      </c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>
        <v>10000000</v>
      </c>
      <c r="CP23" s="32"/>
      <c r="CQ23" s="32"/>
      <c r="CR23" s="32"/>
      <c r="CS23" s="32">
        <v>40000000</v>
      </c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>
        <v>10000000</v>
      </c>
      <c r="DN23" s="32"/>
      <c r="DO23" s="32">
        <v>10000000</v>
      </c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123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123"/>
      <c r="FF23" s="32"/>
      <c r="FG23" s="32"/>
      <c r="FH23" s="32"/>
      <c r="FI23" s="123"/>
      <c r="FJ23" s="32"/>
      <c r="FK23" s="32"/>
      <c r="FL23" s="74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123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123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141"/>
      <c r="HO23" s="123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10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</row>
    <row r="24" spans="1:255" s="38" customFormat="1" ht="14.1" customHeight="1">
      <c r="A24" s="32" t="s">
        <v>33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2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123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123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>
        <v>25000000</v>
      </c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>
        <v>10000000</v>
      </c>
      <c r="CO24" s="32"/>
      <c r="CP24" s="32"/>
      <c r="CQ24" s="32"/>
      <c r="CR24" s="32"/>
      <c r="CS24" s="32">
        <v>20000000</v>
      </c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>
        <v>10000000</v>
      </c>
      <c r="DN24" s="32"/>
      <c r="DO24" s="32">
        <v>10000000</v>
      </c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123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123"/>
      <c r="FF24" s="32"/>
      <c r="FG24" s="32"/>
      <c r="FH24" s="32"/>
      <c r="FI24" s="123"/>
      <c r="FJ24" s="32"/>
      <c r="FK24" s="32"/>
      <c r="FL24" s="74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123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123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141"/>
      <c r="HO24" s="123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10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</row>
    <row r="25" spans="1:255" s="38" customFormat="1" ht="14.1" customHeight="1">
      <c r="A25" s="33" t="s">
        <v>34</v>
      </c>
      <c r="B25" s="53"/>
      <c r="C25" s="33"/>
      <c r="D25" s="33"/>
      <c r="E25" s="33"/>
      <c r="F25" s="33"/>
      <c r="G25" s="33"/>
      <c r="H25" s="33">
        <v>50000000</v>
      </c>
      <c r="I25" s="33"/>
      <c r="J25" s="33"/>
      <c r="K25" s="33"/>
      <c r="L25" s="33"/>
      <c r="M25" s="33"/>
      <c r="N25" s="197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197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197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>
        <v>15000000</v>
      </c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>
        <v>10000000</v>
      </c>
      <c r="CO25" s="33"/>
      <c r="CP25" s="33"/>
      <c r="CQ25" s="33"/>
      <c r="CR25" s="33"/>
      <c r="CS25" s="33">
        <v>5000000</v>
      </c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>
        <v>10000000</v>
      </c>
      <c r="DN25" s="33"/>
      <c r="DO25" s="33">
        <v>10000000</v>
      </c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197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197"/>
      <c r="FF25" s="33"/>
      <c r="FG25" s="33"/>
      <c r="FH25" s="33"/>
      <c r="FI25" s="197"/>
      <c r="FJ25" s="33"/>
      <c r="FK25" s="33"/>
      <c r="FL25" s="76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197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197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198"/>
      <c r="HO25" s="197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104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2"/>
    </row>
    <row r="26" spans="1:255" s="42" customFormat="1" ht="13.5" customHeight="1" thickBot="1">
      <c r="A26" s="43" t="s">
        <v>8</v>
      </c>
      <c r="B26" s="43"/>
      <c r="C26" s="43">
        <f t="shared" ref="C26:BN26" si="5">SUM(C8:C25)</f>
        <v>17928418.240000002</v>
      </c>
      <c r="D26" s="43">
        <f t="shared" si="5"/>
        <v>56193953.500000007</v>
      </c>
      <c r="E26" s="43">
        <f t="shared" si="5"/>
        <v>8038554.4900000002</v>
      </c>
      <c r="F26" s="43">
        <f t="shared" si="5"/>
        <v>37830360.369999997</v>
      </c>
      <c r="G26" s="43">
        <f t="shared" si="5"/>
        <v>56496906.990000002</v>
      </c>
      <c r="H26" s="43">
        <f t="shared" si="5"/>
        <v>426972862.12</v>
      </c>
      <c r="I26" s="43">
        <f t="shared" si="5"/>
        <v>22665055.18</v>
      </c>
      <c r="J26" s="43">
        <f t="shared" si="5"/>
        <v>1818177.09</v>
      </c>
      <c r="K26" s="43">
        <f t="shared" si="5"/>
        <v>3912755.74</v>
      </c>
      <c r="L26" s="43">
        <f t="shared" si="5"/>
        <v>52764541.670000002</v>
      </c>
      <c r="M26" s="43">
        <f t="shared" si="5"/>
        <v>1385297.46</v>
      </c>
      <c r="N26" s="65">
        <f t="shared" si="5"/>
        <v>67927747.819999993</v>
      </c>
      <c r="O26" s="43">
        <f t="shared" si="5"/>
        <v>5930384.3700000001</v>
      </c>
      <c r="P26" s="43">
        <f t="shared" si="5"/>
        <v>6408213.0600000005</v>
      </c>
      <c r="Q26" s="43">
        <f t="shared" si="5"/>
        <v>7684665.3799999999</v>
      </c>
      <c r="R26" s="43">
        <f t="shared" si="5"/>
        <v>6497303.5200000005</v>
      </c>
      <c r="S26" s="43">
        <f t="shared" si="5"/>
        <v>6851300.3399999999</v>
      </c>
      <c r="T26" s="43">
        <f t="shared" si="5"/>
        <v>1924992.37</v>
      </c>
      <c r="U26" s="43">
        <f t="shared" si="5"/>
        <v>6253578.6799999997</v>
      </c>
      <c r="V26" s="43">
        <f t="shared" si="5"/>
        <v>4365596.49</v>
      </c>
      <c r="W26" s="43">
        <f t="shared" si="5"/>
        <v>3282280.21</v>
      </c>
      <c r="X26" s="43">
        <f t="shared" si="5"/>
        <v>3512702.8</v>
      </c>
      <c r="Y26" s="43">
        <f t="shared" si="5"/>
        <v>10563061.949999999</v>
      </c>
      <c r="Z26" s="43">
        <f t="shared" si="5"/>
        <v>4559525.79</v>
      </c>
      <c r="AA26" s="43">
        <f t="shared" si="5"/>
        <v>14974087.84</v>
      </c>
      <c r="AB26" s="43">
        <f t="shared" si="5"/>
        <v>3949424.83</v>
      </c>
      <c r="AC26" s="43">
        <f t="shared" si="5"/>
        <v>5295580</v>
      </c>
      <c r="AD26" s="43">
        <f t="shared" si="5"/>
        <v>1979828.06</v>
      </c>
      <c r="AE26" s="43">
        <f t="shared" si="5"/>
        <v>1252853.24</v>
      </c>
      <c r="AF26" s="65">
        <f t="shared" si="5"/>
        <v>59340440.43</v>
      </c>
      <c r="AG26" s="43">
        <f t="shared" si="5"/>
        <v>11144014.039999999</v>
      </c>
      <c r="AH26" s="43">
        <f t="shared" si="5"/>
        <v>812987.28</v>
      </c>
      <c r="AI26" s="43">
        <f t="shared" si="5"/>
        <v>1169595.04</v>
      </c>
      <c r="AJ26" s="43">
        <f t="shared" si="5"/>
        <v>2372466.42</v>
      </c>
      <c r="AK26" s="43">
        <f t="shared" si="5"/>
        <v>8509066.0899999999</v>
      </c>
      <c r="AL26" s="43">
        <f t="shared" si="5"/>
        <v>8949801.8099999987</v>
      </c>
      <c r="AM26" s="43">
        <f t="shared" si="5"/>
        <v>7435444.4399999995</v>
      </c>
      <c r="AN26" s="43">
        <f t="shared" si="5"/>
        <v>7095171.1600000001</v>
      </c>
      <c r="AO26" s="43">
        <f t="shared" si="5"/>
        <v>3871557.3899999997</v>
      </c>
      <c r="AP26" s="43">
        <f t="shared" si="5"/>
        <v>3611656.8</v>
      </c>
      <c r="AQ26" s="43">
        <f t="shared" si="5"/>
        <v>2424611.77</v>
      </c>
      <c r="AR26" s="43">
        <f t="shared" si="5"/>
        <v>2373850.41</v>
      </c>
      <c r="AS26" s="43">
        <f t="shared" si="5"/>
        <v>1861371.8199999998</v>
      </c>
      <c r="AT26" s="43">
        <f t="shared" si="5"/>
        <v>14671262.810000001</v>
      </c>
      <c r="AU26" s="43">
        <f t="shared" si="5"/>
        <v>4505549.5600000005</v>
      </c>
      <c r="AV26" s="65">
        <f t="shared" si="5"/>
        <v>21597196.68</v>
      </c>
      <c r="AW26" s="43">
        <f t="shared" si="5"/>
        <v>4816197.95</v>
      </c>
      <c r="AX26" s="43">
        <f t="shared" si="5"/>
        <v>798728.05</v>
      </c>
      <c r="AY26" s="43">
        <f t="shared" si="5"/>
        <v>2233271.33</v>
      </c>
      <c r="AZ26" s="43">
        <f t="shared" si="5"/>
        <v>1300420.01</v>
      </c>
      <c r="BA26" s="43">
        <f t="shared" si="5"/>
        <v>4774454.7300000004</v>
      </c>
      <c r="BB26" s="43">
        <f t="shared" si="5"/>
        <v>5491262.9699999997</v>
      </c>
      <c r="BC26" s="43">
        <f t="shared" si="5"/>
        <v>59358892.939999998</v>
      </c>
      <c r="BD26" s="43">
        <f t="shared" si="5"/>
        <v>16768261.08</v>
      </c>
      <c r="BE26" s="43">
        <f t="shared" si="5"/>
        <v>2753046.08</v>
      </c>
      <c r="BF26" s="43">
        <f t="shared" si="5"/>
        <v>4530047.8899999997</v>
      </c>
      <c r="BG26" s="43">
        <f t="shared" si="5"/>
        <v>4037823.3800000004</v>
      </c>
      <c r="BH26" s="43">
        <f t="shared" si="5"/>
        <v>1662662.57</v>
      </c>
      <c r="BI26" s="43">
        <f t="shared" si="5"/>
        <v>6475358.4099999992</v>
      </c>
      <c r="BJ26" s="43">
        <f t="shared" si="5"/>
        <v>3863601.92</v>
      </c>
      <c r="BK26" s="43">
        <f t="shared" si="5"/>
        <v>5074349.8999999994</v>
      </c>
      <c r="BL26" s="43">
        <f t="shared" si="5"/>
        <v>5505139</v>
      </c>
      <c r="BM26" s="43">
        <f t="shared" si="5"/>
        <v>2463828.02</v>
      </c>
      <c r="BN26" s="43">
        <f t="shared" si="5"/>
        <v>28649462.449999999</v>
      </c>
      <c r="BO26" s="43">
        <f t="shared" ref="BO26:DZ26" si="6">SUM(BO8:BO25)</f>
        <v>847599.16</v>
      </c>
      <c r="BP26" s="43">
        <f t="shared" si="6"/>
        <v>4198199.88</v>
      </c>
      <c r="BQ26" s="43">
        <f t="shared" si="6"/>
        <v>3508045.04</v>
      </c>
      <c r="BR26" s="43">
        <f t="shared" si="6"/>
        <v>14950572.58</v>
      </c>
      <c r="BS26" s="43">
        <f t="shared" si="6"/>
        <v>1371725.13</v>
      </c>
      <c r="BT26" s="43">
        <f t="shared" si="6"/>
        <v>1415867.89</v>
      </c>
      <c r="BU26" s="43">
        <f t="shared" si="6"/>
        <v>979946.42999999993</v>
      </c>
      <c r="BV26" s="43">
        <f t="shared" si="6"/>
        <v>65832152.359999999</v>
      </c>
      <c r="BW26" s="43">
        <f t="shared" si="6"/>
        <v>35537398.010000005</v>
      </c>
      <c r="BX26" s="43">
        <f t="shared" si="6"/>
        <v>1016917.2200000001</v>
      </c>
      <c r="BY26" s="43">
        <f t="shared" si="6"/>
        <v>61347729.030000001</v>
      </c>
      <c r="BZ26" s="43">
        <f t="shared" si="6"/>
        <v>17043379.609999999</v>
      </c>
      <c r="CA26" s="43">
        <f t="shared" si="6"/>
        <v>7786557.7999999998</v>
      </c>
      <c r="CB26" s="43">
        <f t="shared" si="6"/>
        <v>1917089.5</v>
      </c>
      <c r="CC26" s="43">
        <f t="shared" si="6"/>
        <v>2769251.8200000003</v>
      </c>
      <c r="CD26" s="43">
        <f t="shared" si="6"/>
        <v>963698.86</v>
      </c>
      <c r="CE26" s="43">
        <f t="shared" si="6"/>
        <v>1061776.72</v>
      </c>
      <c r="CF26" s="43">
        <f t="shared" si="6"/>
        <v>15228223.950000001</v>
      </c>
      <c r="CG26" s="43">
        <f t="shared" si="6"/>
        <v>1763532.02</v>
      </c>
      <c r="CH26" s="43">
        <f t="shared" si="6"/>
        <v>1407134.29</v>
      </c>
      <c r="CI26" s="43">
        <f t="shared" si="6"/>
        <v>4956172.62</v>
      </c>
      <c r="CJ26" s="43">
        <f t="shared" si="6"/>
        <v>3339694.95</v>
      </c>
      <c r="CK26" s="43">
        <f t="shared" si="6"/>
        <v>3698619.01</v>
      </c>
      <c r="CL26" s="43">
        <f t="shared" si="6"/>
        <v>11042366.16</v>
      </c>
      <c r="CM26" s="43">
        <f t="shared" si="6"/>
        <v>5528538.9000000004</v>
      </c>
      <c r="CN26" s="43">
        <f t="shared" si="6"/>
        <v>25130664.84</v>
      </c>
      <c r="CO26" s="43">
        <f t="shared" si="6"/>
        <v>30890234.390000001</v>
      </c>
      <c r="CP26" s="43">
        <f t="shared" si="6"/>
        <v>2376639.86</v>
      </c>
      <c r="CQ26" s="43">
        <f t="shared" si="6"/>
        <v>1371965.5</v>
      </c>
      <c r="CR26" s="43">
        <f t="shared" si="6"/>
        <v>1631134.42</v>
      </c>
      <c r="CS26" s="43">
        <f t="shared" si="6"/>
        <v>75200394.060000002</v>
      </c>
      <c r="CT26" s="43">
        <f t="shared" si="6"/>
        <v>11296552.189999999</v>
      </c>
      <c r="CU26" s="43">
        <f t="shared" si="6"/>
        <v>1840024.02</v>
      </c>
      <c r="CV26" s="43">
        <f t="shared" si="6"/>
        <v>2838460.14</v>
      </c>
      <c r="CW26" s="43">
        <f t="shared" si="6"/>
        <v>2839492.29</v>
      </c>
      <c r="CX26" s="43">
        <f t="shared" si="6"/>
        <v>2573680.66</v>
      </c>
      <c r="CY26" s="43">
        <f t="shared" si="6"/>
        <v>5199451.18</v>
      </c>
      <c r="CZ26" s="43">
        <f t="shared" si="6"/>
        <v>3122726.6500000004</v>
      </c>
      <c r="DA26" s="43">
        <f t="shared" si="6"/>
        <v>5220842.1499999994</v>
      </c>
      <c r="DB26" s="43">
        <f t="shared" si="6"/>
        <v>6142613.8000000007</v>
      </c>
      <c r="DC26" s="43">
        <f t="shared" si="6"/>
        <v>8673250.1999999993</v>
      </c>
      <c r="DD26" s="43">
        <f t="shared" si="6"/>
        <v>4370206.0999999996</v>
      </c>
      <c r="DE26" s="43">
        <f t="shared" si="6"/>
        <v>9405271.6500000004</v>
      </c>
      <c r="DF26" s="43">
        <f t="shared" si="6"/>
        <v>2040012</v>
      </c>
      <c r="DG26" s="43">
        <f t="shared" si="6"/>
        <v>8022693.4199999999</v>
      </c>
      <c r="DH26" s="43">
        <f t="shared" si="6"/>
        <v>2430226.44</v>
      </c>
      <c r="DI26" s="43">
        <f t="shared" si="6"/>
        <v>2014301.79</v>
      </c>
      <c r="DJ26" s="43">
        <f t="shared" si="6"/>
        <v>376383.57</v>
      </c>
      <c r="DK26" s="43">
        <f t="shared" si="6"/>
        <v>1107942.79</v>
      </c>
      <c r="DL26" s="43">
        <f t="shared" si="6"/>
        <v>2123774.66</v>
      </c>
      <c r="DM26" s="43">
        <f t="shared" si="6"/>
        <v>50167296.210000001</v>
      </c>
      <c r="DN26" s="43">
        <f t="shared" si="6"/>
        <v>62238522.229999997</v>
      </c>
      <c r="DO26" s="43">
        <f t="shared" si="6"/>
        <v>31848000.460000001</v>
      </c>
      <c r="DP26" s="43">
        <f t="shared" si="6"/>
        <v>504247.25</v>
      </c>
      <c r="DQ26" s="43">
        <f t="shared" si="6"/>
        <v>2104552.59</v>
      </c>
      <c r="DR26" s="43">
        <f t="shared" si="6"/>
        <v>1168224.18</v>
      </c>
      <c r="DS26" s="43">
        <f t="shared" si="6"/>
        <v>1112310.25</v>
      </c>
      <c r="DT26" s="43">
        <f t="shared" si="6"/>
        <v>874831.35</v>
      </c>
      <c r="DU26" s="43">
        <f t="shared" si="6"/>
        <v>3211165.6599999997</v>
      </c>
      <c r="DV26" s="43">
        <f t="shared" si="6"/>
        <v>5715418.5499999998</v>
      </c>
      <c r="DW26" s="43">
        <f t="shared" si="6"/>
        <v>5684698.79</v>
      </c>
      <c r="DX26" s="43">
        <f t="shared" si="6"/>
        <v>7840734.1399999997</v>
      </c>
      <c r="DY26" s="43">
        <f t="shared" si="6"/>
        <v>807136.48</v>
      </c>
      <c r="DZ26" s="43">
        <f t="shared" si="6"/>
        <v>5184813.71</v>
      </c>
      <c r="EA26" s="43">
        <f t="shared" ref="EA26:GL26" si="7">SUM(EA8:EA25)</f>
        <v>2419389.02</v>
      </c>
      <c r="EB26" s="43">
        <f t="shared" si="7"/>
        <v>3449492.94</v>
      </c>
      <c r="EC26" s="43">
        <f t="shared" si="7"/>
        <v>8479740.5600000005</v>
      </c>
      <c r="ED26" s="43">
        <f t="shared" si="7"/>
        <v>15981061.93</v>
      </c>
      <c r="EE26" s="43">
        <f t="shared" si="7"/>
        <v>1062666.95</v>
      </c>
      <c r="EF26" s="43">
        <f t="shared" si="7"/>
        <v>4634515.2300000004</v>
      </c>
      <c r="EG26" s="43">
        <f t="shared" si="7"/>
        <v>2142052.1799999997</v>
      </c>
      <c r="EH26" s="43">
        <f t="shared" si="7"/>
        <v>10421234.359999999</v>
      </c>
      <c r="EI26" s="43">
        <f t="shared" si="7"/>
        <v>845330.14999999991</v>
      </c>
      <c r="EJ26" s="43">
        <f t="shared" si="7"/>
        <v>1853660.82</v>
      </c>
      <c r="EK26" s="65">
        <f t="shared" si="7"/>
        <v>60653416.049999997</v>
      </c>
      <c r="EL26" s="43">
        <f t="shared" si="7"/>
        <v>15525739.859999999</v>
      </c>
      <c r="EM26" s="43">
        <f t="shared" si="7"/>
        <v>3933596.25</v>
      </c>
      <c r="EN26" s="43">
        <f t="shared" si="7"/>
        <v>5228430.04</v>
      </c>
      <c r="EO26" s="43">
        <f t="shared" si="7"/>
        <v>1366049.14</v>
      </c>
      <c r="EP26" s="43">
        <f t="shared" si="7"/>
        <v>3250987.23</v>
      </c>
      <c r="EQ26" s="43">
        <f t="shared" si="7"/>
        <v>7279868.3999999994</v>
      </c>
      <c r="ER26" s="43">
        <f t="shared" si="7"/>
        <v>431707.66</v>
      </c>
      <c r="ES26" s="43">
        <f t="shared" si="7"/>
        <v>2778934.02</v>
      </c>
      <c r="ET26" s="43">
        <f t="shared" si="7"/>
        <v>651381.86300000001</v>
      </c>
      <c r="EU26" s="43">
        <f t="shared" si="7"/>
        <v>1864976.79</v>
      </c>
      <c r="EV26" s="43">
        <f t="shared" si="7"/>
        <v>2631520.58</v>
      </c>
      <c r="EW26" s="43">
        <f t="shared" si="7"/>
        <v>1967133.48</v>
      </c>
      <c r="EX26" s="43">
        <f t="shared" si="7"/>
        <v>1849407</v>
      </c>
      <c r="EY26" s="43">
        <f t="shared" si="7"/>
        <v>16681707.85</v>
      </c>
      <c r="EZ26" s="43">
        <f t="shared" si="7"/>
        <v>812088.22</v>
      </c>
      <c r="FA26" s="43">
        <f t="shared" si="7"/>
        <v>70040712.5</v>
      </c>
      <c r="FB26" s="43">
        <f t="shared" si="7"/>
        <v>1629355.8</v>
      </c>
      <c r="FC26" s="43">
        <f t="shared" si="7"/>
        <v>1085024.9100000001</v>
      </c>
      <c r="FD26" s="43">
        <f t="shared" si="7"/>
        <v>633207.37</v>
      </c>
      <c r="FE26" s="65">
        <f t="shared" si="7"/>
        <v>60583335.829999998</v>
      </c>
      <c r="FF26" s="43">
        <f t="shared" si="7"/>
        <v>11141505.390000001</v>
      </c>
      <c r="FG26" s="43">
        <f t="shared" si="7"/>
        <v>9307111.1400000006</v>
      </c>
      <c r="FH26" s="43">
        <f t="shared" si="7"/>
        <v>2091613.8399999999</v>
      </c>
      <c r="FI26" s="65">
        <f t="shared" si="7"/>
        <v>4770952.74</v>
      </c>
      <c r="FJ26" s="43">
        <f t="shared" si="7"/>
        <v>7161887.3300000001</v>
      </c>
      <c r="FK26" s="43">
        <f t="shared" si="7"/>
        <v>9647596.0700000022</v>
      </c>
      <c r="FL26" s="276">
        <f t="shared" si="7"/>
        <v>17675152.770000003</v>
      </c>
      <c r="FM26" s="43">
        <f t="shared" si="7"/>
        <v>113931393.55999999</v>
      </c>
      <c r="FN26" s="43">
        <f t="shared" si="7"/>
        <v>8087713.2599999998</v>
      </c>
      <c r="FO26" s="43">
        <f t="shared" si="7"/>
        <v>3054229.04</v>
      </c>
      <c r="FP26" s="43">
        <f t="shared" si="7"/>
        <v>3724495.34</v>
      </c>
      <c r="FQ26" s="43">
        <f t="shared" si="7"/>
        <v>1344868.8900000001</v>
      </c>
      <c r="FR26" s="43">
        <f t="shared" si="7"/>
        <v>1896277.1</v>
      </c>
      <c r="FS26" s="43">
        <f t="shared" si="7"/>
        <v>5569113.5899999999</v>
      </c>
      <c r="FT26" s="43">
        <f t="shared" si="7"/>
        <v>16489235.460000001</v>
      </c>
      <c r="FU26" s="43">
        <f t="shared" si="7"/>
        <v>4098382.96</v>
      </c>
      <c r="FV26" s="43">
        <f t="shared" si="7"/>
        <v>978405.47</v>
      </c>
      <c r="FW26" s="43">
        <f t="shared" si="7"/>
        <v>551475.88</v>
      </c>
      <c r="FX26" s="43">
        <f t="shared" si="7"/>
        <v>1556798.9</v>
      </c>
      <c r="FY26" s="43">
        <f t="shared" si="7"/>
        <v>3038821.07</v>
      </c>
      <c r="FZ26" s="65">
        <f t="shared" si="7"/>
        <v>148125852.72999999</v>
      </c>
      <c r="GA26" s="43">
        <f t="shared" si="7"/>
        <v>1998146.26</v>
      </c>
      <c r="GB26" s="43">
        <f t="shared" si="7"/>
        <v>5432557.3200000003</v>
      </c>
      <c r="GC26" s="43">
        <f t="shared" si="7"/>
        <v>7123522.2200000007</v>
      </c>
      <c r="GD26" s="43">
        <f t="shared" si="7"/>
        <v>2122524.67</v>
      </c>
      <c r="GE26" s="43">
        <f t="shared" si="7"/>
        <v>2063195.65</v>
      </c>
      <c r="GF26" s="43">
        <f t="shared" si="7"/>
        <v>1358360.6099999999</v>
      </c>
      <c r="GG26" s="43">
        <f t="shared" si="7"/>
        <v>1350990.83</v>
      </c>
      <c r="GH26" s="43">
        <f t="shared" si="7"/>
        <v>89218391.780000001</v>
      </c>
      <c r="GI26" s="43">
        <f t="shared" si="7"/>
        <v>85799551.760000005</v>
      </c>
      <c r="GJ26" s="43">
        <f t="shared" si="7"/>
        <v>2236993.69</v>
      </c>
      <c r="GK26" s="43">
        <f t="shared" si="7"/>
        <v>1823533.2799999998</v>
      </c>
      <c r="GL26" s="43">
        <f t="shared" si="7"/>
        <v>5062567.68</v>
      </c>
      <c r="GM26" s="43">
        <f t="shared" ref="GM26:IU26" si="8">SUM(GM8:GM25)</f>
        <v>2875192.06</v>
      </c>
      <c r="GN26" s="43">
        <f t="shared" si="8"/>
        <v>1217369.49</v>
      </c>
      <c r="GO26" s="43">
        <f t="shared" si="8"/>
        <v>2019067.45</v>
      </c>
      <c r="GP26" s="43">
        <f t="shared" si="8"/>
        <v>1611791.6800000002</v>
      </c>
      <c r="GQ26" s="43">
        <f t="shared" si="8"/>
        <v>14840975.199999999</v>
      </c>
      <c r="GR26" s="43">
        <f t="shared" si="8"/>
        <v>4345961.7899999991</v>
      </c>
      <c r="GS26" s="43">
        <f t="shared" si="8"/>
        <v>2016113.5</v>
      </c>
      <c r="GT26" s="43">
        <f t="shared" si="8"/>
        <v>2795653.31</v>
      </c>
      <c r="GU26" s="65">
        <f t="shared" si="8"/>
        <v>76903756.049999997</v>
      </c>
      <c r="GV26" s="43">
        <f t="shared" si="8"/>
        <v>3802719.0299999993</v>
      </c>
      <c r="GW26" s="43">
        <f t="shared" si="8"/>
        <v>2243055.37</v>
      </c>
      <c r="GX26" s="43">
        <f t="shared" si="8"/>
        <v>6052372.0399999991</v>
      </c>
      <c r="GY26" s="43">
        <f t="shared" si="8"/>
        <v>2497954.1300000004</v>
      </c>
      <c r="GZ26" s="43">
        <f t="shared" si="8"/>
        <v>1447123.1499999997</v>
      </c>
      <c r="HA26" s="43">
        <f t="shared" si="8"/>
        <v>8912978.3200000003</v>
      </c>
      <c r="HB26" s="43">
        <f t="shared" si="8"/>
        <v>3090512.9400000004</v>
      </c>
      <c r="HC26" s="43">
        <f t="shared" si="8"/>
        <v>4198925.83</v>
      </c>
      <c r="HD26" s="43">
        <f t="shared" si="8"/>
        <v>1179944.6400000001</v>
      </c>
      <c r="HE26" s="43">
        <f t="shared" si="8"/>
        <v>8083235.9299999997</v>
      </c>
      <c r="HF26" s="43">
        <f t="shared" si="8"/>
        <v>5080416.8600000003</v>
      </c>
      <c r="HG26" s="43">
        <f t="shared" si="8"/>
        <v>6307076.5699999994</v>
      </c>
      <c r="HH26" s="43">
        <f t="shared" si="8"/>
        <v>3086262.5</v>
      </c>
      <c r="HI26" s="43">
        <f t="shared" si="8"/>
        <v>15702589.939999999</v>
      </c>
      <c r="HJ26" s="43">
        <f t="shared" si="8"/>
        <v>4918296.18</v>
      </c>
      <c r="HK26" s="43">
        <f t="shared" si="8"/>
        <v>6407746.5</v>
      </c>
      <c r="HL26" s="43">
        <f t="shared" si="8"/>
        <v>2127733.62</v>
      </c>
      <c r="HM26" s="43">
        <f t="shared" si="8"/>
        <v>8138435.5</v>
      </c>
      <c r="HN26" s="144">
        <f t="shared" si="8"/>
        <v>4332501.8500000006</v>
      </c>
      <c r="HO26" s="65">
        <f t="shared" si="8"/>
        <v>76440498.760000005</v>
      </c>
      <c r="HP26" s="43">
        <f t="shared" si="8"/>
        <v>4817567.76</v>
      </c>
      <c r="HQ26" s="43">
        <f t="shared" si="8"/>
        <v>1602712.31</v>
      </c>
      <c r="HR26" s="43">
        <f t="shared" si="8"/>
        <v>2527400.7999999998</v>
      </c>
      <c r="HS26" s="43">
        <f t="shared" si="8"/>
        <v>2754739.62</v>
      </c>
      <c r="HT26" s="43">
        <f t="shared" si="8"/>
        <v>20503381.370000001</v>
      </c>
      <c r="HU26" s="43">
        <f t="shared" si="8"/>
        <v>10292909.830000002</v>
      </c>
      <c r="HV26" s="43">
        <f t="shared" si="8"/>
        <v>18741191.960000001</v>
      </c>
      <c r="HW26" s="43">
        <f t="shared" si="8"/>
        <v>8947341.2999999989</v>
      </c>
      <c r="HX26" s="43">
        <f t="shared" si="8"/>
        <v>1810812.96</v>
      </c>
      <c r="HY26" s="43">
        <f t="shared" si="8"/>
        <v>16162649.189999999</v>
      </c>
      <c r="HZ26" s="43">
        <f t="shared" si="8"/>
        <v>7715544.1799999997</v>
      </c>
      <c r="IA26" s="43">
        <f t="shared" si="8"/>
        <v>19269933.260000002</v>
      </c>
      <c r="IB26" s="43">
        <f t="shared" si="8"/>
        <v>1109298.49</v>
      </c>
      <c r="IC26" s="43">
        <f t="shared" si="8"/>
        <v>32026890.510000002</v>
      </c>
      <c r="ID26" s="43">
        <f t="shared" si="8"/>
        <v>842785.35000000009</v>
      </c>
      <c r="IE26" s="43">
        <f t="shared" si="8"/>
        <v>12845507.719999999</v>
      </c>
      <c r="IF26" s="43">
        <f t="shared" si="8"/>
        <v>17376465.890000004</v>
      </c>
      <c r="IG26" s="43">
        <f t="shared" si="8"/>
        <v>102513267.36</v>
      </c>
      <c r="IH26" s="105">
        <f t="shared" si="8"/>
        <v>53290921.859999992</v>
      </c>
      <c r="II26" s="43">
        <f t="shared" si="8"/>
        <v>21931432.110000003</v>
      </c>
      <c r="IJ26" s="43">
        <f t="shared" si="8"/>
        <v>70536471.859999999</v>
      </c>
      <c r="IK26" s="43">
        <f t="shared" si="8"/>
        <v>9898232.9700000007</v>
      </c>
      <c r="IL26" s="43">
        <f t="shared" si="8"/>
        <v>51749763.869999997</v>
      </c>
      <c r="IM26" s="43">
        <f t="shared" si="8"/>
        <v>7529726.1799999997</v>
      </c>
      <c r="IN26" s="43">
        <f t="shared" si="8"/>
        <v>7898483.2800000003</v>
      </c>
      <c r="IO26" s="43">
        <f t="shared" si="8"/>
        <v>4430109.18</v>
      </c>
      <c r="IP26" s="43">
        <f t="shared" si="8"/>
        <v>11141807.1</v>
      </c>
      <c r="IQ26" s="43">
        <f t="shared" si="8"/>
        <v>23747608.259999998</v>
      </c>
      <c r="IR26" s="43">
        <f t="shared" si="8"/>
        <v>29054467.240000002</v>
      </c>
      <c r="IS26" s="43">
        <f t="shared" si="8"/>
        <v>1689935.86</v>
      </c>
      <c r="IT26" s="43">
        <f t="shared" si="8"/>
        <v>18566011.800000001</v>
      </c>
      <c r="IU26" s="43">
        <f t="shared" si="8"/>
        <v>1398022046.1429999</v>
      </c>
    </row>
    <row r="27" spans="1:255" ht="14.1" customHeight="1" thickTop="1">
      <c r="A27" s="14"/>
      <c r="B27" s="14"/>
      <c r="E27" s="8"/>
      <c r="F27" s="8"/>
      <c r="G27" s="8"/>
      <c r="H27" s="8"/>
      <c r="I27" s="8"/>
      <c r="J27" s="8"/>
      <c r="K27" s="8"/>
      <c r="L27" s="8"/>
      <c r="M27" s="8"/>
      <c r="N27" s="213"/>
      <c r="O27" s="8"/>
      <c r="P27" s="8"/>
      <c r="Q27" s="8"/>
      <c r="R27" s="8"/>
      <c r="S27" s="8"/>
      <c r="T27" s="8"/>
      <c r="U27" s="8"/>
      <c r="V27" s="8"/>
      <c r="X27" s="8"/>
      <c r="Y27" s="8"/>
      <c r="Z27" s="8"/>
      <c r="AA27" s="8"/>
      <c r="AB27" s="8"/>
      <c r="AC27" s="8"/>
      <c r="AD27" s="8"/>
      <c r="AE27" s="8"/>
      <c r="AF27" s="213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S27" s="8"/>
      <c r="AT27" s="8"/>
      <c r="AU27" s="8"/>
      <c r="AV27" s="213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F27" s="8"/>
      <c r="DG27" s="8"/>
      <c r="DH27" s="8"/>
      <c r="DI27" s="8"/>
      <c r="DJ27" s="8"/>
      <c r="DK27" s="8"/>
      <c r="DL27" s="8"/>
      <c r="DM27" s="8"/>
      <c r="DO27" s="8"/>
      <c r="DP27" s="8"/>
      <c r="DQ27" s="8"/>
      <c r="DS27" s="8"/>
      <c r="DT27" s="8"/>
      <c r="DU27" s="8"/>
      <c r="DV27" s="8"/>
      <c r="DW27" s="8"/>
      <c r="DX27" s="8"/>
      <c r="DY27" s="8"/>
      <c r="EA27" s="8"/>
      <c r="EB27" s="8"/>
      <c r="EC27" s="8"/>
      <c r="ED27" s="8"/>
      <c r="EE27" s="8"/>
      <c r="EF27" s="8"/>
      <c r="EH27" s="124"/>
      <c r="EI27" s="8"/>
      <c r="EJ27" s="8"/>
      <c r="EK27" s="71"/>
      <c r="EL27" s="8"/>
      <c r="EM27" s="8"/>
      <c r="EN27" s="8"/>
      <c r="EO27" s="8"/>
      <c r="EP27" s="8"/>
      <c r="EQ27" s="8"/>
      <c r="ER27" s="8"/>
      <c r="ES27" s="8"/>
      <c r="ET27" s="8"/>
      <c r="EV27" s="8"/>
      <c r="EW27" s="8"/>
      <c r="EX27" s="8"/>
      <c r="EY27" s="8"/>
      <c r="EZ27" s="8"/>
      <c r="FA27" s="8"/>
      <c r="FB27" s="8"/>
      <c r="FC27" s="8"/>
      <c r="FD27" s="8"/>
      <c r="FE27" s="213"/>
      <c r="FG27" s="8"/>
      <c r="FH27" s="8"/>
      <c r="FI27" s="213"/>
      <c r="FJ27" s="8"/>
      <c r="FK27" s="8"/>
      <c r="FL27" s="71"/>
      <c r="FM27" s="8"/>
      <c r="FN27" s="8"/>
      <c r="FO27" s="8"/>
      <c r="FQ27" s="8"/>
      <c r="FR27" s="8"/>
      <c r="FS27" s="8"/>
      <c r="FT27" s="8"/>
      <c r="FU27" s="8"/>
      <c r="FV27" s="8"/>
      <c r="FW27" s="8"/>
      <c r="FX27" s="8"/>
      <c r="FY27" s="8"/>
      <c r="FZ27" s="213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M27" s="8"/>
      <c r="GN27" s="8"/>
      <c r="GO27" s="8"/>
      <c r="GP27" s="8"/>
      <c r="GQ27" s="8"/>
      <c r="GR27" s="8"/>
      <c r="GS27" s="8"/>
      <c r="GT27" s="8"/>
      <c r="GU27" s="240"/>
      <c r="GV27" s="8"/>
      <c r="GW27" s="8"/>
      <c r="GX27" s="8"/>
      <c r="GY27" s="8"/>
      <c r="GZ27" s="8"/>
      <c r="HA27" s="8"/>
      <c r="HB27" s="8"/>
      <c r="HC27" s="8"/>
      <c r="HE27" s="8"/>
      <c r="HF27" s="8"/>
      <c r="HG27" s="8"/>
      <c r="HH27" s="8"/>
      <c r="HI27" s="8"/>
      <c r="HJ27" s="8"/>
      <c r="HK27" s="8"/>
      <c r="HL27" s="8"/>
      <c r="HM27" s="140"/>
      <c r="HN27" s="127"/>
      <c r="HO27" s="71"/>
      <c r="HP27" s="8"/>
      <c r="HQ27" s="8"/>
      <c r="HR27" s="8"/>
      <c r="HS27" s="8"/>
      <c r="HT27" s="8"/>
      <c r="HU27" s="8"/>
      <c r="HV27" s="8"/>
      <c r="HW27" s="8"/>
      <c r="HX27" s="8"/>
      <c r="HY27" s="8"/>
      <c r="IA27" s="8"/>
      <c r="IB27" s="8"/>
      <c r="IC27" s="8"/>
      <c r="ID27" s="8"/>
      <c r="IE27" s="8"/>
      <c r="IF27" s="8"/>
      <c r="IG27" s="8"/>
      <c r="IH27" s="9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5" ht="14.1" customHeight="1">
      <c r="A28" s="20" t="s">
        <v>9</v>
      </c>
      <c r="B28" s="20"/>
      <c r="C28" s="158"/>
      <c r="D28" s="3"/>
      <c r="E28" s="3"/>
      <c r="F28" s="3"/>
      <c r="G28" s="3"/>
      <c r="H28" s="3"/>
      <c r="I28" s="3"/>
      <c r="J28" s="3"/>
      <c r="K28" s="3"/>
      <c r="L28" s="3"/>
      <c r="M28" s="3"/>
      <c r="N28" s="191"/>
      <c r="O28" s="3"/>
      <c r="P28" s="3"/>
      <c r="Q28" s="3"/>
      <c r="R28" s="3"/>
      <c r="S28" s="3"/>
      <c r="T28" s="3"/>
      <c r="U28" s="3"/>
      <c r="V28" s="3"/>
      <c r="W28" s="158"/>
      <c r="X28" s="3"/>
      <c r="Y28" s="3"/>
      <c r="Z28" s="3"/>
      <c r="AA28" s="3"/>
      <c r="AB28" s="3"/>
      <c r="AC28" s="3"/>
      <c r="AD28" s="3"/>
      <c r="AE28" s="3"/>
      <c r="AF28" s="1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158"/>
      <c r="AS28" s="3"/>
      <c r="AT28" s="3"/>
      <c r="AU28" s="3"/>
      <c r="AV28" s="191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158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158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158"/>
      <c r="DE28" s="90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90"/>
      <c r="DS28" s="3"/>
      <c r="DT28" s="3"/>
      <c r="DU28" s="3"/>
      <c r="DV28" s="3"/>
      <c r="DW28" s="3"/>
      <c r="DX28" s="3"/>
      <c r="DY28" s="3"/>
      <c r="DZ28" s="158"/>
      <c r="EA28" s="3"/>
      <c r="EB28" s="3"/>
      <c r="EC28" s="3"/>
      <c r="ED28" s="3"/>
      <c r="EE28" s="3"/>
      <c r="EF28" s="3"/>
      <c r="EG28" s="35"/>
      <c r="EH28" s="3"/>
      <c r="EI28" s="3"/>
      <c r="EJ28" s="3"/>
      <c r="EK28" s="77"/>
      <c r="EL28" s="3"/>
      <c r="EM28" s="3"/>
      <c r="EN28" s="3"/>
      <c r="EO28" s="3"/>
      <c r="EP28" s="3"/>
      <c r="EQ28" s="3"/>
      <c r="ER28" s="3"/>
      <c r="ES28" s="3"/>
      <c r="ET28" s="3"/>
      <c r="EU28" s="158"/>
      <c r="EV28" s="3"/>
      <c r="EW28" s="3"/>
      <c r="EX28" s="3"/>
      <c r="EY28" s="3"/>
      <c r="EZ28" s="3"/>
      <c r="FA28" s="3"/>
      <c r="FB28" s="3"/>
      <c r="FC28" s="3"/>
      <c r="FD28" s="3"/>
      <c r="FE28" s="191"/>
      <c r="FF28" s="3"/>
      <c r="FG28" s="3"/>
      <c r="FH28" s="3"/>
      <c r="FI28" s="191"/>
      <c r="FJ28" s="3"/>
      <c r="FK28" s="3"/>
      <c r="FL28" s="77"/>
      <c r="FM28" s="3"/>
      <c r="FN28" s="3"/>
      <c r="FO28" s="3"/>
      <c r="FP28" s="158"/>
      <c r="FQ28" s="3"/>
      <c r="FR28" s="3"/>
      <c r="FS28" s="3"/>
      <c r="FT28" s="3"/>
      <c r="FU28" s="3"/>
      <c r="FV28" s="3"/>
      <c r="FW28" s="3"/>
      <c r="FX28" s="3"/>
      <c r="FY28" s="3"/>
      <c r="FZ28" s="191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58"/>
      <c r="GM28" s="3"/>
      <c r="GN28" s="3"/>
      <c r="GO28" s="3"/>
      <c r="GP28" s="3"/>
      <c r="GQ28" s="3"/>
      <c r="GR28" s="3"/>
      <c r="GS28" s="3"/>
      <c r="GT28" s="3"/>
      <c r="GU28" s="241"/>
      <c r="GV28" s="3"/>
      <c r="GW28" s="3"/>
      <c r="GX28" s="3"/>
      <c r="GY28" s="3"/>
      <c r="GZ28" s="3"/>
      <c r="HA28" s="3"/>
      <c r="HB28" s="3"/>
      <c r="HC28" s="3"/>
      <c r="HD28" s="158"/>
      <c r="HE28" s="3"/>
      <c r="HF28" s="3"/>
      <c r="HG28" s="3"/>
      <c r="HH28" s="3"/>
      <c r="HI28" s="3"/>
      <c r="HJ28" s="3"/>
      <c r="HK28" s="3"/>
      <c r="HL28" s="3"/>
      <c r="HM28" s="3"/>
      <c r="HN28" s="133"/>
      <c r="HO28" s="77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158"/>
      <c r="IA28" s="3"/>
      <c r="IB28" s="3"/>
      <c r="IC28" s="3"/>
      <c r="ID28" s="3"/>
      <c r="IE28" s="3"/>
      <c r="IF28" s="3"/>
      <c r="IG28" s="3"/>
      <c r="IH28" s="106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158"/>
      <c r="IU28" s="3"/>
    </row>
    <row r="29" spans="1:255" ht="14.1" customHeight="1">
      <c r="A29" s="4" t="s">
        <v>13</v>
      </c>
      <c r="B29" s="12"/>
      <c r="C29" s="155"/>
      <c r="D29" s="4"/>
      <c r="E29" s="4"/>
      <c r="F29" s="4"/>
      <c r="G29" s="4"/>
      <c r="H29" s="4"/>
      <c r="I29" s="4"/>
      <c r="J29" s="4"/>
      <c r="K29" s="4"/>
      <c r="L29" s="4"/>
      <c r="M29" s="4"/>
      <c r="N29" s="189">
        <f>8007.43+96.41+3.14</f>
        <v>8106.9800000000005</v>
      </c>
      <c r="O29" s="4"/>
      <c r="P29" s="4"/>
      <c r="Q29" s="4"/>
      <c r="R29" s="4"/>
      <c r="S29" s="4"/>
      <c r="T29" s="4"/>
      <c r="U29" s="4"/>
      <c r="V29" s="4"/>
      <c r="W29" s="155"/>
      <c r="X29" s="4"/>
      <c r="Y29" s="4"/>
      <c r="Z29" s="4"/>
      <c r="AA29" s="4"/>
      <c r="AB29" s="4"/>
      <c r="AC29" s="4"/>
      <c r="AD29" s="4"/>
      <c r="AE29" s="4"/>
      <c r="AF29" s="189"/>
      <c r="AG29" s="4"/>
      <c r="AH29" s="4">
        <f>16269.84+654.2+96.42</f>
        <v>17020.46</v>
      </c>
      <c r="AI29" s="4"/>
      <c r="AJ29" s="4"/>
      <c r="AK29" s="4"/>
      <c r="AL29" s="4"/>
      <c r="AM29" s="4"/>
      <c r="AN29" s="4"/>
      <c r="AO29" s="4"/>
      <c r="AP29" s="4"/>
      <c r="AQ29" s="4"/>
      <c r="AR29" s="155"/>
      <c r="AS29" s="4"/>
      <c r="AT29" s="4"/>
      <c r="AU29" s="4"/>
      <c r="AV29" s="189"/>
      <c r="AW29" s="4"/>
      <c r="AX29" s="4"/>
      <c r="AY29" s="4"/>
      <c r="AZ29" s="4"/>
      <c r="BA29" s="4"/>
      <c r="BB29" s="4"/>
      <c r="BC29" s="4">
        <f>9068.19</f>
        <v>9068.19</v>
      </c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155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>
        <f>9676.89+1855.21+107.45</f>
        <v>11639.55</v>
      </c>
      <c r="BZ29" s="4"/>
      <c r="CA29" s="4"/>
      <c r="CB29" s="4"/>
      <c r="CC29" s="4"/>
      <c r="CD29" s="4"/>
      <c r="CE29" s="4"/>
      <c r="CF29" s="4"/>
      <c r="CG29" s="4"/>
      <c r="CH29" s="4"/>
      <c r="CI29" s="155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>
        <v>10802.86</v>
      </c>
      <c r="CU29" s="4"/>
      <c r="CV29" s="4"/>
      <c r="CW29" s="4"/>
      <c r="CX29" s="4"/>
      <c r="CY29" s="4"/>
      <c r="CZ29" s="4"/>
      <c r="DA29" s="4"/>
      <c r="DB29" s="4"/>
      <c r="DC29" s="4"/>
      <c r="DD29" s="155"/>
      <c r="DE29" s="87"/>
      <c r="DF29" s="4"/>
      <c r="DG29" s="4"/>
      <c r="DH29" s="4"/>
      <c r="DI29" s="4"/>
      <c r="DJ29" s="4"/>
      <c r="DK29" s="4"/>
      <c r="DL29" s="4"/>
      <c r="DM29" s="4"/>
      <c r="DN29" s="4">
        <v>9857.0300000000007</v>
      </c>
      <c r="DO29" s="4"/>
      <c r="DP29" s="4"/>
      <c r="DQ29" s="4"/>
      <c r="DR29" s="87"/>
      <c r="DS29" s="4"/>
      <c r="DT29" s="4"/>
      <c r="DU29" s="4"/>
      <c r="DV29" s="4"/>
      <c r="DW29" s="4"/>
      <c r="DX29" s="4"/>
      <c r="DY29" s="4"/>
      <c r="DZ29" s="155"/>
      <c r="EA29" s="4"/>
      <c r="EB29" s="4"/>
      <c r="EC29" s="4"/>
      <c r="ED29" s="4"/>
      <c r="EE29" s="4"/>
      <c r="EF29" s="4"/>
      <c r="EG29" s="32"/>
      <c r="EH29" s="4"/>
      <c r="EI29" s="4"/>
      <c r="EJ29" s="4"/>
      <c r="EK29" s="74">
        <v>8533.27</v>
      </c>
      <c r="EL29" s="4"/>
      <c r="EM29" s="4"/>
      <c r="EN29" s="4"/>
      <c r="EO29" s="4"/>
      <c r="EP29" s="4"/>
      <c r="EQ29" s="4"/>
      <c r="ER29" s="4"/>
      <c r="ES29" s="4"/>
      <c r="ET29" s="4"/>
      <c r="EU29" s="155"/>
      <c r="EV29" s="4"/>
      <c r="EW29" s="4"/>
      <c r="EX29" s="4"/>
      <c r="EY29" s="4"/>
      <c r="EZ29" s="4"/>
      <c r="FA29" s="4"/>
      <c r="FB29" s="4"/>
      <c r="FC29" s="4"/>
      <c r="FD29" s="4"/>
      <c r="FE29" s="189">
        <v>8158.43</v>
      </c>
      <c r="FF29" s="4"/>
      <c r="FG29" s="4"/>
      <c r="FH29" s="4"/>
      <c r="FI29" s="189"/>
      <c r="FJ29" s="4"/>
      <c r="FK29" s="4"/>
      <c r="FL29" s="74"/>
      <c r="FM29" s="4"/>
      <c r="FN29" s="4"/>
      <c r="FO29" s="4"/>
      <c r="FP29" s="155"/>
      <c r="FQ29" s="4"/>
      <c r="FR29" s="4"/>
      <c r="FS29" s="4"/>
      <c r="FT29" s="4"/>
      <c r="FU29" s="4"/>
      <c r="FV29" s="4"/>
      <c r="FW29" s="4"/>
      <c r="FX29" s="4"/>
      <c r="FY29" s="4"/>
      <c r="FZ29" s="189">
        <v>10596.02</v>
      </c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155"/>
      <c r="GM29" s="4"/>
      <c r="GN29" s="4"/>
      <c r="GO29" s="4"/>
      <c r="GP29" s="4"/>
      <c r="GQ29" s="4"/>
      <c r="GR29" s="4"/>
      <c r="GS29" s="4"/>
      <c r="GT29" s="4"/>
      <c r="GU29" s="123"/>
      <c r="GV29" s="4">
        <v>11727.14</v>
      </c>
      <c r="GW29" s="4"/>
      <c r="GX29" s="4"/>
      <c r="GY29" s="4"/>
      <c r="GZ29" s="4"/>
      <c r="HA29" s="4"/>
      <c r="HB29" s="4"/>
      <c r="HC29" s="4"/>
      <c r="HD29" s="155"/>
      <c r="HE29" s="4"/>
      <c r="HF29" s="4"/>
      <c r="HG29" s="4"/>
      <c r="HH29" s="4"/>
      <c r="HI29" s="4"/>
      <c r="HJ29" s="4"/>
      <c r="HK29" s="4"/>
      <c r="HL29" s="4"/>
      <c r="HM29" s="4"/>
      <c r="HN29" s="130"/>
      <c r="HO29" s="74">
        <v>14612.11</v>
      </c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155"/>
      <c r="IA29" s="4"/>
      <c r="IB29" s="4"/>
      <c r="IC29" s="4"/>
      <c r="ID29" s="4"/>
      <c r="IE29" s="4"/>
      <c r="IF29" s="4"/>
      <c r="IG29" s="4"/>
      <c r="IH29" s="102"/>
      <c r="II29" s="4"/>
      <c r="IJ29" s="4">
        <f>9346.75+2588.45+111.27</f>
        <v>12046.470000000001</v>
      </c>
      <c r="IK29" s="4"/>
      <c r="IL29" s="4"/>
      <c r="IM29" s="4"/>
      <c r="IN29" s="4"/>
      <c r="IO29" s="4"/>
      <c r="IP29" s="4"/>
      <c r="IQ29" s="4"/>
      <c r="IR29" s="4"/>
      <c r="IS29" s="4"/>
      <c r="IT29" s="155"/>
      <c r="IU29" s="4">
        <f t="shared" ref="IU29:IU46" si="9">SUM(D29:IT29)</f>
        <v>132168.51</v>
      </c>
    </row>
    <row r="30" spans="1:255" ht="14.1" customHeight="1">
      <c r="A30" s="4" t="s">
        <v>51</v>
      </c>
      <c r="B30" s="12"/>
      <c r="C30" s="155"/>
      <c r="D30" s="4"/>
      <c r="E30" s="4"/>
      <c r="F30" s="4"/>
      <c r="G30" s="4"/>
      <c r="H30" s="4"/>
      <c r="I30" s="4"/>
      <c r="J30" s="4"/>
      <c r="K30" s="4"/>
      <c r="L30" s="4"/>
      <c r="M30" s="4"/>
      <c r="N30" s="189"/>
      <c r="O30" s="4"/>
      <c r="P30" s="4"/>
      <c r="Q30" s="4">
        <f>160355.31+1821.63</f>
        <v>162176.94</v>
      </c>
      <c r="R30" s="4"/>
      <c r="S30" s="4"/>
      <c r="T30" s="4"/>
      <c r="U30" s="4"/>
      <c r="V30" s="4"/>
      <c r="W30" s="155"/>
      <c r="X30" s="4"/>
      <c r="Y30" s="4"/>
      <c r="Z30" s="4"/>
      <c r="AA30" s="4">
        <v>1875.22</v>
      </c>
      <c r="AB30" s="4"/>
      <c r="AC30" s="4"/>
      <c r="AD30" s="4">
        <f>151671.81+1807.62</f>
        <v>153479.43</v>
      </c>
      <c r="AE30" s="4"/>
      <c r="AF30" s="189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155"/>
      <c r="AS30" s="4">
        <v>1882.62</v>
      </c>
      <c r="AT30" s="4">
        <v>1818.16</v>
      </c>
      <c r="AU30" s="4"/>
      <c r="AV30" s="189"/>
      <c r="AW30" s="4">
        <v>150070.57</v>
      </c>
      <c r="AX30" s="4"/>
      <c r="AY30" s="4"/>
      <c r="AZ30" s="4"/>
      <c r="BA30" s="4"/>
      <c r="BB30" s="4">
        <v>1880.22</v>
      </c>
      <c r="BC30" s="4"/>
      <c r="BD30" s="4"/>
      <c r="BE30" s="4"/>
      <c r="BF30" s="4"/>
      <c r="BG30" s="4"/>
      <c r="BH30" s="4"/>
      <c r="BI30" s="4"/>
      <c r="BJ30" s="4"/>
      <c r="BK30" s="4">
        <v>1867.62</v>
      </c>
      <c r="BL30" s="4"/>
      <c r="BM30" s="4"/>
      <c r="BN30" s="155"/>
      <c r="BO30" s="4"/>
      <c r="BP30" s="4"/>
      <c r="BQ30" s="4"/>
      <c r="BR30" s="4"/>
      <c r="BS30" s="4">
        <v>153036.35999999999</v>
      </c>
      <c r="BT30" s="4"/>
      <c r="BU30" s="4"/>
      <c r="BV30" s="4"/>
      <c r="BW30" s="4"/>
      <c r="BX30" s="4"/>
      <c r="BY30" s="4"/>
      <c r="BZ30" s="4"/>
      <c r="CA30" s="4"/>
      <c r="CB30" s="4"/>
      <c r="CC30" s="4">
        <v>1882.62</v>
      </c>
      <c r="CD30" s="4"/>
      <c r="CE30" s="4"/>
      <c r="CF30" s="4"/>
      <c r="CG30" s="4">
        <v>1862.62</v>
      </c>
      <c r="CH30" s="4"/>
      <c r="CI30" s="155"/>
      <c r="CJ30" s="4"/>
      <c r="CK30" s="4"/>
      <c r="CL30" s="4"/>
      <c r="CM30" s="4"/>
      <c r="CN30" s="4">
        <v>149762.49</v>
      </c>
      <c r="CO30" s="4"/>
      <c r="CP30" s="4"/>
      <c r="CQ30" s="4"/>
      <c r="CR30" s="4"/>
      <c r="CS30" s="4"/>
      <c r="CT30" s="4"/>
      <c r="CU30" s="4"/>
      <c r="CV30" s="4"/>
      <c r="CW30" s="4"/>
      <c r="CX30" s="4">
        <v>1910</v>
      </c>
      <c r="CY30" s="4"/>
      <c r="CZ30" s="4"/>
      <c r="DA30" s="4"/>
      <c r="DB30" s="4"/>
      <c r="DC30" s="4"/>
      <c r="DD30" s="155"/>
      <c r="DE30" s="87"/>
      <c r="DF30" s="4"/>
      <c r="DG30" s="4"/>
      <c r="DH30" s="4"/>
      <c r="DI30" s="4"/>
      <c r="DJ30" s="4"/>
      <c r="DK30" s="4"/>
      <c r="DL30" s="4"/>
      <c r="DM30" s="4"/>
      <c r="DN30" s="4"/>
      <c r="DO30" s="4">
        <f>148174.96+1406.11</f>
        <v>149581.06999999998</v>
      </c>
      <c r="DP30" s="4"/>
      <c r="DQ30" s="4"/>
      <c r="DR30" s="87">
        <v>1409.11</v>
      </c>
      <c r="DS30" s="4"/>
      <c r="DT30" s="4"/>
      <c r="DU30" s="4"/>
      <c r="DV30" s="4"/>
      <c r="DW30" s="4"/>
      <c r="DX30" s="4"/>
      <c r="DY30" s="4"/>
      <c r="DZ30" s="155"/>
      <c r="EA30" s="4">
        <v>1409.11</v>
      </c>
      <c r="EB30" s="4"/>
      <c r="EC30" s="4"/>
      <c r="ED30" s="4"/>
      <c r="EE30" s="4"/>
      <c r="EF30" s="4"/>
      <c r="EG30" s="32"/>
      <c r="EH30" s="4"/>
      <c r="EI30" s="4"/>
      <c r="EJ30" s="4"/>
      <c r="EK30" s="74">
        <v>147194.12</v>
      </c>
      <c r="EL30" s="4"/>
      <c r="EM30" s="4"/>
      <c r="EN30" s="4"/>
      <c r="EO30" s="4"/>
      <c r="EP30" s="4"/>
      <c r="EQ30" s="4"/>
      <c r="ER30" s="4"/>
      <c r="ES30" s="4"/>
      <c r="ET30" s="4"/>
      <c r="EU30" s="155"/>
      <c r="EV30" s="4"/>
      <c r="EW30" s="4"/>
      <c r="EX30" s="4"/>
      <c r="EY30" s="4">
        <f>138133.69+1504.11+1504.11</f>
        <v>141141.90999999997</v>
      </c>
      <c r="EZ30" s="4"/>
      <c r="FA30" s="4"/>
      <c r="FB30" s="4"/>
      <c r="FC30" s="4"/>
      <c r="FD30" s="4"/>
      <c r="FE30" s="189"/>
      <c r="FF30" s="4"/>
      <c r="FG30" s="4"/>
      <c r="FH30" s="4">
        <v>1755.73</v>
      </c>
      <c r="FI30" s="189"/>
      <c r="FJ30" s="4"/>
      <c r="FK30" s="4"/>
      <c r="FL30" s="74"/>
      <c r="FM30" s="4"/>
      <c r="FN30" s="4"/>
      <c r="FO30" s="4"/>
      <c r="FP30" s="155"/>
      <c r="FQ30" s="4"/>
      <c r="FR30" s="4"/>
      <c r="FS30" s="4"/>
      <c r="FT30" s="4"/>
      <c r="FU30" s="4">
        <v>1892.31</v>
      </c>
      <c r="FV30" s="4">
        <v>127213.74</v>
      </c>
      <c r="FW30" s="4"/>
      <c r="FX30" s="4"/>
      <c r="FY30" s="4"/>
      <c r="FZ30" s="189">
        <v>1985.1</v>
      </c>
      <c r="GA30" s="4"/>
      <c r="GB30" s="4"/>
      <c r="GC30" s="4"/>
      <c r="GD30" s="4"/>
      <c r="GE30" s="4"/>
      <c r="GF30" s="4"/>
      <c r="GG30" s="4"/>
      <c r="GH30" s="4">
        <v>2055.1</v>
      </c>
      <c r="GI30" s="4"/>
      <c r="GJ30" s="4"/>
      <c r="GK30" s="4"/>
      <c r="GL30" s="155"/>
      <c r="GM30" s="4"/>
      <c r="GN30" s="4"/>
      <c r="GO30" s="4"/>
      <c r="GP30" s="4"/>
      <c r="GQ30" s="4"/>
      <c r="GR30" s="4">
        <v>128815.84</v>
      </c>
      <c r="GS30" s="4"/>
      <c r="GT30" s="4"/>
      <c r="GU30" s="123"/>
      <c r="GV30" s="4"/>
      <c r="GW30" s="4"/>
      <c r="GX30" s="4"/>
      <c r="GY30" s="4"/>
      <c r="GZ30" s="4"/>
      <c r="HA30" s="4">
        <v>1685.1</v>
      </c>
      <c r="HB30" s="4"/>
      <c r="HC30" s="4"/>
      <c r="HD30" s="155"/>
      <c r="HE30" s="4"/>
      <c r="HF30" s="4"/>
      <c r="HG30" s="4"/>
      <c r="HH30" s="4"/>
      <c r="HI30" s="4">
        <v>120771.77</v>
      </c>
      <c r="HJ30" s="4"/>
      <c r="HK30" s="4">
        <v>1669.79</v>
      </c>
      <c r="HL30" s="4"/>
      <c r="HM30" s="4"/>
      <c r="HN30" s="130"/>
      <c r="HO30" s="74"/>
      <c r="HP30" s="4"/>
      <c r="HQ30" s="4"/>
      <c r="HR30" s="4"/>
      <c r="HS30" s="4">
        <v>1644.54</v>
      </c>
      <c r="HT30" s="4"/>
      <c r="HU30" s="4"/>
      <c r="HV30" s="4"/>
      <c r="HW30" s="4"/>
      <c r="HX30" s="4"/>
      <c r="HY30" s="4"/>
      <c r="HZ30" s="155"/>
      <c r="IA30" s="4"/>
      <c r="IB30" s="4"/>
      <c r="IC30" s="4"/>
      <c r="ID30" s="4"/>
      <c r="IE30" s="4">
        <f>115319.93+1644.11</f>
        <v>116964.04</v>
      </c>
      <c r="IF30" s="4"/>
      <c r="IG30" s="4"/>
      <c r="IH30" s="102"/>
      <c r="II30" s="4"/>
      <c r="IJ30" s="4"/>
      <c r="IK30" s="4"/>
      <c r="IL30" s="4"/>
      <c r="IM30" s="4"/>
      <c r="IN30" s="4">
        <v>1296.24</v>
      </c>
      <c r="IO30" s="4"/>
      <c r="IP30" s="4"/>
      <c r="IQ30" s="4"/>
      <c r="IR30" s="4"/>
      <c r="IS30" s="4"/>
      <c r="IT30" s="155"/>
      <c r="IU30" s="4">
        <f t="shared" si="9"/>
        <v>1731989.4900000002</v>
      </c>
    </row>
    <row r="31" spans="1:255" ht="14.1" customHeight="1">
      <c r="A31" s="4" t="s">
        <v>48</v>
      </c>
      <c r="B31" s="12"/>
      <c r="C31" s="155"/>
      <c r="D31" s="4"/>
      <c r="E31" s="4"/>
      <c r="F31" s="4"/>
      <c r="G31" s="4">
        <v>14080935.539999999</v>
      </c>
      <c r="H31" s="4"/>
      <c r="I31" s="4"/>
      <c r="J31" s="4"/>
      <c r="K31" s="4"/>
      <c r="L31" s="4"/>
      <c r="M31" s="4"/>
      <c r="N31" s="189"/>
      <c r="O31" s="4"/>
      <c r="P31" s="4"/>
      <c r="Q31" s="4"/>
      <c r="R31" s="4"/>
      <c r="S31" s="4"/>
      <c r="T31" s="4"/>
      <c r="U31" s="4"/>
      <c r="V31" s="4"/>
      <c r="W31" s="155"/>
      <c r="X31" s="4"/>
      <c r="Y31" s="4"/>
      <c r="Z31" s="4"/>
      <c r="AA31" s="4">
        <v>14165643.859999999</v>
      </c>
      <c r="AB31" s="4"/>
      <c r="AC31" s="4"/>
      <c r="AD31" s="4"/>
      <c r="AE31" s="4"/>
      <c r="AF31" s="189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155"/>
      <c r="AS31" s="4"/>
      <c r="AT31" s="4"/>
      <c r="AU31" s="4"/>
      <c r="AV31" s="189">
        <v>14046276.84</v>
      </c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155"/>
      <c r="BO31" s="4"/>
      <c r="BP31" s="4"/>
      <c r="BQ31" s="4"/>
      <c r="BR31" s="4">
        <v>14059442.060000001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155"/>
      <c r="CJ31" s="4"/>
      <c r="CK31" s="4"/>
      <c r="CL31" s="4"/>
      <c r="CM31" s="4"/>
      <c r="CN31" s="4">
        <v>14273803.99</v>
      </c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155"/>
      <c r="DE31" s="87">
        <v>7828121.7000000002</v>
      </c>
      <c r="DF31" s="4"/>
      <c r="DG31" s="4">
        <v>6846757.4900000002</v>
      </c>
      <c r="DH31" s="4"/>
      <c r="DI31" s="4"/>
      <c r="DJ31" s="4"/>
      <c r="DK31" s="4"/>
      <c r="DL31" s="4"/>
      <c r="DM31" s="4"/>
      <c r="DN31" s="4"/>
      <c r="DO31" s="4">
        <v>2070.25</v>
      </c>
      <c r="DP31" s="4"/>
      <c r="DQ31" s="4"/>
      <c r="DR31" s="87"/>
      <c r="DS31" s="4"/>
      <c r="DT31" s="4"/>
      <c r="DU31" s="4"/>
      <c r="DV31" s="4"/>
      <c r="DW31" s="4"/>
      <c r="DX31" s="4"/>
      <c r="DY31" s="4"/>
      <c r="DZ31" s="155"/>
      <c r="EA31" s="4"/>
      <c r="EB31" s="4"/>
      <c r="EC31" s="4">
        <v>5603735.71</v>
      </c>
      <c r="ED31" s="4">
        <v>14405307.76</v>
      </c>
      <c r="EE31" s="4"/>
      <c r="EF31" s="4">
        <v>8348.7900000000009</v>
      </c>
      <c r="EG31" s="32"/>
      <c r="EH31" s="4"/>
      <c r="EI31" s="4"/>
      <c r="EJ31" s="4"/>
      <c r="EK31" s="74"/>
      <c r="EL31" s="4">
        <v>2500000</v>
      </c>
      <c r="EM31" s="4"/>
      <c r="EN31" s="4"/>
      <c r="EO31" s="4"/>
      <c r="EP31" s="4"/>
      <c r="EQ31" s="4"/>
      <c r="ER31" s="4"/>
      <c r="ES31" s="4"/>
      <c r="ET31" s="4"/>
      <c r="EU31" s="155"/>
      <c r="EV31" s="4"/>
      <c r="EW31" s="4"/>
      <c r="EX31" s="4"/>
      <c r="EY31" s="4">
        <v>11962199.52</v>
      </c>
      <c r="EZ31" s="4"/>
      <c r="FA31" s="4"/>
      <c r="FB31" s="4"/>
      <c r="FC31" s="4"/>
      <c r="FD31" s="4"/>
      <c r="FE31" s="189"/>
      <c r="FF31" s="4"/>
      <c r="FG31" s="4"/>
      <c r="FH31" s="4"/>
      <c r="FI31" s="189"/>
      <c r="FJ31" s="4"/>
      <c r="FK31" s="4"/>
      <c r="FL31" s="74"/>
      <c r="FM31" s="4"/>
      <c r="FN31" s="4"/>
      <c r="FO31" s="4"/>
      <c r="FP31" s="155"/>
      <c r="FQ31" s="4"/>
      <c r="FR31" s="4"/>
      <c r="FS31" s="4"/>
      <c r="FT31" s="4">
        <v>14062252.43</v>
      </c>
      <c r="FU31" s="4"/>
      <c r="FV31" s="4"/>
      <c r="FW31" s="4"/>
      <c r="FX31" s="4"/>
      <c r="FY31" s="4"/>
      <c r="FZ31" s="189"/>
      <c r="GA31" s="4"/>
      <c r="GB31" s="4"/>
      <c r="GC31" s="4">
        <v>2834.73</v>
      </c>
      <c r="GD31" s="4"/>
      <c r="GE31" s="4"/>
      <c r="GF31" s="4"/>
      <c r="GG31" s="4"/>
      <c r="GH31" s="4"/>
      <c r="GI31" s="4"/>
      <c r="GJ31" s="4"/>
      <c r="GK31" s="4"/>
      <c r="GL31" s="155"/>
      <c r="GM31" s="4"/>
      <c r="GN31" s="4"/>
      <c r="GO31" s="4"/>
      <c r="GP31" s="4">
        <v>14573912.390000001</v>
      </c>
      <c r="GQ31" s="4"/>
      <c r="GR31" s="4"/>
      <c r="GS31" s="4"/>
      <c r="GT31" s="4"/>
      <c r="GU31" s="123"/>
      <c r="GV31" s="4">
        <v>10699.42</v>
      </c>
      <c r="GW31" s="4"/>
      <c r="GX31" s="4"/>
      <c r="GY31" s="4"/>
      <c r="GZ31" s="4"/>
      <c r="HA31" s="4"/>
      <c r="HB31" s="4"/>
      <c r="HC31" s="4"/>
      <c r="HD31" s="155">
        <v>236456.75</v>
      </c>
      <c r="HE31" s="4"/>
      <c r="HF31" s="4"/>
      <c r="HG31" s="4"/>
      <c r="HH31" s="4"/>
      <c r="HI31" s="4">
        <v>15202803.970000001</v>
      </c>
      <c r="HJ31" s="4"/>
      <c r="HK31" s="4"/>
      <c r="HL31" s="4"/>
      <c r="HM31" s="4"/>
      <c r="HN31" s="130"/>
      <c r="HO31" s="74"/>
      <c r="HP31" s="4"/>
      <c r="HQ31" s="4"/>
      <c r="HR31" s="4"/>
      <c r="HS31" s="4"/>
      <c r="HT31" s="4">
        <v>8465013</v>
      </c>
      <c r="HU31" s="4"/>
      <c r="HV31" s="4"/>
      <c r="HW31" s="4"/>
      <c r="HX31" s="4"/>
      <c r="HY31" s="4"/>
      <c r="HZ31" s="155"/>
      <c r="IA31" s="4"/>
      <c r="IB31" s="4"/>
      <c r="IC31" s="4">
        <v>14373003.359999999</v>
      </c>
      <c r="ID31" s="4"/>
      <c r="IE31" s="4"/>
      <c r="IF31" s="4"/>
      <c r="IG31" s="4"/>
      <c r="IH31" s="102"/>
      <c r="II31" s="4"/>
      <c r="IJ31" s="4"/>
      <c r="IK31" s="4">
        <v>13707.73</v>
      </c>
      <c r="IL31" s="4"/>
      <c r="IM31" s="4"/>
      <c r="IN31" s="4"/>
      <c r="IO31" s="4"/>
      <c r="IP31" s="4"/>
      <c r="IQ31" s="4"/>
      <c r="IR31" s="4"/>
      <c r="IS31" s="4"/>
      <c r="IT31" s="155"/>
      <c r="IU31" s="4">
        <f t="shared" si="9"/>
        <v>186723327.28999999</v>
      </c>
    </row>
    <row r="32" spans="1:255" ht="14.1" customHeight="1">
      <c r="A32" s="4" t="s">
        <v>27</v>
      </c>
      <c r="B32" s="12"/>
      <c r="C32" s="155"/>
      <c r="D32" s="4"/>
      <c r="E32" s="4"/>
      <c r="F32" s="4"/>
      <c r="G32" s="4"/>
      <c r="H32" s="4">
        <v>320.35000000000002</v>
      </c>
      <c r="I32" s="4">
        <v>120203.64</v>
      </c>
      <c r="J32" s="4"/>
      <c r="K32" s="4">
        <v>280</v>
      </c>
      <c r="L32" s="4"/>
      <c r="M32" s="4"/>
      <c r="N32" s="189">
        <v>1716403.25</v>
      </c>
      <c r="O32" s="4"/>
      <c r="P32" s="4"/>
      <c r="Q32" s="4"/>
      <c r="R32" s="4">
        <f>116243.83+978.24</f>
        <v>117222.07</v>
      </c>
      <c r="S32" s="4"/>
      <c r="T32" s="4"/>
      <c r="U32" s="4"/>
      <c r="V32" s="4"/>
      <c r="W32" s="155"/>
      <c r="X32" s="4"/>
      <c r="Y32" s="4"/>
      <c r="Z32" s="4"/>
      <c r="AA32" s="4"/>
      <c r="AB32" s="4">
        <v>116623.31</v>
      </c>
      <c r="AC32" s="4"/>
      <c r="AD32" s="4"/>
      <c r="AE32" s="4"/>
      <c r="AF32" s="189">
        <v>1708338.5</v>
      </c>
      <c r="AG32" s="4"/>
      <c r="AH32" s="4"/>
      <c r="AI32" s="4">
        <v>150</v>
      </c>
      <c r="AJ32" s="4"/>
      <c r="AK32" s="4"/>
      <c r="AL32" s="4">
        <f>115920.73+130</f>
        <v>116050.73</v>
      </c>
      <c r="AM32" s="4"/>
      <c r="AN32" s="4"/>
      <c r="AO32" s="4"/>
      <c r="AP32" s="4"/>
      <c r="AQ32" s="4"/>
      <c r="AR32" s="155"/>
      <c r="AS32" s="4"/>
      <c r="AT32" s="4">
        <v>529.28</v>
      </c>
      <c r="AU32" s="4"/>
      <c r="AV32" s="189">
        <v>116954.86</v>
      </c>
      <c r="AW32" s="4"/>
      <c r="AX32" s="4"/>
      <c r="AY32" s="4"/>
      <c r="AZ32" s="4"/>
      <c r="BA32" s="4"/>
      <c r="BB32" s="4"/>
      <c r="BC32" s="4">
        <v>1710424.05</v>
      </c>
      <c r="BD32" s="4"/>
      <c r="BE32" s="4"/>
      <c r="BF32" s="4">
        <f>116379.86+400</f>
        <v>116779.86</v>
      </c>
      <c r="BG32" s="4"/>
      <c r="BH32" s="4"/>
      <c r="BI32" s="4"/>
      <c r="BJ32" s="4"/>
      <c r="BK32" s="4"/>
      <c r="BL32" s="4"/>
      <c r="BM32" s="4"/>
      <c r="BN32" s="155"/>
      <c r="BO32" s="4"/>
      <c r="BP32" s="4">
        <v>116196.27</v>
      </c>
      <c r="BQ32" s="4"/>
      <c r="BR32" s="4"/>
      <c r="BS32" s="4"/>
      <c r="BT32" s="4"/>
      <c r="BU32" s="4"/>
      <c r="BV32" s="4"/>
      <c r="BW32" s="4"/>
      <c r="BX32" s="4"/>
      <c r="BY32" s="4">
        <v>1701377.5</v>
      </c>
      <c r="BZ32" s="4">
        <v>117085.8</v>
      </c>
      <c r="CA32" s="4"/>
      <c r="CB32" s="4"/>
      <c r="CC32" s="4"/>
      <c r="CD32" s="4">
        <v>475</v>
      </c>
      <c r="CE32" s="4"/>
      <c r="CF32" s="4"/>
      <c r="CG32" s="4"/>
      <c r="CH32" s="4"/>
      <c r="CI32" s="155"/>
      <c r="CJ32" s="4"/>
      <c r="CK32" s="4"/>
      <c r="CL32" s="4"/>
      <c r="CM32" s="4"/>
      <c r="CN32" s="4"/>
      <c r="CO32" s="4"/>
      <c r="CP32" s="4"/>
      <c r="CQ32" s="4"/>
      <c r="CR32" s="4"/>
      <c r="CS32" s="4">
        <f>1809356.86+776.93</f>
        <v>1810133.79</v>
      </c>
      <c r="CT32" s="4"/>
      <c r="CU32" s="4">
        <v>3099.24</v>
      </c>
      <c r="CV32" s="4"/>
      <c r="CW32" s="4">
        <v>148.56</v>
      </c>
      <c r="CX32" s="4"/>
      <c r="CY32" s="4"/>
      <c r="CZ32" s="4"/>
      <c r="DA32" s="4"/>
      <c r="DB32" s="4"/>
      <c r="DC32" s="4">
        <v>100439.98</v>
      </c>
      <c r="DD32" s="155"/>
      <c r="DE32" s="87"/>
      <c r="DF32" s="4"/>
      <c r="DG32" s="4"/>
      <c r="DH32" s="4"/>
      <c r="DI32" s="4"/>
      <c r="DJ32" s="4"/>
      <c r="DK32" s="4"/>
      <c r="DL32" s="4">
        <v>98450.17</v>
      </c>
      <c r="DM32" s="4"/>
      <c r="DN32" s="4">
        <f>1704688.21+5034.86</f>
        <v>1709723.07</v>
      </c>
      <c r="DO32" s="4">
        <v>175</v>
      </c>
      <c r="DP32" s="4">
        <v>400</v>
      </c>
      <c r="DQ32" s="4"/>
      <c r="DR32" s="87"/>
      <c r="DS32" s="4"/>
      <c r="DT32" s="4"/>
      <c r="DU32" s="4"/>
      <c r="DV32" s="4">
        <v>96390.75</v>
      </c>
      <c r="DW32" s="4"/>
      <c r="DX32" s="4"/>
      <c r="DY32" s="4"/>
      <c r="DZ32" s="155"/>
      <c r="EA32" s="4"/>
      <c r="EB32" s="4"/>
      <c r="EC32" s="4"/>
      <c r="ED32" s="4"/>
      <c r="EE32" s="4"/>
      <c r="EF32" s="4">
        <v>95455.679999999993</v>
      </c>
      <c r="EG32" s="32"/>
      <c r="EH32" s="4">
        <v>146.74</v>
      </c>
      <c r="EI32" s="4"/>
      <c r="EJ32" s="4">
        <v>291</v>
      </c>
      <c r="EK32" s="74">
        <v>1702030.79</v>
      </c>
      <c r="EL32" s="4"/>
      <c r="EM32" s="4"/>
      <c r="EN32" s="4"/>
      <c r="EO32" s="4"/>
      <c r="EP32" s="4">
        <v>96510.720000000001</v>
      </c>
      <c r="EQ32" s="4"/>
      <c r="ER32" s="4"/>
      <c r="ES32" s="4"/>
      <c r="ET32" s="4"/>
      <c r="EU32" s="155"/>
      <c r="EV32" s="4"/>
      <c r="EW32" s="4"/>
      <c r="EX32" s="4"/>
      <c r="EY32" s="4">
        <f>112612.06+3103.96+449.09</f>
        <v>116165.11</v>
      </c>
      <c r="EZ32" s="4"/>
      <c r="FA32" s="4"/>
      <c r="FB32" s="4">
        <v>1117</v>
      </c>
      <c r="FC32" s="4"/>
      <c r="FD32" s="4"/>
      <c r="FE32" s="189">
        <v>1603131.91</v>
      </c>
      <c r="FF32" s="4">
        <v>1649.32</v>
      </c>
      <c r="FG32" s="4"/>
      <c r="FH32" s="4"/>
      <c r="FI32" s="189">
        <v>111247.88</v>
      </c>
      <c r="FJ32" s="4"/>
      <c r="FK32" s="4">
        <f>1678.51+432.53</f>
        <v>2111.04</v>
      </c>
      <c r="FL32" s="74"/>
      <c r="FM32" s="4">
        <v>661.96</v>
      </c>
      <c r="FN32" s="4"/>
      <c r="FO32" s="4"/>
      <c r="FP32" s="155"/>
      <c r="FQ32" s="4"/>
      <c r="FR32" s="4"/>
      <c r="FS32" s="4">
        <v>113034.14</v>
      </c>
      <c r="FT32" s="4"/>
      <c r="FU32" s="4">
        <v>225</v>
      </c>
      <c r="FV32" s="4"/>
      <c r="FW32" s="4"/>
      <c r="FX32" s="4"/>
      <c r="FY32" s="4">
        <v>1605210.76</v>
      </c>
      <c r="FZ32" s="189">
        <v>600</v>
      </c>
      <c r="GA32" s="4"/>
      <c r="GB32" s="4">
        <f>1286.68+113971.43+861.96</f>
        <v>116120.06999999999</v>
      </c>
      <c r="GC32" s="4"/>
      <c r="GD32" s="4"/>
      <c r="GE32" s="4">
        <v>50</v>
      </c>
      <c r="GF32" s="4"/>
      <c r="GG32" s="4"/>
      <c r="GH32" s="4"/>
      <c r="GI32" s="4"/>
      <c r="GJ32" s="4"/>
      <c r="GK32" s="4">
        <v>291.20999999999998</v>
      </c>
      <c r="GL32" s="155"/>
      <c r="GM32" s="4"/>
      <c r="GN32" s="4"/>
      <c r="GO32" s="4"/>
      <c r="GP32" s="4"/>
      <c r="GQ32" s="4"/>
      <c r="GR32" s="4"/>
      <c r="GS32" s="4"/>
      <c r="GT32" s="4"/>
      <c r="GU32" s="123">
        <v>1707074.11</v>
      </c>
      <c r="GV32" s="4"/>
      <c r="GW32" s="4"/>
      <c r="GX32" s="4">
        <v>100</v>
      </c>
      <c r="GY32" s="4"/>
      <c r="GZ32" s="4"/>
      <c r="HA32" s="4"/>
      <c r="HB32" s="4"/>
      <c r="HC32" s="4">
        <v>112883.01</v>
      </c>
      <c r="HD32" s="155"/>
      <c r="HE32" s="4">
        <v>130</v>
      </c>
      <c r="HF32" s="4"/>
      <c r="HG32" s="4"/>
      <c r="HH32" s="4"/>
      <c r="HI32" s="4"/>
      <c r="HJ32" s="4"/>
      <c r="HK32" s="4"/>
      <c r="HL32" s="4"/>
      <c r="HM32" s="4">
        <v>425</v>
      </c>
      <c r="HN32" s="130">
        <v>109522.99</v>
      </c>
      <c r="HO32" s="74">
        <v>1595397.52</v>
      </c>
      <c r="HP32" s="4">
        <v>1924.82</v>
      </c>
      <c r="HQ32" s="4"/>
      <c r="HR32" s="4"/>
      <c r="HS32" s="4">
        <v>2205</v>
      </c>
      <c r="HT32" s="4"/>
      <c r="HU32" s="4">
        <v>112888.01</v>
      </c>
      <c r="HV32" s="4"/>
      <c r="HW32" s="4"/>
      <c r="HX32" s="4"/>
      <c r="HY32" s="4"/>
      <c r="HZ32" s="155"/>
      <c r="IA32" s="4"/>
      <c r="IB32" s="4"/>
      <c r="IC32" s="4"/>
      <c r="ID32" s="4"/>
      <c r="IE32" s="4"/>
      <c r="IF32" s="4">
        <v>93029.51</v>
      </c>
      <c r="IG32" s="4"/>
      <c r="IH32" s="102">
        <f>130+155</f>
        <v>285</v>
      </c>
      <c r="II32" s="4"/>
      <c r="IJ32" s="4">
        <v>1591665.95</v>
      </c>
      <c r="IK32" s="4"/>
      <c r="IL32" s="4"/>
      <c r="IM32" s="4"/>
      <c r="IN32" s="4"/>
      <c r="IO32" s="4">
        <f>111095.15+1854.89</f>
        <v>112950.04</v>
      </c>
      <c r="IP32" s="4"/>
      <c r="IQ32" s="4"/>
      <c r="IR32" s="4"/>
      <c r="IS32" s="4"/>
      <c r="IT32" s="155"/>
      <c r="IU32" s="4">
        <f t="shared" si="9"/>
        <v>22600906.320000008</v>
      </c>
    </row>
    <row r="33" spans="1:256" s="8" customFormat="1" ht="14.1" customHeight="1">
      <c r="A33" s="4" t="s">
        <v>78</v>
      </c>
      <c r="B33" s="12"/>
      <c r="C33" s="155"/>
      <c r="D33" s="4"/>
      <c r="E33" s="4"/>
      <c r="F33" s="4"/>
      <c r="G33" s="4"/>
      <c r="H33" s="4"/>
      <c r="I33" s="4"/>
      <c r="J33" s="4"/>
      <c r="K33" s="4"/>
      <c r="L33" s="4"/>
      <c r="M33" s="4">
        <v>5600</v>
      </c>
      <c r="N33" s="189"/>
      <c r="O33" s="4"/>
      <c r="P33" s="4"/>
      <c r="Q33" s="4"/>
      <c r="R33" s="4"/>
      <c r="S33" s="4"/>
      <c r="T33" s="4"/>
      <c r="U33" s="4"/>
      <c r="V33" s="4"/>
      <c r="W33" s="155">
        <f>604162.01+604188.92</f>
        <v>1208350.9300000002</v>
      </c>
      <c r="X33" s="4"/>
      <c r="Y33" s="4"/>
      <c r="Z33" s="4"/>
      <c r="AA33" s="4"/>
      <c r="AB33" s="4"/>
      <c r="AC33" s="4"/>
      <c r="AD33" s="4"/>
      <c r="AE33" s="4"/>
      <c r="AF33" s="189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155"/>
      <c r="AS33" s="4"/>
      <c r="AT33" s="4"/>
      <c r="AU33" s="4"/>
      <c r="AV33" s="189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155">
        <v>344321</v>
      </c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155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155"/>
      <c r="DE33" s="87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87"/>
      <c r="DS33" s="4"/>
      <c r="DT33" s="4"/>
      <c r="DU33" s="4"/>
      <c r="DV33" s="4"/>
      <c r="DW33" s="4"/>
      <c r="DX33" s="4"/>
      <c r="DY33" s="4"/>
      <c r="DZ33" s="155"/>
      <c r="EA33" s="4"/>
      <c r="EB33" s="4"/>
      <c r="EC33" s="4"/>
      <c r="ED33" s="4"/>
      <c r="EE33" s="4"/>
      <c r="EF33" s="4"/>
      <c r="EG33" s="32"/>
      <c r="EH33" s="4"/>
      <c r="EI33" s="4"/>
      <c r="EJ33" s="4">
        <v>5600</v>
      </c>
      <c r="EK33" s="74"/>
      <c r="EL33" s="4"/>
      <c r="EM33" s="4"/>
      <c r="EN33" s="4"/>
      <c r="EO33" s="4"/>
      <c r="EP33" s="4"/>
      <c r="EQ33" s="4"/>
      <c r="ER33" s="4"/>
      <c r="ES33" s="4"/>
      <c r="ET33" s="4"/>
      <c r="EU33" s="155"/>
      <c r="EV33" s="4"/>
      <c r="EW33" s="4"/>
      <c r="EX33" s="4"/>
      <c r="EY33" s="4"/>
      <c r="EZ33" s="4"/>
      <c r="FA33" s="4"/>
      <c r="FB33" s="4"/>
      <c r="FC33" s="4"/>
      <c r="FD33" s="4"/>
      <c r="FE33" s="189"/>
      <c r="FF33" s="4"/>
      <c r="FG33" s="4"/>
      <c r="FH33" s="4"/>
      <c r="FI33" s="189"/>
      <c r="FJ33" s="4"/>
      <c r="FK33" s="4"/>
      <c r="FL33" s="74"/>
      <c r="FM33" s="4"/>
      <c r="FN33" s="4"/>
      <c r="FO33" s="4"/>
      <c r="FP33" s="155"/>
      <c r="FQ33" s="4"/>
      <c r="FR33" s="4"/>
      <c r="FS33" s="4"/>
      <c r="FT33" s="4"/>
      <c r="FU33" s="4"/>
      <c r="FV33" s="4"/>
      <c r="FW33" s="4"/>
      <c r="FX33" s="4"/>
      <c r="FY33" s="4"/>
      <c r="FZ33" s="189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155"/>
      <c r="GM33" s="4"/>
      <c r="GN33" s="4"/>
      <c r="GO33" s="4"/>
      <c r="GP33" s="4"/>
      <c r="GQ33" s="4"/>
      <c r="GR33" s="4"/>
      <c r="GS33" s="4"/>
      <c r="GT33" s="4"/>
      <c r="GU33" s="123"/>
      <c r="GV33" s="4"/>
      <c r="GW33" s="4"/>
      <c r="GX33" s="4"/>
      <c r="GY33" s="4"/>
      <c r="GZ33" s="4"/>
      <c r="HA33" s="4"/>
      <c r="HB33" s="4"/>
      <c r="HC33" s="4"/>
      <c r="HD33" s="155"/>
      <c r="HE33" s="4"/>
      <c r="HF33" s="4"/>
      <c r="HG33" s="4"/>
      <c r="HH33" s="4"/>
      <c r="HI33" s="4"/>
      <c r="HJ33" s="4"/>
      <c r="HK33" s="4"/>
      <c r="HL33" s="4"/>
      <c r="HM33" s="4"/>
      <c r="HN33" s="130"/>
      <c r="HO33" s="7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155"/>
      <c r="IA33" s="4"/>
      <c r="IB33" s="4"/>
      <c r="IC33" s="4"/>
      <c r="ID33" s="4"/>
      <c r="IE33" s="4"/>
      <c r="IF33" s="4"/>
      <c r="IG33" s="4"/>
      <c r="IH33" s="102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155"/>
      <c r="IU33" s="4">
        <f t="shared" si="9"/>
        <v>1563871.9300000002</v>
      </c>
    </row>
    <row r="34" spans="1:256" ht="14.1" customHeight="1">
      <c r="A34" s="4" t="s">
        <v>54</v>
      </c>
      <c r="B34" s="12"/>
      <c r="C34" s="155"/>
      <c r="D34" s="4"/>
      <c r="E34" s="4"/>
      <c r="F34" s="4"/>
      <c r="G34" s="4"/>
      <c r="H34" s="4"/>
      <c r="I34" s="4"/>
      <c r="J34" s="4"/>
      <c r="K34" s="4"/>
      <c r="L34" s="4">
        <v>8809.43</v>
      </c>
      <c r="M34" s="4"/>
      <c r="N34" s="189"/>
      <c r="O34" s="4"/>
      <c r="P34" s="4"/>
      <c r="Q34" s="4"/>
      <c r="R34" s="4"/>
      <c r="S34" s="4"/>
      <c r="T34" s="4"/>
      <c r="U34" s="4"/>
      <c r="V34" s="4"/>
      <c r="W34" s="155"/>
      <c r="X34" s="4"/>
      <c r="Y34" s="4"/>
      <c r="Z34" s="4"/>
      <c r="AA34" s="4"/>
      <c r="AB34" s="4"/>
      <c r="AC34" s="4"/>
      <c r="AD34" s="4"/>
      <c r="AE34" s="4"/>
      <c r="AF34" s="189">
        <v>4826.68</v>
      </c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155"/>
      <c r="AS34" s="4"/>
      <c r="AT34" s="4"/>
      <c r="AU34" s="4"/>
      <c r="AV34" s="189"/>
      <c r="AW34" s="4"/>
      <c r="AX34" s="4"/>
      <c r="AY34" s="4"/>
      <c r="AZ34" s="4"/>
      <c r="BA34" s="4"/>
      <c r="BB34" s="4"/>
      <c r="BC34" s="4"/>
      <c r="BD34" s="4"/>
      <c r="BE34" s="4">
        <v>3656.58</v>
      </c>
      <c r="BF34" s="4"/>
      <c r="BG34" s="4"/>
      <c r="BH34" s="4"/>
      <c r="BI34" s="4"/>
      <c r="BJ34" s="4"/>
      <c r="BK34" s="4"/>
      <c r="BL34" s="4"/>
      <c r="BM34" s="4"/>
      <c r="BN34" s="155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>
        <v>3008.81</v>
      </c>
      <c r="CI34" s="155"/>
      <c r="CJ34" s="4"/>
      <c r="CK34" s="4"/>
      <c r="CL34" s="4"/>
      <c r="CM34" s="4"/>
      <c r="CN34" s="4"/>
      <c r="CO34" s="4"/>
      <c r="CP34" s="4"/>
      <c r="CQ34" s="4"/>
      <c r="CR34" s="4">
        <v>4592.2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155"/>
      <c r="DE34" s="87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87">
        <v>1906.82</v>
      </c>
      <c r="DS34" s="4"/>
      <c r="DT34" s="4"/>
      <c r="DU34" s="4"/>
      <c r="DV34" s="4"/>
      <c r="DW34" s="4"/>
      <c r="DX34" s="4"/>
      <c r="DY34" s="4"/>
      <c r="DZ34" s="155"/>
      <c r="EA34" s="4"/>
      <c r="EB34" s="4"/>
      <c r="EC34" s="4"/>
      <c r="ED34" s="4"/>
      <c r="EE34" s="4"/>
      <c r="EF34" s="4"/>
      <c r="EG34" s="32"/>
      <c r="EH34" s="4"/>
      <c r="EI34" s="4"/>
      <c r="EJ34" s="4"/>
      <c r="EK34" s="74"/>
      <c r="EL34" s="4">
        <v>12635.76</v>
      </c>
      <c r="EM34" s="4"/>
      <c r="EN34" s="4"/>
      <c r="EO34" s="4"/>
      <c r="EP34" s="4"/>
      <c r="EQ34" s="4"/>
      <c r="ER34" s="4"/>
      <c r="ES34" s="4"/>
      <c r="ET34" s="4"/>
      <c r="EU34" s="155"/>
      <c r="EV34" s="4"/>
      <c r="EW34" s="4"/>
      <c r="EX34" s="4"/>
      <c r="EY34" s="4"/>
      <c r="EZ34" s="4"/>
      <c r="FA34" s="4"/>
      <c r="FB34" s="4"/>
      <c r="FC34" s="4"/>
      <c r="FD34" s="4"/>
      <c r="FE34" s="189"/>
      <c r="FF34" s="4">
        <v>16158.5</v>
      </c>
      <c r="FG34" s="4"/>
      <c r="FH34" s="4"/>
      <c r="FI34" s="189"/>
      <c r="FJ34" s="4"/>
      <c r="FK34" s="4"/>
      <c r="FL34" s="74"/>
      <c r="FM34" s="4"/>
      <c r="FN34" s="4"/>
      <c r="FO34" s="4"/>
      <c r="FP34" s="155"/>
      <c r="FQ34" s="4"/>
      <c r="FR34" s="4"/>
      <c r="FS34" s="4"/>
      <c r="FT34" s="4"/>
      <c r="FU34" s="4"/>
      <c r="FV34" s="4"/>
      <c r="FW34" s="4"/>
      <c r="FX34" s="4"/>
      <c r="FY34" s="4"/>
      <c r="FZ34" s="189"/>
      <c r="GA34" s="4"/>
      <c r="GB34" s="4"/>
      <c r="GC34" s="4"/>
      <c r="GD34" s="4"/>
      <c r="GE34" s="4"/>
      <c r="GF34" s="4"/>
      <c r="GG34" s="4"/>
      <c r="GH34" s="4"/>
      <c r="GI34" s="4"/>
      <c r="GJ34" s="4">
        <v>3714.56</v>
      </c>
      <c r="GK34" s="4"/>
      <c r="GL34" s="155"/>
      <c r="GM34" s="4"/>
      <c r="GN34" s="4"/>
      <c r="GO34" s="4"/>
      <c r="GP34" s="4"/>
      <c r="GQ34" s="4"/>
      <c r="GR34" s="4"/>
      <c r="GS34" s="4"/>
      <c r="GT34" s="4"/>
      <c r="GU34" s="123"/>
      <c r="GV34" s="4"/>
      <c r="GW34" s="4"/>
      <c r="GX34" s="4"/>
      <c r="GY34" s="4"/>
      <c r="GZ34" s="4"/>
      <c r="HA34" s="4"/>
      <c r="HB34" s="4"/>
      <c r="HC34" s="4"/>
      <c r="HD34" s="155"/>
      <c r="HE34" s="4"/>
      <c r="HF34" s="4"/>
      <c r="HG34" s="4"/>
      <c r="HH34" s="4"/>
      <c r="HI34" s="4"/>
      <c r="HJ34" s="4"/>
      <c r="HK34" s="4"/>
      <c r="HL34" s="4"/>
      <c r="HM34" s="4"/>
      <c r="HN34" s="130"/>
      <c r="HO34" s="74"/>
      <c r="HP34" s="4"/>
      <c r="HQ34" s="4"/>
      <c r="HR34" s="4">
        <v>10390.64</v>
      </c>
      <c r="HS34" s="4"/>
      <c r="HT34" s="4"/>
      <c r="HU34" s="4"/>
      <c r="HV34" s="4"/>
      <c r="HW34" s="4"/>
      <c r="HX34" s="4"/>
      <c r="HY34" s="4"/>
      <c r="HZ34" s="155"/>
      <c r="IA34" s="4"/>
      <c r="IB34" s="4"/>
      <c r="IC34" s="4"/>
      <c r="ID34" s="4"/>
      <c r="IE34" s="4"/>
      <c r="IF34" s="4">
        <v>30000</v>
      </c>
      <c r="IG34" s="4"/>
      <c r="IH34" s="102"/>
      <c r="II34" s="4"/>
      <c r="IJ34" s="4"/>
      <c r="IK34" s="4"/>
      <c r="IL34" s="4">
        <v>1001.98</v>
      </c>
      <c r="IM34" s="4"/>
      <c r="IN34" s="4"/>
      <c r="IO34" s="4"/>
      <c r="IP34" s="4"/>
      <c r="IQ34" s="4"/>
      <c r="IR34" s="4"/>
      <c r="IS34" s="4"/>
      <c r="IT34" s="155"/>
      <c r="IU34" s="4">
        <f t="shared" si="9"/>
        <v>100701.96</v>
      </c>
    </row>
    <row r="35" spans="1:256" ht="14.1" customHeight="1">
      <c r="A35" s="4" t="s">
        <v>10</v>
      </c>
      <c r="B35" s="12"/>
      <c r="C35" s="155"/>
      <c r="D35" s="4"/>
      <c r="E35" s="4">
        <v>1635.83</v>
      </c>
      <c r="F35" s="4"/>
      <c r="G35" s="4"/>
      <c r="H35" s="4"/>
      <c r="I35" s="4"/>
      <c r="J35" s="4">
        <v>395621.01</v>
      </c>
      <c r="K35" s="4"/>
      <c r="L35" s="4">
        <v>4743.74</v>
      </c>
      <c r="M35" s="4"/>
      <c r="N35" s="189">
        <v>9782836.5999999996</v>
      </c>
      <c r="O35" s="4"/>
      <c r="P35" s="4">
        <v>12181.75</v>
      </c>
      <c r="Q35" s="4"/>
      <c r="R35" s="4"/>
      <c r="S35" s="4">
        <f>444584.81+7267.67</f>
        <v>451852.48</v>
      </c>
      <c r="T35" s="4"/>
      <c r="U35" s="4">
        <v>13640.28</v>
      </c>
      <c r="V35" s="4"/>
      <c r="W35" s="155">
        <v>26040.67</v>
      </c>
      <c r="X35" s="4"/>
      <c r="Y35" s="4"/>
      <c r="Z35" s="4">
        <v>1106.69</v>
      </c>
      <c r="AA35" s="4"/>
      <c r="AB35" s="4"/>
      <c r="AC35" s="4">
        <v>453881.75</v>
      </c>
      <c r="AD35" s="4"/>
      <c r="AE35" s="4"/>
      <c r="AF35" s="189"/>
      <c r="AG35" s="4">
        <v>10054123.619999999</v>
      </c>
      <c r="AH35" s="4"/>
      <c r="AI35" s="4"/>
      <c r="AJ35" s="4">
        <v>2115.06</v>
      </c>
      <c r="AK35" s="4"/>
      <c r="AL35" s="4">
        <v>18753.740000000002</v>
      </c>
      <c r="AM35" s="4">
        <v>353391.19</v>
      </c>
      <c r="AN35" s="4"/>
      <c r="AO35" s="4">
        <v>5030.9399999999996</v>
      </c>
      <c r="AP35" s="4"/>
      <c r="AQ35" s="4">
        <v>18024.84</v>
      </c>
      <c r="AR35" s="155"/>
      <c r="AS35" s="4"/>
      <c r="AT35" s="4">
        <v>5889.62</v>
      </c>
      <c r="AU35" s="4"/>
      <c r="AV35" s="189">
        <v>383489.16</v>
      </c>
      <c r="AW35" s="4"/>
      <c r="AX35" s="4">
        <v>1747.54</v>
      </c>
      <c r="AY35" s="4">
        <v>1392.34</v>
      </c>
      <c r="AZ35" s="4"/>
      <c r="BA35" s="4"/>
      <c r="BB35" s="4"/>
      <c r="BC35" s="4"/>
      <c r="BD35" s="4">
        <f>9629753.46+3938.37</f>
        <v>9633691.8300000001</v>
      </c>
      <c r="BE35" s="4"/>
      <c r="BF35" s="4">
        <v>14900.45</v>
      </c>
      <c r="BG35" s="4">
        <v>462689.82</v>
      </c>
      <c r="BH35" s="4"/>
      <c r="BI35" s="4">
        <v>17015.52</v>
      </c>
      <c r="BJ35" s="4"/>
      <c r="BK35" s="4"/>
      <c r="BL35" s="4">
        <v>4310.49</v>
      </c>
      <c r="BM35" s="4"/>
      <c r="BN35" s="155">
        <f>533.59+5102.89</f>
        <v>5636.4800000000005</v>
      </c>
      <c r="BO35" s="4"/>
      <c r="BP35" s="4">
        <v>2997.61</v>
      </c>
      <c r="BQ35" s="4">
        <v>484126.41</v>
      </c>
      <c r="BR35" s="4"/>
      <c r="BS35" s="4"/>
      <c r="BT35" s="4"/>
      <c r="BU35" s="4">
        <v>6001.75</v>
      </c>
      <c r="BV35" s="4"/>
      <c r="BW35" s="4">
        <v>391.88</v>
      </c>
      <c r="BX35" s="4"/>
      <c r="BY35" s="4"/>
      <c r="BZ35" s="4">
        <v>10501667.369999999</v>
      </c>
      <c r="CA35" s="4">
        <v>471526.99</v>
      </c>
      <c r="CB35" s="4">
        <v>11043.21</v>
      </c>
      <c r="CC35" s="4"/>
      <c r="CD35" s="4">
        <f>3473.1+738.65</f>
        <v>4211.75</v>
      </c>
      <c r="CE35" s="4"/>
      <c r="CF35" s="4"/>
      <c r="CG35" s="4">
        <v>132.1</v>
      </c>
      <c r="CH35" s="4">
        <f>5651.33+2135.14</f>
        <v>7786.4699999999993</v>
      </c>
      <c r="CI35" s="155">
        <v>493119.1</v>
      </c>
      <c r="CJ35" s="4"/>
      <c r="CK35" s="4">
        <v>8963.59</v>
      </c>
      <c r="CL35" s="4"/>
      <c r="CM35" s="4"/>
      <c r="CN35" s="4">
        <v>563.48</v>
      </c>
      <c r="CO35" s="4"/>
      <c r="CP35" s="4"/>
      <c r="CQ35" s="4">
        <v>1825.18</v>
      </c>
      <c r="CR35" s="4"/>
      <c r="CS35" s="4">
        <v>9839.57</v>
      </c>
      <c r="CT35" s="4">
        <v>10157055.369999999</v>
      </c>
      <c r="CU35" s="4"/>
      <c r="CV35" s="4">
        <v>40427.040000000001</v>
      </c>
      <c r="CW35" s="4"/>
      <c r="CX35" s="4">
        <v>44712.98</v>
      </c>
      <c r="CY35" s="4"/>
      <c r="CZ35" s="4"/>
      <c r="DA35" s="4"/>
      <c r="DB35" s="4">
        <v>116130.46</v>
      </c>
      <c r="DC35" s="4"/>
      <c r="DD35" s="155">
        <v>286160.49</v>
      </c>
      <c r="DE35" s="87"/>
      <c r="DF35" s="4"/>
      <c r="DG35" s="4"/>
      <c r="DH35" s="4"/>
      <c r="DI35" s="4"/>
      <c r="DJ35" s="4"/>
      <c r="DK35" s="4"/>
      <c r="DL35" s="4"/>
      <c r="DM35" s="4">
        <v>274276.19</v>
      </c>
      <c r="DN35" s="4"/>
      <c r="DO35" s="4">
        <v>10938962.18</v>
      </c>
      <c r="DP35" s="4">
        <f>27342.67+5717.98</f>
        <v>33060.649999999994</v>
      </c>
      <c r="DQ35" s="4" t="s">
        <v>49</v>
      </c>
      <c r="DR35" s="87"/>
      <c r="DS35" s="4">
        <v>1155.8900000000001</v>
      </c>
      <c r="DT35" s="4"/>
      <c r="DU35" s="4"/>
      <c r="DV35" s="4">
        <v>9181.49</v>
      </c>
      <c r="DW35" s="4">
        <v>269564.51</v>
      </c>
      <c r="DX35" s="4">
        <v>755.42</v>
      </c>
      <c r="DY35" s="4">
        <v>8199.91</v>
      </c>
      <c r="DZ35" s="155"/>
      <c r="EA35" s="4"/>
      <c r="EB35" s="4">
        <v>300000</v>
      </c>
      <c r="EC35" s="4"/>
      <c r="ED35" s="4"/>
      <c r="EE35" s="4"/>
      <c r="EF35" s="4"/>
      <c r="EG35" s="32">
        <v>315113.43</v>
      </c>
      <c r="EH35" s="4"/>
      <c r="EI35" s="4">
        <v>1653.81</v>
      </c>
      <c r="EJ35" s="4"/>
      <c r="EK35" s="74"/>
      <c r="EL35" s="4">
        <v>9828062.4199999999</v>
      </c>
      <c r="EM35" s="4"/>
      <c r="EN35" s="4">
        <v>54484.68</v>
      </c>
      <c r="EO35" s="4"/>
      <c r="EP35" s="4"/>
      <c r="EQ35" s="4">
        <v>334666.40999999997</v>
      </c>
      <c r="ER35" s="4"/>
      <c r="ES35" s="4">
        <v>107415.13</v>
      </c>
      <c r="ET35" s="4"/>
      <c r="EU35" s="155">
        <v>18204.900000000001</v>
      </c>
      <c r="EV35" s="4"/>
      <c r="EW35" s="4"/>
      <c r="EX35" s="4"/>
      <c r="EY35" s="4"/>
      <c r="EZ35" s="4">
        <v>413821.72</v>
      </c>
      <c r="FA35" s="4"/>
      <c r="FB35" s="4">
        <v>7218.69</v>
      </c>
      <c r="FC35" s="4"/>
      <c r="FD35" s="4">
        <v>1631.23</v>
      </c>
      <c r="FE35" s="189"/>
      <c r="FF35" s="4">
        <f>10171324.2+3943.44</f>
        <v>10175267.639999999</v>
      </c>
      <c r="FG35" s="4">
        <v>29443.34</v>
      </c>
      <c r="FH35" s="4"/>
      <c r="FI35" s="189">
        <f>386972.85+6748.12</f>
        <v>393720.97</v>
      </c>
      <c r="FJ35" s="4"/>
      <c r="FK35" s="4">
        <v>15792.61</v>
      </c>
      <c r="FL35" s="74"/>
      <c r="FM35" s="4">
        <v>133448.54999999999</v>
      </c>
      <c r="FN35" s="4">
        <v>13689.01</v>
      </c>
      <c r="FO35" s="4"/>
      <c r="FP35" s="155"/>
      <c r="FQ35" s="4"/>
      <c r="FR35" s="4"/>
      <c r="FS35" s="4">
        <v>4019.74</v>
      </c>
      <c r="FT35" s="4">
        <v>408730.07</v>
      </c>
      <c r="FU35" s="4">
        <v>2213.52</v>
      </c>
      <c r="FV35" s="4"/>
      <c r="FW35" s="4"/>
      <c r="FX35" s="4"/>
      <c r="FY35" s="4">
        <v>1339.2</v>
      </c>
      <c r="FZ35" s="189">
        <v>11012757.84</v>
      </c>
      <c r="GA35" s="4"/>
      <c r="GB35" s="4">
        <v>27441.66</v>
      </c>
      <c r="GC35" s="4">
        <v>409219.69</v>
      </c>
      <c r="GD35" s="4"/>
      <c r="GE35" s="4">
        <v>5879.16</v>
      </c>
      <c r="GF35" s="4"/>
      <c r="GG35" s="4">
        <v>2747.39</v>
      </c>
      <c r="GH35" s="4"/>
      <c r="GI35" s="4"/>
      <c r="GJ35" s="4">
        <v>5905.16</v>
      </c>
      <c r="GK35" s="4"/>
      <c r="GL35" s="155">
        <v>414841.48</v>
      </c>
      <c r="GM35" s="4"/>
      <c r="GN35" s="4"/>
      <c r="GO35" s="4"/>
      <c r="GP35" s="4">
        <v>5517.76</v>
      </c>
      <c r="GQ35" s="4">
        <v>1366.64</v>
      </c>
      <c r="GR35" s="4"/>
      <c r="GS35" s="4"/>
      <c r="GT35" s="4"/>
      <c r="GU35" s="123">
        <v>10846498.59</v>
      </c>
      <c r="GV35" s="4"/>
      <c r="GW35" s="4"/>
      <c r="GX35" s="4">
        <v>27548.77</v>
      </c>
      <c r="GY35" s="4">
        <v>130967.49</v>
      </c>
      <c r="GZ35" s="4"/>
      <c r="HA35" s="4">
        <v>12909.33</v>
      </c>
      <c r="HB35" s="4"/>
      <c r="HC35" s="4"/>
      <c r="HD35" s="155">
        <v>415748.79</v>
      </c>
      <c r="HE35" s="4"/>
      <c r="HF35" s="4"/>
      <c r="HG35" s="4"/>
      <c r="HH35" s="4"/>
      <c r="HI35" s="4"/>
      <c r="HJ35" s="4"/>
      <c r="HK35" s="4"/>
      <c r="HL35" s="4"/>
      <c r="HM35" s="4"/>
      <c r="HN35" s="130">
        <v>303940.03000000003</v>
      </c>
      <c r="HO35" s="74">
        <v>10892310.529999999</v>
      </c>
      <c r="HP35" s="4"/>
      <c r="HQ35" s="4">
        <v>50957</v>
      </c>
      <c r="HR35" s="4"/>
      <c r="HS35" s="4"/>
      <c r="HT35" s="4">
        <f>146077.02+49197.54</f>
        <v>195274.56</v>
      </c>
      <c r="HU35" s="4"/>
      <c r="HV35" s="4"/>
      <c r="HW35" s="4">
        <v>316801.78000000003</v>
      </c>
      <c r="HX35" s="4"/>
      <c r="HY35" s="4"/>
      <c r="HZ35" s="155"/>
      <c r="IA35" s="4"/>
      <c r="IB35" s="4"/>
      <c r="IC35" s="4"/>
      <c r="ID35" s="4">
        <v>435.76</v>
      </c>
      <c r="IE35" s="4"/>
      <c r="IF35" s="4"/>
      <c r="IG35" s="4">
        <v>242903.78</v>
      </c>
      <c r="IH35" s="102">
        <v>1797.77</v>
      </c>
      <c r="II35" s="4"/>
      <c r="IJ35" s="4">
        <v>10121238.060000001</v>
      </c>
      <c r="IK35" s="4">
        <v>23115.5</v>
      </c>
      <c r="IL35" s="4"/>
      <c r="IM35" s="4">
        <v>21633.69</v>
      </c>
      <c r="IN35" s="4"/>
      <c r="IO35" s="4">
        <v>5467.94</v>
      </c>
      <c r="IP35" s="4">
        <v>339787.51</v>
      </c>
      <c r="IQ35" s="4">
        <v>18855.39</v>
      </c>
      <c r="IR35" s="4"/>
      <c r="IS35" s="4"/>
      <c r="IT35" s="155">
        <v>5486.14</v>
      </c>
      <c r="IU35" s="4">
        <f t="shared" si="9"/>
        <v>134728874.73999995</v>
      </c>
    </row>
    <row r="36" spans="1:256" ht="14.1" customHeight="1">
      <c r="A36" s="4" t="s">
        <v>25</v>
      </c>
      <c r="B36" s="12"/>
      <c r="C36" s="155"/>
      <c r="D36" s="4"/>
      <c r="E36" s="4"/>
      <c r="F36" s="4"/>
      <c r="G36" s="4"/>
      <c r="H36" s="4"/>
      <c r="I36" s="4"/>
      <c r="J36" s="4"/>
      <c r="K36" s="4"/>
      <c r="L36" s="4"/>
      <c r="M36" s="4"/>
      <c r="N36" s="189"/>
      <c r="O36" s="4"/>
      <c r="P36" s="4"/>
      <c r="Q36" s="4"/>
      <c r="R36" s="4"/>
      <c r="S36" s="4"/>
      <c r="T36" s="4"/>
      <c r="U36" s="4"/>
      <c r="V36" s="4"/>
      <c r="W36" s="155"/>
      <c r="X36" s="4"/>
      <c r="Y36" s="4"/>
      <c r="Z36" s="4"/>
      <c r="AA36" s="4"/>
      <c r="AB36" s="4"/>
      <c r="AC36" s="4"/>
      <c r="AD36" s="4"/>
      <c r="AE36" s="4"/>
      <c r="AF36" s="189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155"/>
      <c r="AS36" s="4"/>
      <c r="AT36" s="4"/>
      <c r="AU36" s="4"/>
      <c r="AV36" s="189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155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155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155"/>
      <c r="DE36" s="87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87"/>
      <c r="DS36" s="4"/>
      <c r="DT36" s="4"/>
      <c r="DU36" s="4"/>
      <c r="DV36" s="4"/>
      <c r="DW36" s="4"/>
      <c r="DX36" s="4"/>
      <c r="DY36" s="4"/>
      <c r="DZ36" s="155"/>
      <c r="EA36" s="4"/>
      <c r="EB36" s="4"/>
      <c r="EC36" s="4"/>
      <c r="ED36" s="4"/>
      <c r="EE36" s="4"/>
      <c r="EF36" s="4"/>
      <c r="EG36" s="32"/>
      <c r="EH36" s="4"/>
      <c r="EI36" s="4"/>
      <c r="EJ36" s="4"/>
      <c r="EK36" s="74"/>
      <c r="EL36" s="4"/>
      <c r="EM36" s="4"/>
      <c r="EN36" s="4"/>
      <c r="EO36" s="4"/>
      <c r="EP36" s="4"/>
      <c r="EQ36" s="4"/>
      <c r="ER36" s="4"/>
      <c r="ES36" s="4"/>
      <c r="ET36" s="4"/>
      <c r="EU36" s="155"/>
      <c r="EV36" s="4"/>
      <c r="EW36" s="4"/>
      <c r="EX36" s="4"/>
      <c r="EY36" s="4"/>
      <c r="EZ36" s="4"/>
      <c r="FA36" s="4"/>
      <c r="FB36" s="4"/>
      <c r="FC36" s="4"/>
      <c r="FD36" s="4"/>
      <c r="FE36" s="189"/>
      <c r="FF36" s="4"/>
      <c r="FG36" s="4"/>
      <c r="FH36" s="4"/>
      <c r="FI36" s="189"/>
      <c r="FJ36" s="4"/>
      <c r="FK36" s="4"/>
      <c r="FL36" s="74"/>
      <c r="FM36" s="4"/>
      <c r="FN36" s="4"/>
      <c r="FO36" s="4"/>
      <c r="FP36" s="155"/>
      <c r="FQ36" s="4"/>
      <c r="FR36" s="4"/>
      <c r="FS36" s="4"/>
      <c r="FT36" s="4"/>
      <c r="FU36" s="4"/>
      <c r="FV36" s="4"/>
      <c r="FW36" s="4"/>
      <c r="FX36" s="4"/>
      <c r="FY36" s="4"/>
      <c r="FZ36" s="189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155"/>
      <c r="GM36" s="4"/>
      <c r="GN36" s="4"/>
      <c r="GO36" s="4"/>
      <c r="GP36" s="4"/>
      <c r="GQ36" s="4"/>
      <c r="GR36" s="4"/>
      <c r="GS36" s="4"/>
      <c r="GT36" s="4"/>
      <c r="GU36" s="123"/>
      <c r="GV36" s="4"/>
      <c r="GW36" s="4"/>
      <c r="GX36" s="4"/>
      <c r="GY36" s="4"/>
      <c r="GZ36" s="4"/>
      <c r="HA36" s="4"/>
      <c r="HB36" s="4"/>
      <c r="HC36" s="4"/>
      <c r="HD36" s="155"/>
      <c r="HE36" s="4"/>
      <c r="HF36" s="4"/>
      <c r="HG36" s="4"/>
      <c r="HH36" s="4"/>
      <c r="HI36" s="4"/>
      <c r="HJ36" s="4"/>
      <c r="HK36" s="4"/>
      <c r="HL36" s="4"/>
      <c r="HM36" s="4"/>
      <c r="HN36" s="130"/>
      <c r="HO36" s="7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155"/>
      <c r="IA36" s="4"/>
      <c r="IB36" s="4"/>
      <c r="IC36" s="4"/>
      <c r="ID36" s="4"/>
      <c r="IE36" s="4"/>
      <c r="IF36" s="4"/>
      <c r="IG36" s="4">
        <f>25000000+10000000+20000000+20000000+25000000</f>
        <v>100000000</v>
      </c>
      <c r="IH36" s="102"/>
      <c r="II36" s="4"/>
      <c r="IJ36" s="4"/>
      <c r="IK36" s="4"/>
      <c r="IL36" s="4">
        <f>15000000+10000000+10000000+10000000+5000000</f>
        <v>50000000</v>
      </c>
      <c r="IM36" s="4"/>
      <c r="IN36" s="4"/>
      <c r="IO36" s="4"/>
      <c r="IP36" s="4"/>
      <c r="IQ36" s="4"/>
      <c r="IR36" s="4"/>
      <c r="IS36" s="4"/>
      <c r="IT36" s="155"/>
      <c r="IU36" s="4">
        <f t="shared" si="9"/>
        <v>150000000</v>
      </c>
    </row>
    <row r="37" spans="1:256" ht="14.1" customHeight="1">
      <c r="A37" s="4" t="s">
        <v>26</v>
      </c>
      <c r="B37" s="12"/>
      <c r="C37" s="155"/>
      <c r="D37" s="4"/>
      <c r="E37" s="4">
        <v>14499.84</v>
      </c>
      <c r="F37" s="4"/>
      <c r="G37" s="4"/>
      <c r="H37" s="4">
        <v>200</v>
      </c>
      <c r="I37" s="4"/>
      <c r="J37" s="4"/>
      <c r="K37" s="4"/>
      <c r="L37" s="4"/>
      <c r="M37" s="4"/>
      <c r="N37" s="189"/>
      <c r="O37" s="4">
        <v>200</v>
      </c>
      <c r="P37" s="4"/>
      <c r="Q37" s="4"/>
      <c r="R37" s="4"/>
      <c r="S37" s="4"/>
      <c r="T37" s="4"/>
      <c r="U37" s="4"/>
      <c r="V37" s="4"/>
      <c r="W37" s="155"/>
      <c r="X37" s="4"/>
      <c r="Y37" s="4">
        <v>14499.84</v>
      </c>
      <c r="Z37" s="4"/>
      <c r="AA37" s="4"/>
      <c r="AB37" s="4"/>
      <c r="AC37" s="4"/>
      <c r="AD37" s="4"/>
      <c r="AE37" s="4"/>
      <c r="AF37" s="189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155"/>
      <c r="AS37" s="4"/>
      <c r="AT37" s="4">
        <v>15199.84</v>
      </c>
      <c r="AU37" s="4"/>
      <c r="AV37" s="189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155"/>
      <c r="BO37" s="4"/>
      <c r="BP37" s="4"/>
      <c r="BQ37" s="4">
        <v>15199.84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155"/>
      <c r="CJ37" s="4"/>
      <c r="CK37" s="4">
        <v>13161.5</v>
      </c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155">
        <v>13160.3</v>
      </c>
      <c r="DE37" s="87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87"/>
      <c r="DS37" s="4"/>
      <c r="DT37" s="4"/>
      <c r="DU37" s="4"/>
      <c r="DV37" s="4"/>
      <c r="DW37" s="4"/>
      <c r="DX37" s="4"/>
      <c r="DY37" s="4"/>
      <c r="DZ37" s="155"/>
      <c r="EA37" s="4"/>
      <c r="EB37" s="4"/>
      <c r="EC37" s="4">
        <v>12444.5</v>
      </c>
      <c r="ED37" s="4"/>
      <c r="EE37" s="4"/>
      <c r="EF37" s="4"/>
      <c r="EG37" s="32"/>
      <c r="EH37" s="4"/>
      <c r="EI37" s="4"/>
      <c r="EJ37" s="4"/>
      <c r="EK37" s="74"/>
      <c r="EL37" s="4"/>
      <c r="EM37" s="4"/>
      <c r="EN37" s="4"/>
      <c r="EO37" s="4"/>
      <c r="EP37" s="4"/>
      <c r="EQ37" s="4"/>
      <c r="ER37" s="4"/>
      <c r="ES37" s="4"/>
      <c r="ET37" s="4"/>
      <c r="EU37" s="155"/>
      <c r="EV37" s="4"/>
      <c r="EW37" s="4">
        <v>12736.16</v>
      </c>
      <c r="EX37" s="4"/>
      <c r="EY37" s="4"/>
      <c r="EZ37" s="4"/>
      <c r="FA37" s="4"/>
      <c r="FB37" s="4"/>
      <c r="FC37" s="4"/>
      <c r="FD37" s="4"/>
      <c r="FE37" s="189"/>
      <c r="FF37" s="4"/>
      <c r="FG37" s="4"/>
      <c r="FH37" s="4"/>
      <c r="FI37" s="189"/>
      <c r="FJ37" s="4"/>
      <c r="FK37" s="4"/>
      <c r="FL37" s="74"/>
      <c r="FM37" s="4"/>
      <c r="FN37" s="4"/>
      <c r="FO37" s="4"/>
      <c r="FP37" s="155"/>
      <c r="FQ37" s="4"/>
      <c r="FR37" s="4">
        <v>11370.16</v>
      </c>
      <c r="FS37" s="4"/>
      <c r="FT37" s="4"/>
      <c r="FU37" s="4"/>
      <c r="FV37" s="4"/>
      <c r="FW37" s="4"/>
      <c r="FX37" s="4"/>
      <c r="FY37" s="4"/>
      <c r="FZ37" s="189"/>
      <c r="GA37" s="4"/>
      <c r="GB37" s="4"/>
      <c r="GC37" s="4">
        <v>200</v>
      </c>
      <c r="GD37" s="4"/>
      <c r="GE37" s="4"/>
      <c r="GF37" s="4"/>
      <c r="GG37" s="4"/>
      <c r="GH37" s="4"/>
      <c r="GI37" s="4"/>
      <c r="GJ37" s="4"/>
      <c r="GK37" s="4"/>
      <c r="GL37" s="155"/>
      <c r="GM37" s="4"/>
      <c r="GN37" s="4"/>
      <c r="GO37" s="4"/>
      <c r="GP37" s="4"/>
      <c r="GQ37" s="4"/>
      <c r="GR37" s="4"/>
      <c r="GS37" s="4"/>
      <c r="GT37" s="4"/>
      <c r="GU37" s="123"/>
      <c r="GV37" s="4"/>
      <c r="GW37" s="4"/>
      <c r="GX37" s="4"/>
      <c r="GY37" s="4"/>
      <c r="GZ37" s="4"/>
      <c r="HA37" s="4"/>
      <c r="HB37" s="4"/>
      <c r="HC37" s="4"/>
      <c r="HD37" s="155"/>
      <c r="HE37" s="4"/>
      <c r="HF37" s="4"/>
      <c r="HG37" s="4"/>
      <c r="HH37" s="4"/>
      <c r="HI37" s="4"/>
      <c r="HJ37" s="4"/>
      <c r="HK37" s="4"/>
      <c r="HL37" s="4"/>
      <c r="HM37" s="4"/>
      <c r="HN37" s="130"/>
      <c r="HO37" s="7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155"/>
      <c r="IA37" s="4"/>
      <c r="IB37" s="4"/>
      <c r="IC37" s="4"/>
      <c r="ID37" s="4"/>
      <c r="IE37" s="4"/>
      <c r="IF37" s="4"/>
      <c r="IG37" s="4"/>
      <c r="IH37" s="102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155"/>
      <c r="IU37" s="4">
        <f t="shared" si="9"/>
        <v>122871.98000000001</v>
      </c>
    </row>
    <row r="38" spans="1:256" ht="14.1" customHeight="1">
      <c r="A38" s="4" t="s">
        <v>77</v>
      </c>
      <c r="B38" s="4"/>
      <c r="C38" s="155"/>
      <c r="D38" s="4"/>
      <c r="E38" s="4">
        <v>90251.62</v>
      </c>
      <c r="F38" s="4"/>
      <c r="G38" s="4"/>
      <c r="H38" s="4"/>
      <c r="I38" s="4"/>
      <c r="J38" s="4"/>
      <c r="K38" s="4"/>
      <c r="L38" s="4"/>
      <c r="M38" s="4"/>
      <c r="N38" s="189"/>
      <c r="O38" s="4"/>
      <c r="P38" s="4"/>
      <c r="Q38" s="4"/>
      <c r="R38" s="4"/>
      <c r="S38" s="4"/>
      <c r="T38" s="4"/>
      <c r="U38" s="4"/>
      <c r="V38" s="4"/>
      <c r="W38" s="155"/>
      <c r="X38" s="4"/>
      <c r="Y38" s="4">
        <v>85644.5</v>
      </c>
      <c r="Z38" s="4"/>
      <c r="AA38" s="4"/>
      <c r="AB38" s="4"/>
      <c r="AC38" s="4"/>
      <c r="AD38" s="4"/>
      <c r="AE38" s="4"/>
      <c r="AF38" s="189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155"/>
      <c r="AS38" s="4"/>
      <c r="AT38" s="4">
        <v>90291.5</v>
      </c>
      <c r="AU38" s="4"/>
      <c r="AV38" s="189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155"/>
      <c r="BO38" s="4"/>
      <c r="BP38" s="4"/>
      <c r="BQ38" s="4">
        <v>87733.5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155"/>
      <c r="CJ38" s="4"/>
      <c r="CK38" s="4">
        <v>89775</v>
      </c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155">
        <v>89158.5</v>
      </c>
      <c r="DE38" s="87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87"/>
      <c r="DS38" s="4"/>
      <c r="DT38" s="4"/>
      <c r="DU38" s="4"/>
      <c r="DV38" s="4"/>
      <c r="DW38" s="4"/>
      <c r="DX38" s="4"/>
      <c r="DY38" s="4"/>
      <c r="DZ38" s="155"/>
      <c r="EA38" s="4"/>
      <c r="EB38" s="4"/>
      <c r="EC38" s="4">
        <v>88543.5</v>
      </c>
      <c r="ED38" s="4"/>
      <c r="EE38" s="4"/>
      <c r="EF38" s="4"/>
      <c r="EG38" s="32"/>
      <c r="EH38" s="4"/>
      <c r="EI38" s="4"/>
      <c r="EJ38" s="4"/>
      <c r="EK38" s="74"/>
      <c r="EL38" s="4"/>
      <c r="EM38" s="4"/>
      <c r="EN38" s="4"/>
      <c r="EO38" s="4"/>
      <c r="EP38" s="4"/>
      <c r="EQ38" s="4"/>
      <c r="ER38" s="4"/>
      <c r="ES38" s="4"/>
      <c r="ET38" s="4"/>
      <c r="EU38" s="155"/>
      <c r="EV38" s="4"/>
      <c r="EW38" s="4">
        <v>87134.5</v>
      </c>
      <c r="EX38" s="4"/>
      <c r="EY38" s="4"/>
      <c r="EZ38" s="4"/>
      <c r="FA38" s="4"/>
      <c r="FB38" s="4"/>
      <c r="FC38" s="4"/>
      <c r="FD38" s="4"/>
      <c r="FE38" s="189"/>
      <c r="FF38" s="4"/>
      <c r="FG38" s="4"/>
      <c r="FH38" s="4"/>
      <c r="FI38" s="189"/>
      <c r="FJ38" s="4"/>
      <c r="FK38" s="4"/>
      <c r="FL38" s="74"/>
      <c r="FM38" s="4"/>
      <c r="FN38" s="4"/>
      <c r="FO38" s="4"/>
      <c r="FP38" s="155"/>
      <c r="FQ38" s="4"/>
      <c r="FR38" s="4">
        <v>82939.22</v>
      </c>
      <c r="FS38" s="4"/>
      <c r="FT38" s="4"/>
      <c r="FU38" s="4"/>
      <c r="FV38" s="4"/>
      <c r="FW38" s="4"/>
      <c r="FX38" s="4"/>
      <c r="FY38" s="4"/>
      <c r="FZ38" s="189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155"/>
      <c r="GM38" s="4"/>
      <c r="GN38" s="4"/>
      <c r="GO38" s="4"/>
      <c r="GP38" s="4"/>
      <c r="GQ38" s="4"/>
      <c r="GR38" s="4"/>
      <c r="GS38" s="4"/>
      <c r="GT38" s="4"/>
      <c r="GU38" s="123"/>
      <c r="GV38" s="4"/>
      <c r="GW38" s="4"/>
      <c r="GX38" s="4"/>
      <c r="GY38" s="4"/>
      <c r="GZ38" s="4"/>
      <c r="HA38" s="4"/>
      <c r="HB38" s="4"/>
      <c r="HC38" s="4"/>
      <c r="HD38" s="155"/>
      <c r="HE38" s="4"/>
      <c r="HF38" s="4"/>
      <c r="HG38" s="4"/>
      <c r="HH38" s="4"/>
      <c r="HI38" s="4"/>
      <c r="HJ38" s="4"/>
      <c r="HK38" s="4"/>
      <c r="HL38" s="4"/>
      <c r="HM38" s="4"/>
      <c r="HN38" s="130"/>
      <c r="HO38" s="7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155"/>
      <c r="IA38" s="4"/>
      <c r="IB38" s="4"/>
      <c r="IC38" s="4"/>
      <c r="ID38" s="4"/>
      <c r="IE38" s="4"/>
      <c r="IF38" s="4"/>
      <c r="IG38" s="4"/>
      <c r="IH38" s="102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155"/>
      <c r="IU38" s="4">
        <f t="shared" si="9"/>
        <v>791471.84</v>
      </c>
    </row>
    <row r="39" spans="1:256" ht="14.1" customHeight="1">
      <c r="A39" s="4" t="s">
        <v>55</v>
      </c>
      <c r="B39" s="4"/>
      <c r="C39" s="155"/>
      <c r="D39" s="4"/>
      <c r="E39" s="4"/>
      <c r="F39" s="4"/>
      <c r="G39" s="4"/>
      <c r="H39" s="4"/>
      <c r="I39" s="4"/>
      <c r="J39" s="4"/>
      <c r="K39" s="4"/>
      <c r="L39" s="4"/>
      <c r="M39" s="4"/>
      <c r="N39" s="189"/>
      <c r="O39" s="4"/>
      <c r="P39" s="4"/>
      <c r="Q39" s="4"/>
      <c r="R39" s="4"/>
      <c r="S39" s="4"/>
      <c r="T39" s="4"/>
      <c r="U39" s="4"/>
      <c r="V39" s="4"/>
      <c r="W39" s="155"/>
      <c r="X39" s="4"/>
      <c r="Y39" s="4"/>
      <c r="Z39" s="4"/>
      <c r="AA39" s="4"/>
      <c r="AB39" s="4"/>
      <c r="AC39" s="4"/>
      <c r="AD39" s="4"/>
      <c r="AE39" s="4"/>
      <c r="AF39" s="189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155"/>
      <c r="AS39" s="4"/>
      <c r="AT39" s="4"/>
      <c r="AU39" s="4"/>
      <c r="AV39" s="189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155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155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155"/>
      <c r="DE39" s="87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87"/>
      <c r="DS39" s="4"/>
      <c r="DT39" s="4"/>
      <c r="DU39" s="4"/>
      <c r="DV39" s="4"/>
      <c r="DW39" s="4"/>
      <c r="DX39" s="4"/>
      <c r="DY39" s="4"/>
      <c r="DZ39" s="155"/>
      <c r="EA39" s="4"/>
      <c r="EB39" s="4"/>
      <c r="EC39" s="4"/>
      <c r="ED39" s="4"/>
      <c r="EE39" s="4"/>
      <c r="EF39" s="4"/>
      <c r="EG39" s="32"/>
      <c r="EH39" s="4"/>
      <c r="EI39" s="4"/>
      <c r="EJ39" s="4"/>
      <c r="EK39" s="74"/>
      <c r="EL39" s="4"/>
      <c r="EM39" s="4"/>
      <c r="EN39" s="4"/>
      <c r="EO39" s="4"/>
      <c r="EP39" s="4"/>
      <c r="EQ39" s="4"/>
      <c r="ER39" s="4"/>
      <c r="ES39" s="4"/>
      <c r="ET39" s="4"/>
      <c r="EU39" s="155"/>
      <c r="EV39" s="4"/>
      <c r="EW39" s="4"/>
      <c r="EX39" s="4"/>
      <c r="EY39" s="4"/>
      <c r="EZ39" s="4"/>
      <c r="FA39" s="4"/>
      <c r="FB39" s="4"/>
      <c r="FC39" s="4"/>
      <c r="FD39" s="4"/>
      <c r="FE39" s="189"/>
      <c r="FF39" s="4"/>
      <c r="FG39" s="4"/>
      <c r="FH39" s="4"/>
      <c r="FI39" s="189"/>
      <c r="FJ39" s="4"/>
      <c r="FK39" s="4"/>
      <c r="FL39" s="74"/>
      <c r="FM39" s="4"/>
      <c r="FN39" s="4"/>
      <c r="FO39" s="4"/>
      <c r="FP39" s="155"/>
      <c r="FQ39" s="4"/>
      <c r="FR39" s="4"/>
      <c r="FS39" s="4"/>
      <c r="FT39" s="4"/>
      <c r="FU39" s="4"/>
      <c r="FV39" s="4"/>
      <c r="FW39" s="4"/>
      <c r="FX39" s="4"/>
      <c r="FY39" s="4"/>
      <c r="FZ39" s="189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155"/>
      <c r="GM39" s="4"/>
      <c r="GN39" s="4"/>
      <c r="GO39" s="4"/>
      <c r="GP39" s="4"/>
      <c r="GQ39" s="4"/>
      <c r="GR39" s="4"/>
      <c r="GS39" s="4"/>
      <c r="GT39" s="4"/>
      <c r="GU39" s="123"/>
      <c r="GV39" s="4"/>
      <c r="GW39" s="4"/>
      <c r="GX39" s="4"/>
      <c r="GY39" s="4"/>
      <c r="GZ39" s="4"/>
      <c r="HA39" s="4"/>
      <c r="HB39" s="4"/>
      <c r="HC39" s="4"/>
      <c r="HD39" s="155"/>
      <c r="HE39" s="4"/>
      <c r="HF39" s="4"/>
      <c r="HG39" s="4"/>
      <c r="HH39" s="4"/>
      <c r="HI39" s="4"/>
      <c r="HJ39" s="4"/>
      <c r="HK39" s="4"/>
      <c r="HL39" s="4"/>
      <c r="HM39" s="4"/>
      <c r="HN39" s="130"/>
      <c r="HO39" s="7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155"/>
      <c r="IA39" s="4"/>
      <c r="IB39" s="4"/>
      <c r="IC39" s="4"/>
      <c r="ID39" s="4"/>
      <c r="IE39" s="4"/>
      <c r="IF39" s="4"/>
      <c r="IG39" s="4"/>
      <c r="IH39" s="102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155"/>
      <c r="IU39" s="4">
        <f t="shared" si="9"/>
        <v>0</v>
      </c>
    </row>
    <row r="40" spans="1:256" ht="14.1" customHeight="1">
      <c r="A40" s="4" t="s">
        <v>11</v>
      </c>
      <c r="B40" s="4"/>
      <c r="C40" s="155"/>
      <c r="D40" s="4"/>
      <c r="E40" s="4">
        <v>220923.93</v>
      </c>
      <c r="F40" s="4"/>
      <c r="G40" s="4"/>
      <c r="H40" s="4"/>
      <c r="I40" s="4"/>
      <c r="J40" s="4"/>
      <c r="K40" s="4"/>
      <c r="L40" s="4"/>
      <c r="M40" s="4"/>
      <c r="N40" s="189"/>
      <c r="O40" s="4"/>
      <c r="P40" s="4"/>
      <c r="Q40" s="4"/>
      <c r="R40" s="4"/>
      <c r="S40" s="4"/>
      <c r="T40" s="4"/>
      <c r="U40" s="4"/>
      <c r="V40" s="4"/>
      <c r="W40" s="155"/>
      <c r="X40" s="4"/>
      <c r="Y40" s="4">
        <v>191876.99</v>
      </c>
      <c r="Z40" s="4"/>
      <c r="AA40" s="4"/>
      <c r="AB40" s="4"/>
      <c r="AC40" s="4"/>
      <c r="AD40" s="4"/>
      <c r="AE40" s="4"/>
      <c r="AF40" s="189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155"/>
      <c r="AS40" s="4"/>
      <c r="AT40" s="4">
        <v>191484.79</v>
      </c>
      <c r="AU40" s="4"/>
      <c r="AV40" s="189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155"/>
      <c r="BO40" s="4"/>
      <c r="BP40" s="4">
        <v>192457.33</v>
      </c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155"/>
      <c r="CJ40" s="4"/>
      <c r="CK40" s="4">
        <v>192526.94</v>
      </c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155">
        <v>192915.42</v>
      </c>
      <c r="DE40" s="87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87"/>
      <c r="DS40" s="4"/>
      <c r="DT40" s="4"/>
      <c r="DU40" s="4"/>
      <c r="DV40" s="4"/>
      <c r="DW40" s="4"/>
      <c r="DX40" s="4"/>
      <c r="DY40" s="4"/>
      <c r="DZ40" s="155"/>
      <c r="EA40" s="4"/>
      <c r="EB40" s="4"/>
      <c r="EC40" s="4">
        <v>191793.36</v>
      </c>
      <c r="ED40" s="4"/>
      <c r="EE40" s="4"/>
      <c r="EF40" s="4"/>
      <c r="EG40" s="32"/>
      <c r="EH40" s="4"/>
      <c r="EI40" s="4"/>
      <c r="EJ40" s="4"/>
      <c r="EK40" s="74"/>
      <c r="EL40" s="4"/>
      <c r="EM40" s="4"/>
      <c r="EN40" s="4"/>
      <c r="EO40" s="4"/>
      <c r="EP40" s="4"/>
      <c r="EQ40" s="4"/>
      <c r="ER40" s="4"/>
      <c r="ES40" s="4"/>
      <c r="ET40" s="4"/>
      <c r="EU40" s="155"/>
      <c r="EV40" s="4">
        <v>194524.96</v>
      </c>
      <c r="EW40" s="4"/>
      <c r="EX40" s="4"/>
      <c r="EY40" s="4"/>
      <c r="EZ40" s="4"/>
      <c r="FA40" s="4"/>
      <c r="FB40" s="4"/>
      <c r="FC40" s="4"/>
      <c r="FD40" s="4"/>
      <c r="FE40" s="189"/>
      <c r="FF40" s="4"/>
      <c r="FG40" s="4"/>
      <c r="FH40" s="4"/>
      <c r="FI40" s="189"/>
      <c r="FJ40" s="4"/>
      <c r="FK40" s="4"/>
      <c r="FL40" s="74"/>
      <c r="FM40" s="4"/>
      <c r="FN40" s="4"/>
      <c r="FO40" s="4"/>
      <c r="FP40" s="155"/>
      <c r="FQ40" s="4"/>
      <c r="FR40" s="4">
        <v>213194.23</v>
      </c>
      <c r="FS40" s="4"/>
      <c r="FT40" s="4"/>
      <c r="FU40" s="4"/>
      <c r="FV40" s="4"/>
      <c r="FW40" s="4"/>
      <c r="FX40" s="4"/>
      <c r="FY40" s="4"/>
      <c r="FZ40" s="189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155"/>
      <c r="GM40" s="4">
        <v>249871.34</v>
      </c>
      <c r="GN40" s="4"/>
      <c r="GO40" s="4"/>
      <c r="GP40" s="4"/>
      <c r="GQ40" s="4"/>
      <c r="GR40" s="4"/>
      <c r="GS40" s="4"/>
      <c r="GT40" s="4"/>
      <c r="GU40" s="123"/>
      <c r="GV40" s="4"/>
      <c r="GW40" s="4"/>
      <c r="GX40" s="4"/>
      <c r="GY40" s="4"/>
      <c r="GZ40" s="4"/>
      <c r="HA40" s="4"/>
      <c r="HB40" s="4"/>
      <c r="HC40" s="4"/>
      <c r="HD40" s="155"/>
      <c r="HE40" s="4"/>
      <c r="HF40" s="4">
        <v>232016.76</v>
      </c>
      <c r="HG40" s="4"/>
      <c r="HH40" s="4"/>
      <c r="HI40" s="4"/>
      <c r="HJ40" s="4"/>
      <c r="HK40" s="4"/>
      <c r="HL40" s="4"/>
      <c r="HM40" s="4"/>
      <c r="HN40" s="130"/>
      <c r="HO40" s="7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155"/>
      <c r="IA40" s="4"/>
      <c r="IB40" s="4"/>
      <c r="IC40" s="4"/>
      <c r="ID40" s="4">
        <v>231223.81</v>
      </c>
      <c r="IE40" s="4"/>
      <c r="IF40" s="4"/>
      <c r="IG40" s="4"/>
      <c r="IH40" s="102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155"/>
      <c r="IU40" s="4">
        <f t="shared" si="9"/>
        <v>2494809.86</v>
      </c>
    </row>
    <row r="41" spans="1:256" ht="14.1" customHeight="1">
      <c r="A41" s="4" t="s">
        <v>52</v>
      </c>
      <c r="B41" s="4"/>
      <c r="C41" s="155"/>
      <c r="D41" s="4"/>
      <c r="E41" s="4">
        <v>86</v>
      </c>
      <c r="F41" s="4"/>
      <c r="G41" s="4"/>
      <c r="H41" s="4"/>
      <c r="I41" s="4"/>
      <c r="J41" s="4"/>
      <c r="K41" s="4"/>
      <c r="L41" s="4"/>
      <c r="M41" s="4">
        <v>150</v>
      </c>
      <c r="N41" s="189"/>
      <c r="O41" s="4"/>
      <c r="P41" s="4">
        <f>276.99+8000</f>
        <v>8276.99</v>
      </c>
      <c r="Q41" s="4"/>
      <c r="R41" s="4"/>
      <c r="S41" s="4"/>
      <c r="T41" s="4"/>
      <c r="U41" s="4"/>
      <c r="V41" s="4"/>
      <c r="W41" s="155"/>
      <c r="X41" s="4"/>
      <c r="Y41" s="4"/>
      <c r="Z41" s="4"/>
      <c r="AA41" s="4"/>
      <c r="AB41" s="4"/>
      <c r="AC41" s="4"/>
      <c r="AD41" s="4"/>
      <c r="AE41" s="4"/>
      <c r="AF41" s="189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155"/>
      <c r="AS41" s="4"/>
      <c r="AT41" s="4"/>
      <c r="AU41" s="4"/>
      <c r="AV41" s="189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>
        <v>40</v>
      </c>
      <c r="BI41" s="4"/>
      <c r="BJ41" s="4"/>
      <c r="BK41" s="4"/>
      <c r="BL41" s="4">
        <v>30</v>
      </c>
      <c r="BM41" s="4"/>
      <c r="BN41" s="155">
        <f>38.16+62</f>
        <v>100.16</v>
      </c>
      <c r="BO41" s="4"/>
      <c r="BP41" s="4"/>
      <c r="BQ41" s="4"/>
      <c r="BR41" s="4"/>
      <c r="BS41" s="4"/>
      <c r="BT41" s="4">
        <v>179.76</v>
      </c>
      <c r="BU41" s="4"/>
      <c r="BV41" s="4">
        <v>688.88</v>
      </c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155"/>
      <c r="CJ41" s="4"/>
      <c r="CK41" s="4"/>
      <c r="CL41" s="4"/>
      <c r="CM41" s="4"/>
      <c r="CN41" s="4"/>
      <c r="CO41" s="4"/>
      <c r="CP41" s="4">
        <v>50</v>
      </c>
      <c r="CQ41" s="4"/>
      <c r="CR41" s="4"/>
      <c r="CS41" s="4"/>
      <c r="CT41" s="4"/>
      <c r="CU41" s="4">
        <v>16.350000000000001</v>
      </c>
      <c r="CV41" s="4"/>
      <c r="CW41" s="4"/>
      <c r="CX41" s="4"/>
      <c r="CY41" s="4"/>
      <c r="CZ41" s="4"/>
      <c r="DA41" s="4"/>
      <c r="DB41" s="4"/>
      <c r="DC41" s="4"/>
      <c r="DD41" s="155"/>
      <c r="DE41" s="87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87"/>
      <c r="DS41" s="4">
        <v>286.14</v>
      </c>
      <c r="DT41" s="4"/>
      <c r="DU41" s="4"/>
      <c r="DV41" s="4"/>
      <c r="DW41" s="4"/>
      <c r="DX41" s="4"/>
      <c r="DY41" s="4"/>
      <c r="DZ41" s="155"/>
      <c r="EA41" s="4"/>
      <c r="EB41" s="4"/>
      <c r="EC41" s="4"/>
      <c r="ED41" s="4"/>
      <c r="EE41" s="4"/>
      <c r="EF41" s="4"/>
      <c r="EG41" s="32"/>
      <c r="EH41" s="4"/>
      <c r="EI41" s="4"/>
      <c r="EJ41" s="4">
        <v>35.200000000000003</v>
      </c>
      <c r="EK41" s="74"/>
      <c r="EL41" s="4"/>
      <c r="EM41" s="4"/>
      <c r="EN41" s="4"/>
      <c r="EO41" s="4"/>
      <c r="EP41" s="4"/>
      <c r="EQ41" s="4"/>
      <c r="ER41" s="4">
        <v>83.52</v>
      </c>
      <c r="ES41" s="4"/>
      <c r="ET41" s="4"/>
      <c r="EU41" s="155"/>
      <c r="EV41" s="4"/>
      <c r="EW41" s="4"/>
      <c r="EX41" s="4"/>
      <c r="EY41" s="4"/>
      <c r="EZ41" s="4"/>
      <c r="FA41" s="4"/>
      <c r="FB41" s="4"/>
      <c r="FC41" s="4"/>
      <c r="FD41" s="4"/>
      <c r="FE41" s="189"/>
      <c r="FF41" s="4"/>
      <c r="FG41" s="4"/>
      <c r="FH41" s="4"/>
      <c r="FI41" s="189"/>
      <c r="FJ41" s="4"/>
      <c r="FK41" s="4"/>
      <c r="FL41" s="74">
        <f>799.57</f>
        <v>799.57</v>
      </c>
      <c r="FM41" s="4"/>
      <c r="FN41" s="4"/>
      <c r="FO41" s="4"/>
      <c r="FP41" s="155"/>
      <c r="FQ41" s="4"/>
      <c r="FR41" s="4"/>
      <c r="FS41" s="4"/>
      <c r="FT41" s="4"/>
      <c r="FU41" s="4"/>
      <c r="FV41" s="4"/>
      <c r="FW41" s="4"/>
      <c r="FX41" s="4"/>
      <c r="FY41" s="4"/>
      <c r="FZ41" s="189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155"/>
      <c r="GM41" s="4"/>
      <c r="GN41" s="4"/>
      <c r="GO41" s="4"/>
      <c r="GP41" s="4"/>
      <c r="GQ41" s="4"/>
      <c r="GR41" s="4"/>
      <c r="GS41" s="4"/>
      <c r="GT41" s="4"/>
      <c r="GU41" s="123"/>
      <c r="GV41" s="4"/>
      <c r="GW41" s="4">
        <v>4255.13</v>
      </c>
      <c r="GX41" s="4"/>
      <c r="GY41" s="4"/>
      <c r="GZ41" s="4"/>
      <c r="HA41" s="4"/>
      <c r="HB41" s="4"/>
      <c r="HC41" s="4"/>
      <c r="HD41" s="155"/>
      <c r="HE41" s="4"/>
      <c r="HF41" s="4"/>
      <c r="HG41" s="4">
        <v>54.9</v>
      </c>
      <c r="HH41" s="4">
        <v>813.1</v>
      </c>
      <c r="HI41" s="4"/>
      <c r="HJ41" s="4"/>
      <c r="HK41" s="4"/>
      <c r="HL41" s="4"/>
      <c r="HM41" s="4"/>
      <c r="HN41" s="130"/>
      <c r="HO41" s="74"/>
      <c r="HP41" s="4"/>
      <c r="HQ41" s="4"/>
      <c r="HR41" s="4">
        <v>946442.7</v>
      </c>
      <c r="HS41" s="4"/>
      <c r="HT41" s="4"/>
      <c r="HU41" s="4"/>
      <c r="HV41" s="4"/>
      <c r="HW41" s="4"/>
      <c r="HX41" s="4"/>
      <c r="HY41" s="4"/>
      <c r="HZ41" s="155"/>
      <c r="IA41" s="4"/>
      <c r="IB41" s="4"/>
      <c r="IC41" s="4"/>
      <c r="ID41" s="4"/>
      <c r="IE41" s="4"/>
      <c r="IF41" s="4"/>
      <c r="IG41" s="4">
        <v>9473.7999999999993</v>
      </c>
      <c r="IH41" s="102"/>
      <c r="II41" s="4"/>
      <c r="IJ41" s="4">
        <v>44.87</v>
      </c>
      <c r="IK41" s="4"/>
      <c r="IL41" s="4"/>
      <c r="IM41" s="4"/>
      <c r="IN41" s="4"/>
      <c r="IO41" s="4"/>
      <c r="IP41" s="4"/>
      <c r="IQ41" s="4"/>
      <c r="IR41" s="4"/>
      <c r="IS41" s="4"/>
      <c r="IT41" s="155"/>
      <c r="IU41" s="4">
        <f t="shared" si="9"/>
        <v>971907.07</v>
      </c>
    </row>
    <row r="42" spans="1:256" ht="14.1" customHeight="1">
      <c r="A42" s="4" t="s">
        <v>12</v>
      </c>
      <c r="B42" s="4"/>
      <c r="C42" s="155"/>
      <c r="D42" s="4"/>
      <c r="E42" s="4"/>
      <c r="F42" s="4"/>
      <c r="G42" s="4"/>
      <c r="H42" s="4"/>
      <c r="I42" s="4"/>
      <c r="J42" s="4"/>
      <c r="K42" s="4"/>
      <c r="L42" s="4"/>
      <c r="M42" s="4"/>
      <c r="N42" s="189"/>
      <c r="O42" s="4"/>
      <c r="P42" s="4"/>
      <c r="Q42" s="4"/>
      <c r="R42" s="4"/>
      <c r="S42" s="4"/>
      <c r="T42" s="4"/>
      <c r="U42" s="4"/>
      <c r="V42" s="4">
        <v>329341.45</v>
      </c>
      <c r="W42" s="155"/>
      <c r="X42" s="4"/>
      <c r="Y42" s="4"/>
      <c r="Z42" s="4"/>
      <c r="AA42" s="4"/>
      <c r="AB42" s="4"/>
      <c r="AC42" s="4"/>
      <c r="AD42" s="4"/>
      <c r="AE42" s="4"/>
      <c r="AF42" s="189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155"/>
      <c r="AS42" s="4"/>
      <c r="AT42" s="4"/>
      <c r="AU42" s="4"/>
      <c r="AV42" s="189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155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155">
        <v>266345.77</v>
      </c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155"/>
      <c r="DE42" s="87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87"/>
      <c r="DS42" s="4"/>
      <c r="DT42" s="4"/>
      <c r="DU42" s="4"/>
      <c r="DV42" s="4"/>
      <c r="DW42" s="4"/>
      <c r="DX42" s="4"/>
      <c r="DY42" s="4"/>
      <c r="DZ42" s="155"/>
      <c r="EA42" s="4"/>
      <c r="EB42" s="4"/>
      <c r="EC42" s="4"/>
      <c r="ED42" s="4"/>
      <c r="EE42" s="4"/>
      <c r="EF42" s="4"/>
      <c r="EG42" s="32"/>
      <c r="EH42" s="4"/>
      <c r="EI42" s="4"/>
      <c r="EJ42" s="4"/>
      <c r="EK42" s="74"/>
      <c r="EL42" s="4"/>
      <c r="EM42" s="4"/>
      <c r="EN42" s="4"/>
      <c r="EO42" s="4"/>
      <c r="EP42" s="4"/>
      <c r="EQ42" s="4"/>
      <c r="ER42" s="4"/>
      <c r="ES42" s="4"/>
      <c r="ET42" s="4"/>
      <c r="EU42" s="155">
        <v>169291.66</v>
      </c>
      <c r="EV42" s="4"/>
      <c r="EW42" s="4"/>
      <c r="EX42" s="4"/>
      <c r="EY42" s="4"/>
      <c r="EZ42" s="4"/>
      <c r="FA42" s="4"/>
      <c r="FB42" s="4"/>
      <c r="FC42" s="4"/>
      <c r="FD42" s="4"/>
      <c r="FE42" s="189"/>
      <c r="FF42" s="4"/>
      <c r="FG42" s="4"/>
      <c r="FH42" s="4"/>
      <c r="FI42" s="189"/>
      <c r="FJ42" s="4"/>
      <c r="FK42" s="4"/>
      <c r="FL42" s="74"/>
      <c r="FM42" s="4"/>
      <c r="FN42" s="4"/>
      <c r="FO42" s="4"/>
      <c r="FP42" s="155"/>
      <c r="FQ42" s="4"/>
      <c r="FR42" s="4"/>
      <c r="FS42" s="4"/>
      <c r="FT42" s="4"/>
      <c r="FU42" s="4"/>
      <c r="FV42" s="4"/>
      <c r="FW42" s="4"/>
      <c r="FX42" s="4"/>
      <c r="FY42" s="4"/>
      <c r="FZ42" s="189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155"/>
      <c r="GM42" s="4"/>
      <c r="GN42" s="4"/>
      <c r="GO42" s="4"/>
      <c r="GP42" s="4"/>
      <c r="GQ42" s="4"/>
      <c r="GR42" s="4"/>
      <c r="GS42" s="4"/>
      <c r="GT42" s="4"/>
      <c r="GU42" s="123"/>
      <c r="GV42" s="4"/>
      <c r="GW42" s="4"/>
      <c r="GX42" s="4"/>
      <c r="GY42" s="4"/>
      <c r="GZ42" s="4"/>
      <c r="HA42" s="4"/>
      <c r="HB42" s="4"/>
      <c r="HC42" s="4"/>
      <c r="HD42" s="155"/>
      <c r="HE42" s="4"/>
      <c r="HF42" s="4"/>
      <c r="HG42" s="4"/>
      <c r="HH42" s="4"/>
      <c r="HI42" s="4"/>
      <c r="HJ42" s="4"/>
      <c r="HK42" s="4"/>
      <c r="HL42" s="4"/>
      <c r="HM42" s="4"/>
      <c r="HN42" s="130"/>
      <c r="HO42" s="7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155"/>
      <c r="IA42" s="4"/>
      <c r="IB42" s="4"/>
      <c r="IC42" s="4"/>
      <c r="ID42" s="4"/>
      <c r="IE42" s="4"/>
      <c r="IF42" s="4"/>
      <c r="IG42" s="4"/>
      <c r="IH42" s="102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155"/>
      <c r="IU42" s="4">
        <f t="shared" si="9"/>
        <v>764978.88</v>
      </c>
    </row>
    <row r="43" spans="1:256" ht="14.1" customHeight="1">
      <c r="A43" s="4" t="s">
        <v>41</v>
      </c>
      <c r="B43" s="4"/>
      <c r="C43" s="155">
        <v>13</v>
      </c>
      <c r="D43" s="4">
        <v>456</v>
      </c>
      <c r="E43" s="4">
        <f>20+7.5</f>
        <v>27.5</v>
      </c>
      <c r="F43" s="4"/>
      <c r="G43" s="4"/>
      <c r="H43" s="4">
        <f>100000000+75000000+50000000+75000000+50000000+50000000</f>
        <v>400000000</v>
      </c>
      <c r="I43" s="4"/>
      <c r="J43" s="4"/>
      <c r="K43" s="4"/>
      <c r="L43" s="4">
        <v>15667</v>
      </c>
      <c r="M43" s="4">
        <f>742</f>
        <v>742</v>
      </c>
      <c r="N43" s="189"/>
      <c r="O43" s="4"/>
      <c r="P43" s="4"/>
      <c r="Q43" s="4">
        <v>316000</v>
      </c>
      <c r="R43" s="4"/>
      <c r="S43" s="4"/>
      <c r="T43" s="4">
        <v>24.3</v>
      </c>
      <c r="U43" s="4"/>
      <c r="V43" s="4"/>
      <c r="W43" s="155">
        <v>1510.59</v>
      </c>
      <c r="X43" s="4">
        <f>21.9+7.5</f>
        <v>29.4</v>
      </c>
      <c r="Y43" s="4">
        <v>103224.17</v>
      </c>
      <c r="Z43" s="4"/>
      <c r="AA43" s="4"/>
      <c r="AB43" s="4"/>
      <c r="AC43" s="4">
        <v>78.75</v>
      </c>
      <c r="AD43" s="4"/>
      <c r="AE43" s="4"/>
      <c r="AF43" s="189"/>
      <c r="AG43" s="4"/>
      <c r="AH43" s="4">
        <v>2778.43</v>
      </c>
      <c r="AI43" s="4">
        <v>123036.53</v>
      </c>
      <c r="AJ43" s="4"/>
      <c r="AK43" s="4"/>
      <c r="AL43" s="4"/>
      <c r="AM43" s="4">
        <v>20</v>
      </c>
      <c r="AN43" s="4"/>
      <c r="AO43" s="4"/>
      <c r="AP43" s="4">
        <f>10+195</f>
        <v>205</v>
      </c>
      <c r="AQ43" s="4"/>
      <c r="AR43" s="155"/>
      <c r="AS43" s="4"/>
      <c r="AT43" s="4">
        <v>101385.95</v>
      </c>
      <c r="AU43" s="4">
        <f>57.65+7.5</f>
        <v>65.150000000000006</v>
      </c>
      <c r="AV43" s="189">
        <v>20</v>
      </c>
      <c r="AW43" s="4"/>
      <c r="AX43" s="4"/>
      <c r="AY43" s="4"/>
      <c r="AZ43" s="4"/>
      <c r="BA43" s="4">
        <f>990+560</f>
        <v>1550</v>
      </c>
      <c r="BB43" s="4">
        <v>13</v>
      </c>
      <c r="BC43" s="4"/>
      <c r="BD43" s="4">
        <f>4949756.63</f>
        <v>4949756.63</v>
      </c>
      <c r="BE43" s="4"/>
      <c r="BF43" s="4"/>
      <c r="BG43" s="4"/>
      <c r="BH43" s="4">
        <f>660</f>
        <v>660</v>
      </c>
      <c r="BI43" s="4"/>
      <c r="BJ43" s="4">
        <v>763</v>
      </c>
      <c r="BK43" s="4">
        <v>727.98</v>
      </c>
      <c r="BL43" s="4"/>
      <c r="BM43" s="4">
        <v>3</v>
      </c>
      <c r="BN43" s="155">
        <f>27310181.66</f>
        <v>27310181.66</v>
      </c>
      <c r="BO43" s="4"/>
      <c r="BP43" s="4">
        <v>3</v>
      </c>
      <c r="BQ43" s="4">
        <f>137.3+8.5</f>
        <v>145.80000000000001</v>
      </c>
      <c r="BR43" s="4">
        <v>1457.5</v>
      </c>
      <c r="BS43" s="4">
        <f>1950.47+8858.54</f>
        <v>10809.01</v>
      </c>
      <c r="BT43" s="4"/>
      <c r="BU43" s="4"/>
      <c r="BV43" s="4"/>
      <c r="BW43" s="4">
        <f>7619.29</f>
        <v>7619.29</v>
      </c>
      <c r="BX43" s="4">
        <f>817.82</f>
        <v>817.82</v>
      </c>
      <c r="BY43" s="4"/>
      <c r="BZ43" s="4"/>
      <c r="CA43" s="4"/>
      <c r="CB43" s="4"/>
      <c r="CC43" s="4"/>
      <c r="CD43" s="4"/>
      <c r="CE43" s="4"/>
      <c r="CF43" s="4"/>
      <c r="CG43" s="4"/>
      <c r="CH43" s="4">
        <f>69+23.65</f>
        <v>92.65</v>
      </c>
      <c r="CI43" s="155">
        <f>883.07+273.14</f>
        <v>1156.21</v>
      </c>
      <c r="CJ43" s="4"/>
      <c r="CK43" s="4">
        <f>73.4+61.34</f>
        <v>134.74</v>
      </c>
      <c r="CL43" s="4"/>
      <c r="CM43" s="4">
        <f>595</f>
        <v>595</v>
      </c>
      <c r="CN43" s="4">
        <f>210.86+25</f>
        <v>235.86</v>
      </c>
      <c r="CO43" s="4"/>
      <c r="CP43" s="4">
        <v>5</v>
      </c>
      <c r="CQ43" s="4"/>
      <c r="CR43" s="4">
        <f>1145.71+4749.36+3210.44+5.03</f>
        <v>9110.5400000000009</v>
      </c>
      <c r="CS43" s="4"/>
      <c r="CT43" s="4">
        <v>2578.64</v>
      </c>
      <c r="CU43" s="4">
        <v>16303</v>
      </c>
      <c r="CV43" s="4">
        <v>33.6</v>
      </c>
      <c r="CW43" s="4">
        <f>397.5+300+20185.61+216497.17+132</f>
        <v>237512.28000000003</v>
      </c>
      <c r="CX43" s="4">
        <v>1800</v>
      </c>
      <c r="CY43" s="4"/>
      <c r="CZ43" s="4"/>
      <c r="DA43" s="4"/>
      <c r="DB43" s="4"/>
      <c r="DC43" s="4">
        <v>72</v>
      </c>
      <c r="DD43" s="155">
        <f>59282.97+100+80.95+80.95</f>
        <v>59544.869999999995</v>
      </c>
      <c r="DE43" s="87">
        <v>71.8</v>
      </c>
      <c r="DF43" s="4"/>
      <c r="DG43" s="4">
        <f>29.97+7.5</f>
        <v>37.47</v>
      </c>
      <c r="DH43" s="4"/>
      <c r="DI43" s="4"/>
      <c r="DJ43" s="4"/>
      <c r="DK43" s="4"/>
      <c r="DL43" s="4"/>
      <c r="DM43" s="4"/>
      <c r="DN43" s="4">
        <v>1505.81</v>
      </c>
      <c r="DO43" s="4"/>
      <c r="DP43" s="4"/>
      <c r="DQ43" s="4"/>
      <c r="DR43" s="87">
        <f>19737.37</f>
        <v>19737.37</v>
      </c>
      <c r="DS43" s="4"/>
      <c r="DT43" s="4"/>
      <c r="DU43" s="4">
        <f>500000+438.8</f>
        <v>500438.8</v>
      </c>
      <c r="DV43" s="4"/>
      <c r="DW43" s="4">
        <f>500000</f>
        <v>500000</v>
      </c>
      <c r="DX43" s="4">
        <v>3</v>
      </c>
      <c r="DY43" s="4"/>
      <c r="DZ43" s="155">
        <f>300+300</f>
        <v>600</v>
      </c>
      <c r="EA43" s="4">
        <v>24</v>
      </c>
      <c r="EB43" s="4">
        <f>20+7.5</f>
        <v>27.5</v>
      </c>
      <c r="EC43" s="4"/>
      <c r="ED43" s="4"/>
      <c r="EE43" s="4"/>
      <c r="EF43" s="4"/>
      <c r="EG43" s="32"/>
      <c r="EH43" s="4">
        <v>5</v>
      </c>
      <c r="EI43" s="4">
        <v>426.15</v>
      </c>
      <c r="EJ43" s="4"/>
      <c r="EK43" s="74">
        <v>1142.72</v>
      </c>
      <c r="EL43" s="4"/>
      <c r="EM43" s="4">
        <v>1184912.32</v>
      </c>
      <c r="EN43" s="4"/>
      <c r="EO43" s="4">
        <f>200000+25</f>
        <v>200025</v>
      </c>
      <c r="EP43" s="4"/>
      <c r="EQ43" s="4"/>
      <c r="ER43" s="4">
        <v>11652</v>
      </c>
      <c r="ES43" s="4"/>
      <c r="ET43" s="4"/>
      <c r="EU43" s="155"/>
      <c r="EV43" s="4"/>
      <c r="EW43" s="4">
        <f>20+7.5</f>
        <v>27.5</v>
      </c>
      <c r="EX43" s="4"/>
      <c r="EY43" s="4"/>
      <c r="EZ43" s="4">
        <v>48061.81</v>
      </c>
      <c r="FA43" s="4"/>
      <c r="FB43" s="4"/>
      <c r="FC43" s="4">
        <f>4774.73</f>
        <v>4774.7299999999996</v>
      </c>
      <c r="FD43" s="4"/>
      <c r="FE43" s="189">
        <v>16</v>
      </c>
      <c r="FF43" s="4">
        <v>686.05</v>
      </c>
      <c r="FG43" s="4"/>
      <c r="FH43" s="4"/>
      <c r="FI43" s="189"/>
      <c r="FJ43" s="4"/>
      <c r="FK43" s="4"/>
      <c r="FL43" s="74"/>
      <c r="FM43" s="4"/>
      <c r="FN43" s="4"/>
      <c r="FO43" s="4">
        <f>367989.6+39496.27</f>
        <v>407485.87</v>
      </c>
      <c r="FP43" s="155">
        <f>27514.92+450</f>
        <v>27964.92</v>
      </c>
      <c r="FQ43" s="4"/>
      <c r="FR43" s="4">
        <v>25278.58</v>
      </c>
      <c r="FS43" s="4">
        <f>20+7.5+250000</f>
        <v>250027.5</v>
      </c>
      <c r="FT43" s="4"/>
      <c r="FU43" s="4">
        <v>250000</v>
      </c>
      <c r="FV43" s="4">
        <v>23893.94</v>
      </c>
      <c r="FW43" s="4">
        <v>23.7</v>
      </c>
      <c r="FX43" s="4"/>
      <c r="FY43" s="4"/>
      <c r="FZ43" s="189">
        <v>75000000</v>
      </c>
      <c r="GA43" s="4"/>
      <c r="GB43" s="4"/>
      <c r="GC43" s="4"/>
      <c r="GD43" s="4"/>
      <c r="GE43" s="4"/>
      <c r="GF43" s="4"/>
      <c r="GG43" s="4" t="s">
        <v>49</v>
      </c>
      <c r="GH43" s="4">
        <v>0</v>
      </c>
      <c r="GI43" s="4"/>
      <c r="GJ43" s="4">
        <v>115.25</v>
      </c>
      <c r="GK43" s="4">
        <v>6</v>
      </c>
      <c r="GL43" s="155">
        <f>62742.58</f>
        <v>62742.58</v>
      </c>
      <c r="GM43" s="4">
        <v>27.5</v>
      </c>
      <c r="GN43" s="4"/>
      <c r="GO43" s="4"/>
      <c r="GP43" s="4">
        <f>164.31+8956</f>
        <v>9120.31</v>
      </c>
      <c r="GQ43" s="4"/>
      <c r="GR43" s="4">
        <v>70.430000000000007</v>
      </c>
      <c r="GS43" s="4"/>
      <c r="GT43" s="4"/>
      <c r="GU43" s="123">
        <v>2895.81</v>
      </c>
      <c r="GV43" s="4"/>
      <c r="GW43" s="4">
        <v>1000</v>
      </c>
      <c r="GX43" s="4"/>
      <c r="GY43" s="4">
        <v>181.79</v>
      </c>
      <c r="GZ43" s="4"/>
      <c r="HA43" s="4"/>
      <c r="HB43" s="4"/>
      <c r="HC43" s="4"/>
      <c r="HD43" s="155">
        <f>31.25+439.92</f>
        <v>471.17</v>
      </c>
      <c r="HE43" s="4"/>
      <c r="HF43" s="4"/>
      <c r="HG43" s="4">
        <f>20+7.5</f>
        <v>27.5</v>
      </c>
      <c r="HH43" s="4"/>
      <c r="HI43" s="4"/>
      <c r="HJ43" s="4"/>
      <c r="HK43" s="4">
        <v>18</v>
      </c>
      <c r="HL43" s="4"/>
      <c r="HM43" s="4">
        <f>10+76.05</f>
        <v>86.05</v>
      </c>
      <c r="HN43" s="130"/>
      <c r="HO43" s="74">
        <f>1300000+10</f>
        <v>1300010</v>
      </c>
      <c r="HP43" s="4"/>
      <c r="HQ43" s="4"/>
      <c r="HR43" s="4"/>
      <c r="HS43" s="4">
        <v>59451.79</v>
      </c>
      <c r="HT43" s="4"/>
      <c r="HU43" s="4"/>
      <c r="HV43" s="4"/>
      <c r="HW43" s="4"/>
      <c r="HX43" s="4">
        <v>742</v>
      </c>
      <c r="HY43" s="4"/>
      <c r="HZ43" s="155"/>
      <c r="IA43" s="4"/>
      <c r="IB43" s="4">
        <f>20+7.5</f>
        <v>27.5</v>
      </c>
      <c r="IC43" s="4"/>
      <c r="ID43" s="4">
        <v>60</v>
      </c>
      <c r="IE43" s="4"/>
      <c r="IF43" s="4">
        <f>68688.03+3</f>
        <v>68691.03</v>
      </c>
      <c r="IG43" s="4"/>
      <c r="IH43" s="102"/>
      <c r="II43" s="4"/>
      <c r="IJ43" s="4"/>
      <c r="IK43" s="4"/>
      <c r="IL43" s="4"/>
      <c r="IM43" s="4"/>
      <c r="IN43" s="4">
        <v>2092095.3</v>
      </c>
      <c r="IO43" s="4"/>
      <c r="IP43" s="4"/>
      <c r="IQ43" s="4">
        <v>5000</v>
      </c>
      <c r="IR43" s="4"/>
      <c r="IS43" s="4"/>
      <c r="IT43" s="155">
        <v>81641.440000000002</v>
      </c>
      <c r="IU43" s="4">
        <f t="shared" si="9"/>
        <v>515422283.84000009</v>
      </c>
    </row>
    <row r="44" spans="1:256" ht="14.1" customHeight="1">
      <c r="A44" s="4" t="s">
        <v>44</v>
      </c>
      <c r="B44" s="4"/>
      <c r="C44" s="155">
        <v>611084.66</v>
      </c>
      <c r="D44" s="4">
        <v>765434.01</v>
      </c>
      <c r="E44" s="4">
        <v>3817576.95</v>
      </c>
      <c r="F44" s="4">
        <v>776622.67</v>
      </c>
      <c r="G44" s="4">
        <v>1543938.84</v>
      </c>
      <c r="H44" s="4">
        <v>800349.39</v>
      </c>
      <c r="I44" s="4">
        <v>2107758.37</v>
      </c>
      <c r="J44" s="4">
        <v>1154122.3</v>
      </c>
      <c r="K44" s="4">
        <v>3711712.23</v>
      </c>
      <c r="L44" s="4">
        <v>738955.99</v>
      </c>
      <c r="M44" s="4">
        <v>1183066.6599999999</v>
      </c>
      <c r="N44" s="189">
        <v>639954.44999999995</v>
      </c>
      <c r="O44" s="4">
        <v>3122410.75</v>
      </c>
      <c r="P44" s="4">
        <v>1556600</v>
      </c>
      <c r="Q44" s="4">
        <v>6697202.0599999996</v>
      </c>
      <c r="R44" s="4">
        <v>930761.56</v>
      </c>
      <c r="S44" s="4">
        <v>2950421.35</v>
      </c>
      <c r="T44" s="4">
        <v>1342746.27</v>
      </c>
      <c r="U44" s="4">
        <v>2688550.71</v>
      </c>
      <c r="V44" s="4">
        <v>725125.63</v>
      </c>
      <c r="W44" s="155">
        <v>826630.92</v>
      </c>
      <c r="X44" s="4">
        <v>1339070.6000000001</v>
      </c>
      <c r="Y44" s="4">
        <v>1655640.94</v>
      </c>
      <c r="Z44" s="4">
        <v>4302609.22</v>
      </c>
      <c r="AA44" s="4">
        <v>414580.93</v>
      </c>
      <c r="AB44" s="4">
        <v>609976.85</v>
      </c>
      <c r="AC44" s="4">
        <v>4793218.26</v>
      </c>
      <c r="AD44" s="4">
        <v>1671319.32</v>
      </c>
      <c r="AE44" s="4">
        <v>1140658.18</v>
      </c>
      <c r="AF44" s="189">
        <v>766807.12</v>
      </c>
      <c r="AG44" s="4">
        <v>834142.57</v>
      </c>
      <c r="AH44" s="4">
        <v>548668.35</v>
      </c>
      <c r="AI44" s="4">
        <v>910766.1</v>
      </c>
      <c r="AJ44" s="4">
        <v>2024850.68</v>
      </c>
      <c r="AK44" s="4">
        <v>159844.53</v>
      </c>
      <c r="AL44" s="4">
        <v>674376.21</v>
      </c>
      <c r="AM44" s="4">
        <v>1070013.96</v>
      </c>
      <c r="AN44" s="4">
        <v>486263.45</v>
      </c>
      <c r="AO44" s="4">
        <v>3460478.87</v>
      </c>
      <c r="AP44" s="4">
        <v>1135479.17</v>
      </c>
      <c r="AQ44" s="4">
        <v>2233382.71</v>
      </c>
      <c r="AR44" s="155">
        <v>2158287.85</v>
      </c>
      <c r="AS44" s="4">
        <v>1660689</v>
      </c>
      <c r="AT44" s="4">
        <v>794806.14</v>
      </c>
      <c r="AU44" s="4">
        <v>2330408.6800000002</v>
      </c>
      <c r="AV44" s="189">
        <v>3942149.25</v>
      </c>
      <c r="AW44" s="4">
        <v>4320561.63</v>
      </c>
      <c r="AX44" s="4">
        <v>631979.31000000006</v>
      </c>
      <c r="AY44" s="4">
        <v>1963618.18</v>
      </c>
      <c r="AZ44" s="4">
        <v>700256.9</v>
      </c>
      <c r="BA44" s="4">
        <v>4636395.08</v>
      </c>
      <c r="BB44" s="4">
        <v>3331576.25</v>
      </c>
      <c r="BC44" s="4">
        <v>2319666.64</v>
      </c>
      <c r="BD44" s="4">
        <v>1826187.59</v>
      </c>
      <c r="BE44" s="4">
        <v>2377880.54</v>
      </c>
      <c r="BF44" s="4">
        <v>670839.17000000004</v>
      </c>
      <c r="BG44" s="4">
        <v>1820704.39</v>
      </c>
      <c r="BH44" s="4">
        <v>1357163.87</v>
      </c>
      <c r="BI44" s="4">
        <v>1558735.29</v>
      </c>
      <c r="BJ44" s="4">
        <v>3621268.98</v>
      </c>
      <c r="BK44" s="4">
        <v>697708.75</v>
      </c>
      <c r="BL44" s="4">
        <v>5250430.17</v>
      </c>
      <c r="BM44" s="4">
        <v>1483422.25</v>
      </c>
      <c r="BN44" s="155">
        <v>760250.87</v>
      </c>
      <c r="BO44" s="4">
        <v>658027.68000000005</v>
      </c>
      <c r="BP44" s="4">
        <v>403852.22</v>
      </c>
      <c r="BQ44" s="4">
        <v>2705066.54</v>
      </c>
      <c r="BR44" s="4">
        <v>584621.22</v>
      </c>
      <c r="BS44" s="4">
        <v>990405.04</v>
      </c>
      <c r="BT44" s="4">
        <v>918887.55</v>
      </c>
      <c r="BU44" s="4">
        <v>702665.82</v>
      </c>
      <c r="BV44" s="4">
        <v>5734573.71</v>
      </c>
      <c r="BW44" s="4">
        <v>699598.97</v>
      </c>
      <c r="BX44" s="4">
        <v>772893.7</v>
      </c>
      <c r="BY44" s="4">
        <v>1425588.81</v>
      </c>
      <c r="BZ44" s="4">
        <v>2701815.5</v>
      </c>
      <c r="CA44" s="4">
        <v>6953492.8399999999</v>
      </c>
      <c r="CB44" s="4">
        <v>1334487.6599999999</v>
      </c>
      <c r="CC44" s="4">
        <v>2481940.7200000002</v>
      </c>
      <c r="CD44" s="4">
        <v>1064427.79</v>
      </c>
      <c r="CE44" s="4">
        <v>857268.13</v>
      </c>
      <c r="CF44" s="4">
        <v>5419600.1100000003</v>
      </c>
      <c r="CG44" s="4">
        <v>1491918.82</v>
      </c>
      <c r="CH44" s="4">
        <v>1210821.31</v>
      </c>
      <c r="CI44" s="155">
        <v>552138.94999999995</v>
      </c>
      <c r="CJ44" s="4">
        <v>3102725.22</v>
      </c>
      <c r="CK44" s="4">
        <v>2720463.33</v>
      </c>
      <c r="CL44" s="4">
        <v>4881054.67</v>
      </c>
      <c r="CM44" s="4">
        <v>620815.31999999995</v>
      </c>
      <c r="CN44" s="4">
        <v>5461732.7599999998</v>
      </c>
      <c r="CO44" s="4">
        <v>2143886.37</v>
      </c>
      <c r="CP44" s="4">
        <v>2192737.63</v>
      </c>
      <c r="CQ44" s="4">
        <v>1226424.6599999999</v>
      </c>
      <c r="CR44" s="4">
        <v>975490.5</v>
      </c>
      <c r="CS44" s="4">
        <v>1678969.15</v>
      </c>
      <c r="CT44" s="4">
        <v>980994.35</v>
      </c>
      <c r="CU44" s="4">
        <v>1421661.18</v>
      </c>
      <c r="CV44" s="4">
        <v>2307799.0499999998</v>
      </c>
      <c r="CW44" s="4">
        <v>2231195.09</v>
      </c>
      <c r="CX44" s="4">
        <v>2304114.5699999998</v>
      </c>
      <c r="CY44" s="4">
        <v>4990861.46</v>
      </c>
      <c r="CZ44" s="4">
        <v>2179350.85</v>
      </c>
      <c r="DA44" s="4">
        <v>1701388.08</v>
      </c>
      <c r="DB44" s="4">
        <v>4553734.1100000003</v>
      </c>
      <c r="DC44" s="4">
        <v>3877515.89</v>
      </c>
      <c r="DD44" s="155">
        <v>3360974.06</v>
      </c>
      <c r="DE44" s="87">
        <v>1385534.83</v>
      </c>
      <c r="DF44" s="4">
        <v>1972941.46</v>
      </c>
      <c r="DG44" s="4">
        <v>486056.32</v>
      </c>
      <c r="DH44" s="4">
        <v>2530412.12</v>
      </c>
      <c r="DI44" s="4">
        <v>1779200.26</v>
      </c>
      <c r="DJ44" s="4">
        <v>283062.01</v>
      </c>
      <c r="DK44" s="4">
        <v>561058.29</v>
      </c>
      <c r="DL44" s="4">
        <v>63847.18</v>
      </c>
      <c r="DM44" s="4">
        <v>464780.52</v>
      </c>
      <c r="DN44" s="4">
        <v>124619.88</v>
      </c>
      <c r="DO44" s="4">
        <v>790943.5</v>
      </c>
      <c r="DP44" s="4">
        <v>167398.63</v>
      </c>
      <c r="DQ44" s="4">
        <v>211679.49</v>
      </c>
      <c r="DR44" s="87">
        <v>250638.37</v>
      </c>
      <c r="DS44" s="4">
        <v>794104.62</v>
      </c>
      <c r="DT44" s="4">
        <v>904800.13</v>
      </c>
      <c r="DU44" s="4">
        <v>1334562.94</v>
      </c>
      <c r="DV44" s="4">
        <v>1486465.25</v>
      </c>
      <c r="DW44" s="4">
        <v>1676533.89</v>
      </c>
      <c r="DX44" s="4">
        <v>724639.02</v>
      </c>
      <c r="DY44" s="4">
        <v>624922.07999999996</v>
      </c>
      <c r="DZ44" s="155">
        <v>4909178.76</v>
      </c>
      <c r="EA44" s="4">
        <v>1541239.6</v>
      </c>
      <c r="EB44" s="4">
        <v>3340527.16</v>
      </c>
      <c r="EC44" s="4">
        <v>1755278.74</v>
      </c>
      <c r="ED44" s="4">
        <v>1328966.1599999999</v>
      </c>
      <c r="EE44" s="4">
        <v>881855.62</v>
      </c>
      <c r="EF44" s="4">
        <v>2531796.09</v>
      </c>
      <c r="EG44" s="32">
        <v>611924.43000000005</v>
      </c>
      <c r="EH44" s="4">
        <v>286115.53000000003</v>
      </c>
      <c r="EI44" s="4">
        <v>620200.68000000005</v>
      </c>
      <c r="EJ44" s="4">
        <v>1548137.56</v>
      </c>
      <c r="EK44" s="74">
        <v>2521337.38</v>
      </c>
      <c r="EL44" s="4">
        <v>1668898.17</v>
      </c>
      <c r="EM44" s="4">
        <v>337731.85</v>
      </c>
      <c r="EN44" s="4">
        <v>502965.99</v>
      </c>
      <c r="EO44" s="4">
        <v>671303.93</v>
      </c>
      <c r="EP44" s="4">
        <v>892815.21</v>
      </c>
      <c r="EQ44" s="4">
        <v>4777642.8</v>
      </c>
      <c r="ER44" s="4">
        <v>215855.19</v>
      </c>
      <c r="ES44" s="4">
        <v>1048571.83</v>
      </c>
      <c r="ET44" s="4">
        <v>341434.13</v>
      </c>
      <c r="EU44" s="155">
        <v>1024527.66</v>
      </c>
      <c r="EV44" s="4">
        <v>2068895.57</v>
      </c>
      <c r="EW44" s="4">
        <v>1586563.44</v>
      </c>
      <c r="EX44" s="4">
        <v>660379.49</v>
      </c>
      <c r="EY44" s="4">
        <v>1578385.3</v>
      </c>
      <c r="EZ44" s="4">
        <v>176195.06</v>
      </c>
      <c r="FA44" s="4">
        <v>1123772.8</v>
      </c>
      <c r="FB44" s="4">
        <v>439911.1</v>
      </c>
      <c r="FC44" s="4">
        <v>819056.99</v>
      </c>
      <c r="FD44" s="4">
        <v>340113.95</v>
      </c>
      <c r="FE44" s="189">
        <v>1852924.11</v>
      </c>
      <c r="FF44" s="4">
        <v>599674.65</v>
      </c>
      <c r="FG44" s="4">
        <v>5117747.22</v>
      </c>
      <c r="FH44" s="4">
        <v>1541204.43</v>
      </c>
      <c r="FI44" s="189">
        <v>1159507.92</v>
      </c>
      <c r="FJ44" s="4">
        <v>1017646.81</v>
      </c>
      <c r="FK44" s="4">
        <v>1571392.63</v>
      </c>
      <c r="FL44" s="74">
        <v>1321136.28</v>
      </c>
      <c r="FM44" s="4">
        <v>993059.05</v>
      </c>
      <c r="FN44" s="4">
        <v>600356.44999999995</v>
      </c>
      <c r="FO44" s="4">
        <v>1414773.08</v>
      </c>
      <c r="FP44" s="155">
        <v>3533229.05</v>
      </c>
      <c r="FQ44" s="4">
        <v>1108737.3999999999</v>
      </c>
      <c r="FR44" s="4">
        <v>860753.89</v>
      </c>
      <c r="FS44" s="4">
        <v>2053851.18</v>
      </c>
      <c r="FT44" s="4">
        <v>1436801.71</v>
      </c>
      <c r="FU44" s="4">
        <v>3537473.93</v>
      </c>
      <c r="FV44" s="4">
        <v>285657.86</v>
      </c>
      <c r="FW44" s="4">
        <v>384577.41</v>
      </c>
      <c r="FX44" s="4">
        <v>635727.25</v>
      </c>
      <c r="FY44" s="4">
        <v>1308013.58</v>
      </c>
      <c r="FZ44" s="189">
        <v>1660185.63</v>
      </c>
      <c r="GA44" s="4">
        <v>1476279.25</v>
      </c>
      <c r="GB44" s="4">
        <v>1755290.55</v>
      </c>
      <c r="GC44" s="4">
        <v>6257352.6399999997</v>
      </c>
      <c r="GD44" s="4">
        <v>930134.78</v>
      </c>
      <c r="GE44" s="4">
        <v>1649742.72</v>
      </c>
      <c r="GF44" s="4">
        <v>1090163.19</v>
      </c>
      <c r="GG44" s="4">
        <v>1087787.45</v>
      </c>
      <c r="GH44" s="4">
        <v>2844364.28</v>
      </c>
      <c r="GI44" s="4">
        <v>1745382.12</v>
      </c>
      <c r="GJ44" s="4">
        <v>901723.59</v>
      </c>
      <c r="GK44" s="4">
        <v>1428925.52</v>
      </c>
      <c r="GL44" s="155">
        <v>1097893.31</v>
      </c>
      <c r="GM44" s="4">
        <v>2349855.42</v>
      </c>
      <c r="GN44" s="4">
        <v>956167.04</v>
      </c>
      <c r="GO44" s="4">
        <v>1043579.12</v>
      </c>
      <c r="GP44" s="4">
        <v>919623.63</v>
      </c>
      <c r="GQ44" s="4">
        <v>612671.66</v>
      </c>
      <c r="GR44" s="4">
        <v>1691004.72</v>
      </c>
      <c r="GS44" s="4">
        <v>1758197.02</v>
      </c>
      <c r="GT44" s="4">
        <v>794373.96</v>
      </c>
      <c r="GU44" s="123">
        <v>479157.69</v>
      </c>
      <c r="GV44" s="4">
        <v>3375977.59</v>
      </c>
      <c r="GW44" s="4">
        <v>705223.64</v>
      </c>
      <c r="GX44" s="4">
        <v>851725.14</v>
      </c>
      <c r="GY44" s="4">
        <v>410040.11</v>
      </c>
      <c r="GZ44" s="4">
        <v>662181</v>
      </c>
      <c r="HA44" s="4">
        <v>8024166.8300000001</v>
      </c>
      <c r="HB44" s="4">
        <v>452083.49</v>
      </c>
      <c r="HC44" s="4">
        <v>960365.73</v>
      </c>
      <c r="HD44" s="155">
        <v>266871.90000000002</v>
      </c>
      <c r="HE44" s="4">
        <v>630608.22</v>
      </c>
      <c r="HF44" s="4">
        <v>956468.73</v>
      </c>
      <c r="HG44" s="4">
        <v>746813.05</v>
      </c>
      <c r="HH44" s="4">
        <v>328240.11</v>
      </c>
      <c r="HI44" s="4">
        <v>440410.41</v>
      </c>
      <c r="HJ44" s="4">
        <v>2130524.37</v>
      </c>
      <c r="HK44" s="4">
        <v>3148565.03</v>
      </c>
      <c r="HL44" s="4">
        <v>408283.52</v>
      </c>
      <c r="HM44" s="4">
        <v>421267.69</v>
      </c>
      <c r="HN44" s="130">
        <v>364804.21</v>
      </c>
      <c r="HO44" s="74">
        <v>3049176.48</v>
      </c>
      <c r="HP44" s="4">
        <v>528598.29</v>
      </c>
      <c r="HQ44" s="4">
        <v>817415.27</v>
      </c>
      <c r="HR44" s="4">
        <v>173672.28</v>
      </c>
      <c r="HS44" s="4">
        <v>596728.65</v>
      </c>
      <c r="HT44" s="4">
        <v>4872409.16</v>
      </c>
      <c r="HU44" s="4">
        <v>3241560.46</v>
      </c>
      <c r="HV44" s="4">
        <v>1946454.79</v>
      </c>
      <c r="HW44" s="4">
        <v>3662763.28</v>
      </c>
      <c r="HX44" s="4">
        <v>1554873.12</v>
      </c>
      <c r="HY44" s="4">
        <v>630041.02</v>
      </c>
      <c r="HZ44" s="155">
        <v>1246787.2</v>
      </c>
      <c r="IA44" s="4">
        <v>1451545.46</v>
      </c>
      <c r="IB44" s="4">
        <v>880948.44</v>
      </c>
      <c r="IC44" s="4">
        <v>215337.73</v>
      </c>
      <c r="ID44" s="4">
        <v>394924.4</v>
      </c>
      <c r="IE44" s="4">
        <v>278501.40999999997</v>
      </c>
      <c r="IF44" s="4">
        <v>57944.26</v>
      </c>
      <c r="IG44" s="4">
        <v>1392115.55</v>
      </c>
      <c r="IH44" s="102">
        <v>811740.14</v>
      </c>
      <c r="II44" s="4">
        <v>246594.73</v>
      </c>
      <c r="IJ44" s="4">
        <v>1166223.2</v>
      </c>
      <c r="IK44" s="4">
        <v>491981.54</v>
      </c>
      <c r="IL44" s="4">
        <v>1232508.8600000001</v>
      </c>
      <c r="IM44" s="4">
        <v>2245511.4900000002</v>
      </c>
      <c r="IN44" s="4">
        <v>573602.84</v>
      </c>
      <c r="IO44" s="4">
        <v>351153.86</v>
      </c>
      <c r="IP44" s="4">
        <v>1277092.1200000001</v>
      </c>
      <c r="IQ44" s="4">
        <v>18963417.57</v>
      </c>
      <c r="IR44" s="4">
        <v>673981.93</v>
      </c>
      <c r="IS44" s="4">
        <v>1512069.2</v>
      </c>
      <c r="IT44" s="155">
        <v>420666.56</v>
      </c>
      <c r="IU44" s="4">
        <f t="shared" si="9"/>
        <v>422981899.50000006</v>
      </c>
    </row>
    <row r="45" spans="1:256" ht="14.1" customHeight="1">
      <c r="A45" s="4" t="s">
        <v>45</v>
      </c>
      <c r="B45" s="4"/>
      <c r="C45" s="155">
        <v>16752.55</v>
      </c>
      <c r="D45" s="4">
        <v>13946.61</v>
      </c>
      <c r="E45" s="4">
        <v>8436.8700000000008</v>
      </c>
      <c r="F45" s="4">
        <v>5231.74</v>
      </c>
      <c r="G45" s="4">
        <v>8866.7099999999991</v>
      </c>
      <c r="H45" s="4">
        <v>5185.87</v>
      </c>
      <c r="I45" s="4">
        <v>2877348.41</v>
      </c>
      <c r="J45" s="4">
        <v>25084.07</v>
      </c>
      <c r="K45" s="4">
        <v>21992.25</v>
      </c>
      <c r="L45" s="4">
        <v>64605.07</v>
      </c>
      <c r="M45" s="4">
        <v>4116.7</v>
      </c>
      <c r="N45" s="189">
        <v>55502241.850000001</v>
      </c>
      <c r="O45" s="4">
        <v>232620.13</v>
      </c>
      <c r="P45" s="4">
        <v>123246.38</v>
      </c>
      <c r="Q45" s="4">
        <v>250606.52</v>
      </c>
      <c r="R45" s="4">
        <v>164460.54999999999</v>
      </c>
      <c r="S45" s="4">
        <v>3228817.81</v>
      </c>
      <c r="T45" s="4">
        <v>84016.83</v>
      </c>
      <c r="U45" s="4">
        <v>95920.52</v>
      </c>
      <c r="V45" s="4">
        <v>40709.1</v>
      </c>
      <c r="W45" s="155">
        <v>54693.74</v>
      </c>
      <c r="X45" s="4">
        <v>49685.11</v>
      </c>
      <c r="Y45" s="4">
        <v>19919.400000000001</v>
      </c>
      <c r="Z45" s="4">
        <v>14122.13</v>
      </c>
      <c r="AA45" s="4">
        <v>2173.46</v>
      </c>
      <c r="AB45" s="4">
        <v>3205389.47</v>
      </c>
      <c r="AC45" s="4">
        <v>31676</v>
      </c>
      <c r="AD45" s="4">
        <v>28390.69</v>
      </c>
      <c r="AE45" s="4">
        <v>17586.86</v>
      </c>
      <c r="AF45" s="189">
        <v>56580535.850000001</v>
      </c>
      <c r="AG45" s="4">
        <v>85275</v>
      </c>
      <c r="AH45" s="4">
        <v>91677.23</v>
      </c>
      <c r="AI45" s="4">
        <v>61522.5</v>
      </c>
      <c r="AJ45" s="4">
        <v>36870.49</v>
      </c>
      <c r="AK45" s="4">
        <v>213903.74</v>
      </c>
      <c r="AL45" s="4">
        <v>2777065.92</v>
      </c>
      <c r="AM45" s="4">
        <v>130971.09</v>
      </c>
      <c r="AN45" s="4">
        <v>53888.88</v>
      </c>
      <c r="AO45" s="4">
        <v>151807.34</v>
      </c>
      <c r="AP45" s="4">
        <v>3099.22</v>
      </c>
      <c r="AQ45" s="4">
        <v>11517.3</v>
      </c>
      <c r="AR45" s="155">
        <v>22994.400000000001</v>
      </c>
      <c r="AS45" s="4">
        <v>9174.15</v>
      </c>
      <c r="AT45" s="4">
        <v>29099.05</v>
      </c>
      <c r="AU45" s="4">
        <v>451.73</v>
      </c>
      <c r="AV45" s="189">
        <v>2838640.58</v>
      </c>
      <c r="AW45" s="4">
        <v>15196.48</v>
      </c>
      <c r="AX45" s="4">
        <v>19407.91</v>
      </c>
      <c r="AY45" s="4">
        <v>58722.14</v>
      </c>
      <c r="AZ45" s="4">
        <v>14266.25</v>
      </c>
      <c r="BA45" s="4">
        <v>13145.79</v>
      </c>
      <c r="BB45" s="4">
        <v>24019.35</v>
      </c>
      <c r="BC45" s="4">
        <v>55070015.07</v>
      </c>
      <c r="BD45" s="4">
        <v>125537.81</v>
      </c>
      <c r="BE45" s="4">
        <v>97315.88</v>
      </c>
      <c r="BF45" s="4">
        <v>3480980.17</v>
      </c>
      <c r="BG45" s="4">
        <v>225058.35</v>
      </c>
      <c r="BH45" s="4">
        <v>64157.07</v>
      </c>
      <c r="BI45" s="4">
        <v>145298.43</v>
      </c>
      <c r="BJ45" s="4">
        <v>35179.019999999997</v>
      </c>
      <c r="BK45" s="4">
        <v>18972.57</v>
      </c>
      <c r="BL45" s="4">
        <v>10795.9</v>
      </c>
      <c r="BM45" s="4">
        <v>15505.24</v>
      </c>
      <c r="BN45" s="155">
        <v>20093.66</v>
      </c>
      <c r="BO45" s="4">
        <v>11164.44</v>
      </c>
      <c r="BP45" s="4">
        <v>3335969.87</v>
      </c>
      <c r="BQ45" s="4">
        <v>16596.400000000001</v>
      </c>
      <c r="BR45" s="4">
        <v>76376.929999999993</v>
      </c>
      <c r="BS45" s="4">
        <v>8713.01</v>
      </c>
      <c r="BT45" s="4">
        <v>8928.81</v>
      </c>
      <c r="BU45" s="4">
        <v>10873.89</v>
      </c>
      <c r="BV45" s="4">
        <v>3821.34</v>
      </c>
      <c r="BW45" s="4">
        <v>9329.43</v>
      </c>
      <c r="BX45" s="4">
        <v>22017.919999999998</v>
      </c>
      <c r="BY45" s="4">
        <v>57949630.82</v>
      </c>
      <c r="BZ45" s="4">
        <v>3458084.75</v>
      </c>
      <c r="CA45" s="4">
        <v>161461.71</v>
      </c>
      <c r="CB45" s="4">
        <v>375220.37</v>
      </c>
      <c r="CC45" s="4">
        <v>165926.62</v>
      </c>
      <c r="CD45" s="4">
        <v>26226.34</v>
      </c>
      <c r="CE45" s="4">
        <v>21661.360000000001</v>
      </c>
      <c r="CF45" s="4">
        <v>16026.98</v>
      </c>
      <c r="CG45" s="4">
        <v>64223.19</v>
      </c>
      <c r="CH45" s="4">
        <v>19172.810000000001</v>
      </c>
      <c r="CI45" s="155">
        <v>3524298.32</v>
      </c>
      <c r="CJ45" s="4">
        <v>83564.800000000003</v>
      </c>
      <c r="CK45" s="4">
        <v>31744.16</v>
      </c>
      <c r="CL45" s="4">
        <v>51296.87</v>
      </c>
      <c r="CM45" s="4">
        <v>10842.23</v>
      </c>
      <c r="CN45" s="4">
        <v>18863.59</v>
      </c>
      <c r="CO45" s="4">
        <v>6159.17</v>
      </c>
      <c r="CP45" s="4">
        <v>11063.62</v>
      </c>
      <c r="CQ45" s="4">
        <v>617.02</v>
      </c>
      <c r="CR45" s="4">
        <v>1896.68</v>
      </c>
      <c r="CS45" s="4">
        <v>58346530.219999999</v>
      </c>
      <c r="CT45" s="4">
        <v>103344.34</v>
      </c>
      <c r="CU45" s="4">
        <v>217826.05</v>
      </c>
      <c r="CV45" s="4">
        <v>303587.05</v>
      </c>
      <c r="CW45" s="4">
        <v>218522.35</v>
      </c>
      <c r="CX45" s="4">
        <v>67982.95</v>
      </c>
      <c r="CY45" s="4">
        <v>39921.589999999997</v>
      </c>
      <c r="CZ45" s="4">
        <v>23564.44</v>
      </c>
      <c r="DA45" s="4">
        <v>394076.03</v>
      </c>
      <c r="DB45" s="4">
        <v>21662.76</v>
      </c>
      <c r="DC45" s="4">
        <v>1971238.87</v>
      </c>
      <c r="DD45" s="155">
        <v>166123.17000000001</v>
      </c>
      <c r="DE45" s="87">
        <v>74088.179999999993</v>
      </c>
      <c r="DF45" s="4">
        <v>5659.46</v>
      </c>
      <c r="DG45" s="4">
        <v>4289.6899999999996</v>
      </c>
      <c r="DH45" s="4">
        <v>3542.7</v>
      </c>
      <c r="DI45" s="4">
        <v>5110.18</v>
      </c>
      <c r="DJ45" s="4">
        <v>2580.6799999999998</v>
      </c>
      <c r="DK45" s="4">
        <v>742.09</v>
      </c>
      <c r="DL45" s="4">
        <v>1766953.28</v>
      </c>
      <c r="DM45" s="4">
        <v>14104.66</v>
      </c>
      <c r="DN45" s="4">
        <v>60200844.030000001</v>
      </c>
      <c r="DO45" s="4">
        <v>280628.34000000003</v>
      </c>
      <c r="DP45" s="4">
        <v>88453.440000000002</v>
      </c>
      <c r="DQ45" s="4">
        <v>1777567.59</v>
      </c>
      <c r="DR45" s="87">
        <v>157190.29999999999</v>
      </c>
      <c r="DS45" s="4">
        <v>86640.99</v>
      </c>
      <c r="DT45" s="4">
        <v>48701.84</v>
      </c>
      <c r="DU45" s="4">
        <v>29559.27</v>
      </c>
      <c r="DV45" s="4">
        <v>1756571.96</v>
      </c>
      <c r="DW45" s="4">
        <v>29435.81</v>
      </c>
      <c r="DX45" s="4">
        <v>28154.54</v>
      </c>
      <c r="DY45" s="4">
        <v>47232.78</v>
      </c>
      <c r="DZ45" s="155">
        <v>4926.6499999999996</v>
      </c>
      <c r="EA45" s="4">
        <v>10404.120000000001</v>
      </c>
      <c r="EB45" s="4">
        <v>4094.8</v>
      </c>
      <c r="EC45" s="4">
        <v>288831.32</v>
      </c>
      <c r="ED45" s="4">
        <v>65558.19</v>
      </c>
      <c r="EE45" s="4">
        <v>82.58</v>
      </c>
      <c r="EF45" s="4">
        <v>1915897.8</v>
      </c>
      <c r="EG45" s="32">
        <v>14365.34</v>
      </c>
      <c r="EH45" s="4">
        <v>14611.79</v>
      </c>
      <c r="EI45" s="4">
        <v>41275.25</v>
      </c>
      <c r="EJ45" s="4">
        <v>1598.7</v>
      </c>
      <c r="EK45" s="74">
        <v>56206255.700000003</v>
      </c>
      <c r="EL45" s="4">
        <v>280789.83</v>
      </c>
      <c r="EM45" s="4">
        <v>-10551.43</v>
      </c>
      <c r="EN45" s="4">
        <v>365029.87</v>
      </c>
      <c r="EO45" s="4">
        <v>31810.38</v>
      </c>
      <c r="EP45" s="4">
        <v>2106658.0099999998</v>
      </c>
      <c r="EQ45" s="4">
        <v>74002.179999999993</v>
      </c>
      <c r="ER45" s="4">
        <v>140633.34</v>
      </c>
      <c r="ES45" s="4">
        <v>1467023.49</v>
      </c>
      <c r="ET45" s="4">
        <v>53505.78</v>
      </c>
      <c r="EU45" s="155">
        <v>175176.77</v>
      </c>
      <c r="EV45" s="4">
        <v>103398.41</v>
      </c>
      <c r="EW45" s="4">
        <v>61065.89</v>
      </c>
      <c r="EX45" s="4">
        <v>27682.18</v>
      </c>
      <c r="EY45" s="4">
        <v>2642582.4500000002</v>
      </c>
      <c r="EZ45" s="4">
        <v>48119.02</v>
      </c>
      <c r="FA45" s="4">
        <v>58648.11</v>
      </c>
      <c r="FB45" s="4">
        <v>69752.78</v>
      </c>
      <c r="FC45" s="4">
        <v>7275.42</v>
      </c>
      <c r="FD45" s="4">
        <v>21580.14</v>
      </c>
      <c r="FE45" s="189">
        <v>56888969.189999998</v>
      </c>
      <c r="FF45" s="4">
        <v>140399.29</v>
      </c>
      <c r="FG45" s="4">
        <v>228332.42</v>
      </c>
      <c r="FH45" s="4">
        <v>300388.34000000003</v>
      </c>
      <c r="FI45" s="189">
        <v>2846644.81</v>
      </c>
      <c r="FJ45" s="4">
        <v>139407.15</v>
      </c>
      <c r="FK45" s="4">
        <v>58880.21</v>
      </c>
      <c r="FL45" s="74">
        <v>757497.53</v>
      </c>
      <c r="FM45" s="4">
        <v>54538.35</v>
      </c>
      <c r="FN45" s="4">
        <v>69372.600000000006</v>
      </c>
      <c r="FO45" s="4">
        <v>48521.42</v>
      </c>
      <c r="FP45" s="155">
        <v>17420.32</v>
      </c>
      <c r="FQ45" s="4">
        <v>9464.92</v>
      </c>
      <c r="FR45" s="4">
        <v>6594.39</v>
      </c>
      <c r="FS45" s="4">
        <v>2910093.65</v>
      </c>
      <c r="FT45" s="4">
        <v>30266.71</v>
      </c>
      <c r="FU45" s="4">
        <v>27736.97</v>
      </c>
      <c r="FV45" s="4">
        <v>58123.4</v>
      </c>
      <c r="FW45" s="4">
        <v>4968.93</v>
      </c>
      <c r="FX45" s="4">
        <v>19875.509999999998</v>
      </c>
      <c r="FY45" s="4">
        <v>26796.43</v>
      </c>
      <c r="FZ45" s="189">
        <v>60022720.060000002</v>
      </c>
      <c r="GA45" s="4">
        <v>160572.94</v>
      </c>
      <c r="GB45" s="4">
        <v>3251937.27</v>
      </c>
      <c r="GC45" s="4">
        <v>77289.149999999994</v>
      </c>
      <c r="GD45" s="4">
        <v>184233.28</v>
      </c>
      <c r="GE45" s="4">
        <v>154844.60999999999</v>
      </c>
      <c r="GF45" s="4">
        <v>52843.199999999997</v>
      </c>
      <c r="GG45" s="4">
        <v>16639.18</v>
      </c>
      <c r="GH45" s="4">
        <v>13275.18</v>
      </c>
      <c r="GI45" s="4">
        <v>11435.61</v>
      </c>
      <c r="GJ45" s="4">
        <v>16379</v>
      </c>
      <c r="GK45" s="4">
        <v>3280.7</v>
      </c>
      <c r="GL45" s="155">
        <v>3135679.58</v>
      </c>
      <c r="GM45" s="4">
        <v>49064.88</v>
      </c>
      <c r="GN45" s="4">
        <v>33169.599999999999</v>
      </c>
      <c r="GO45" s="4">
        <v>51006.77</v>
      </c>
      <c r="GP45" s="4">
        <v>5090.3100000000004</v>
      </c>
      <c r="GQ45" s="4">
        <v>16744.61</v>
      </c>
      <c r="GR45" s="4">
        <v>13542.54</v>
      </c>
      <c r="GS45" s="4">
        <v>1273.0999999999999</v>
      </c>
      <c r="GT45" s="4">
        <v>30356.65</v>
      </c>
      <c r="GU45" s="123">
        <v>60942294.060000002</v>
      </c>
      <c r="GV45" s="4">
        <v>188317.07</v>
      </c>
      <c r="GW45" s="4">
        <v>105262.23</v>
      </c>
      <c r="GX45" s="4">
        <v>326912.21999999997</v>
      </c>
      <c r="GY45" s="4">
        <v>158653.21</v>
      </c>
      <c r="GZ45" s="4">
        <v>63841.67</v>
      </c>
      <c r="HA45" s="4">
        <v>653975.78</v>
      </c>
      <c r="HB45" s="4">
        <v>40431.360000000001</v>
      </c>
      <c r="HC45" s="4">
        <v>2878680.85</v>
      </c>
      <c r="HD45" s="155">
        <v>26629.13</v>
      </c>
      <c r="HE45" s="4">
        <v>26529.86</v>
      </c>
      <c r="HF45" s="4">
        <v>11666.12</v>
      </c>
      <c r="HG45" s="4">
        <v>72138.33</v>
      </c>
      <c r="HH45" s="4">
        <v>24663.200000000001</v>
      </c>
      <c r="HI45" s="4">
        <v>18724.41</v>
      </c>
      <c r="HJ45" s="4">
        <v>13598.08</v>
      </c>
      <c r="HK45" s="4">
        <v>6909.23</v>
      </c>
      <c r="HL45" s="4">
        <v>9580.5499999999993</v>
      </c>
      <c r="HM45" s="4">
        <v>1709.11</v>
      </c>
      <c r="HN45" s="130">
        <v>2266804.44</v>
      </c>
      <c r="HO45" s="74">
        <v>59275628.909999996</v>
      </c>
      <c r="HP45" s="4">
        <v>159262.93</v>
      </c>
      <c r="HQ45" s="4">
        <v>134513.60000000001</v>
      </c>
      <c r="HR45" s="4">
        <v>260274.68</v>
      </c>
      <c r="HS45" s="4">
        <v>199888.19</v>
      </c>
      <c r="HT45" s="4">
        <v>307316.77</v>
      </c>
      <c r="HU45" s="4">
        <v>175163.48</v>
      </c>
      <c r="HV45" s="4">
        <v>88630.66</v>
      </c>
      <c r="HW45" s="4">
        <v>2847161.28</v>
      </c>
      <c r="HX45" s="4">
        <v>63788.22</v>
      </c>
      <c r="HY45" s="4">
        <v>31389.99</v>
      </c>
      <c r="HZ45" s="155">
        <v>16766.16</v>
      </c>
      <c r="IA45" s="4">
        <v>7951.02</v>
      </c>
      <c r="IB45" s="4">
        <v>8987.0400000000009</v>
      </c>
      <c r="IC45" s="4">
        <v>12260.25</v>
      </c>
      <c r="ID45" s="4">
        <v>12066.83</v>
      </c>
      <c r="IE45" s="4">
        <v>3202.16</v>
      </c>
      <c r="IF45" s="4">
        <v>1663225.95</v>
      </c>
      <c r="IG45" s="4">
        <v>19684.400000000001</v>
      </c>
      <c r="IH45" s="102">
        <v>2383.1999999999998</v>
      </c>
      <c r="II45" s="4">
        <v>61323.11</v>
      </c>
      <c r="IJ45" s="4">
        <v>57354427.729999997</v>
      </c>
      <c r="IK45" s="4">
        <v>179876.33</v>
      </c>
      <c r="IL45" s="4">
        <v>160860.81</v>
      </c>
      <c r="IM45" s="4">
        <v>288811.53000000003</v>
      </c>
      <c r="IN45" s="4">
        <v>169981.27</v>
      </c>
      <c r="IO45" s="4">
        <v>2601383.86</v>
      </c>
      <c r="IP45" s="4">
        <v>90382.24</v>
      </c>
      <c r="IQ45" s="4">
        <v>49198.17</v>
      </c>
      <c r="IR45" s="4">
        <v>67331.59</v>
      </c>
      <c r="IS45" s="4">
        <v>5091.21</v>
      </c>
      <c r="IT45" s="155">
        <v>7981.44</v>
      </c>
      <c r="IU45" s="4">
        <f t="shared" si="9"/>
        <v>778918729.02999985</v>
      </c>
    </row>
    <row r="46" spans="1:256" ht="14.1" customHeight="1">
      <c r="A46" s="5" t="s">
        <v>43</v>
      </c>
      <c r="B46" s="5"/>
      <c r="C46" s="157">
        <v>20002.48</v>
      </c>
      <c r="D46" s="5">
        <v>18983.419999999998</v>
      </c>
      <c r="E46" s="5">
        <v>14856.52</v>
      </c>
      <c r="F46" s="5">
        <v>7944.01</v>
      </c>
      <c r="G46" s="5">
        <v>16623.37</v>
      </c>
      <c r="H46" s="5">
        <v>5619.76</v>
      </c>
      <c r="I46" s="5">
        <v>4791.8999999999996</v>
      </c>
      <c r="J46" s="5">
        <v>3815.75</v>
      </c>
      <c r="K46" s="5">
        <v>2981.8</v>
      </c>
      <c r="L46" s="5">
        <v>9435.49</v>
      </c>
      <c r="M46" s="5">
        <v>4848.8599999999997</v>
      </c>
      <c r="N46" s="228">
        <v>12670.24</v>
      </c>
      <c r="O46" s="5">
        <v>21608.52</v>
      </c>
      <c r="P46" s="5">
        <v>20901.11</v>
      </c>
      <c r="Q46" s="5">
        <v>22750.2</v>
      </c>
      <c r="R46" s="5">
        <v>25650.560000000001</v>
      </c>
      <c r="S46" s="5">
        <v>11802.77</v>
      </c>
      <c r="T46" s="5">
        <v>27553.84</v>
      </c>
      <c r="U46" s="5">
        <v>23432.49</v>
      </c>
      <c r="V46" s="5">
        <v>13354.88</v>
      </c>
      <c r="W46" s="157">
        <v>16247.72</v>
      </c>
      <c r="X46" s="5">
        <v>25392.99</v>
      </c>
      <c r="Y46" s="5">
        <v>2902.29</v>
      </c>
      <c r="Z46" s="5">
        <v>7235.94</v>
      </c>
      <c r="AA46" s="5">
        <v>11302.54</v>
      </c>
      <c r="AB46" s="5">
        <v>11881.93</v>
      </c>
      <c r="AC46" s="5">
        <v>26432.95</v>
      </c>
      <c r="AD46" s="5">
        <v>16491.64</v>
      </c>
      <c r="AE46" s="5">
        <v>8108.13</v>
      </c>
      <c r="AF46" s="228">
        <v>13915.3</v>
      </c>
      <c r="AG46" s="5">
        <v>7104.57</v>
      </c>
      <c r="AH46" s="5">
        <v>30473.71</v>
      </c>
      <c r="AI46" s="5">
        <v>17936.96</v>
      </c>
      <c r="AJ46" s="5">
        <v>9071.89</v>
      </c>
      <c r="AK46" s="5">
        <v>12706.2</v>
      </c>
      <c r="AL46" s="5">
        <v>9160.59</v>
      </c>
      <c r="AM46" s="5">
        <v>15706.52</v>
      </c>
      <c r="AN46" s="5">
        <v>5883.57</v>
      </c>
      <c r="AO46" s="5">
        <v>9888.58</v>
      </c>
      <c r="AP46" s="5">
        <v>19663.64</v>
      </c>
      <c r="AQ46" s="5">
        <v>8329.1299999999992</v>
      </c>
      <c r="AR46" s="157">
        <v>21807.29</v>
      </c>
      <c r="AS46" s="5">
        <v>7669.65</v>
      </c>
      <c r="AT46" s="5">
        <v>5830.06</v>
      </c>
      <c r="AU46" s="5">
        <v>20747.099999999999</v>
      </c>
      <c r="AV46" s="228">
        <v>8854.26</v>
      </c>
      <c r="AW46" s="5">
        <v>16464.490000000002</v>
      </c>
      <c r="AX46" s="5">
        <v>16045.2</v>
      </c>
      <c r="AY46" s="5">
        <v>15249.33</v>
      </c>
      <c r="AZ46" s="5">
        <v>11522.45</v>
      </c>
      <c r="BA46" s="5">
        <v>10796.23</v>
      </c>
      <c r="BB46" s="5">
        <v>22668.92</v>
      </c>
      <c r="BC46" s="5">
        <v>10283.69</v>
      </c>
      <c r="BD46" s="5">
        <v>10698.99</v>
      </c>
      <c r="BE46" s="5">
        <v>38048.54</v>
      </c>
      <c r="BF46" s="5">
        <v>14105.96</v>
      </c>
      <c r="BG46" s="5">
        <v>19235.89</v>
      </c>
      <c r="BH46" s="5">
        <v>28627.89</v>
      </c>
      <c r="BI46" s="5">
        <v>9116.31</v>
      </c>
      <c r="BJ46" s="5">
        <v>8695.26</v>
      </c>
      <c r="BK46" s="5">
        <v>10093.6</v>
      </c>
      <c r="BL46" s="5">
        <v>16912.89</v>
      </c>
      <c r="BM46" s="5">
        <v>11009.37</v>
      </c>
      <c r="BN46" s="157">
        <v>7406.4</v>
      </c>
      <c r="BO46" s="5">
        <v>3505.21</v>
      </c>
      <c r="BP46" s="5">
        <v>2293.33</v>
      </c>
      <c r="BQ46" s="5">
        <v>24095.31</v>
      </c>
      <c r="BR46" s="5">
        <v>12463.17</v>
      </c>
      <c r="BS46" s="5">
        <v>11448.57</v>
      </c>
      <c r="BT46" s="5">
        <v>11308.93</v>
      </c>
      <c r="BU46" s="5">
        <v>9226.82</v>
      </c>
      <c r="BV46" s="5">
        <v>10444.19</v>
      </c>
      <c r="BW46" s="5">
        <v>5122.1400000000003</v>
      </c>
      <c r="BX46" s="5">
        <v>5988.41</v>
      </c>
      <c r="BY46" s="5">
        <v>11680.73</v>
      </c>
      <c r="BZ46" s="5">
        <v>25062.62</v>
      </c>
      <c r="CA46" s="5">
        <v>24553.69</v>
      </c>
      <c r="CB46" s="5">
        <v>10750.48</v>
      </c>
      <c r="CC46" s="5">
        <v>4336.03</v>
      </c>
      <c r="CD46" s="5">
        <v>9404.76</v>
      </c>
      <c r="CE46" s="5">
        <v>11268.83</v>
      </c>
      <c r="CF46" s="5">
        <v>16501.330000000002</v>
      </c>
      <c r="CG46" s="5">
        <v>4958</v>
      </c>
      <c r="CH46" s="5">
        <v>9498</v>
      </c>
      <c r="CI46" s="157">
        <v>2115.12</v>
      </c>
      <c r="CJ46" s="5">
        <v>14234.87</v>
      </c>
      <c r="CK46" s="5">
        <v>6894.06</v>
      </c>
      <c r="CL46" s="5">
        <v>7670.88</v>
      </c>
      <c r="CM46" s="5">
        <v>18953.330000000002</v>
      </c>
      <c r="CN46" s="5">
        <v>17960.48</v>
      </c>
      <c r="CO46" s="5">
        <v>15879.23</v>
      </c>
      <c r="CP46" s="5">
        <v>21306.73</v>
      </c>
      <c r="CQ46" s="5">
        <v>5377.09</v>
      </c>
      <c r="CR46" s="5">
        <v>11472.58</v>
      </c>
      <c r="CS46" s="5">
        <v>13132.85</v>
      </c>
      <c r="CT46" s="5">
        <v>25292.91</v>
      </c>
      <c r="CU46" s="5">
        <v>18175.900000000001</v>
      </c>
      <c r="CV46" s="5">
        <v>45876.99</v>
      </c>
      <c r="CW46" s="5">
        <v>6817.76</v>
      </c>
      <c r="CX46" s="5">
        <v>7748.78</v>
      </c>
      <c r="CY46" s="5">
        <v>62402.54</v>
      </c>
      <c r="CZ46" s="5">
        <v>23247.21</v>
      </c>
      <c r="DA46" s="5">
        <v>8054.02</v>
      </c>
      <c r="DB46" s="5">
        <v>3361.98</v>
      </c>
      <c r="DC46" s="5">
        <v>9114.39</v>
      </c>
      <c r="DD46" s="157">
        <v>8444.6200000000008</v>
      </c>
      <c r="DE46" s="89">
        <v>8477.59</v>
      </c>
      <c r="DF46" s="5">
        <v>350</v>
      </c>
      <c r="DG46" s="5">
        <v>26285.98</v>
      </c>
      <c r="DH46" s="5">
        <v>53355.45</v>
      </c>
      <c r="DI46" s="5">
        <v>16144.04</v>
      </c>
      <c r="DJ46" s="5">
        <v>6874.66</v>
      </c>
      <c r="DK46" s="5">
        <v>25082.92</v>
      </c>
      <c r="DL46" s="5">
        <v>27227.82</v>
      </c>
      <c r="DM46" s="5">
        <v>29594.61</v>
      </c>
      <c r="DN46" s="5">
        <v>3168.44</v>
      </c>
      <c r="DO46" s="5">
        <v>9729.3700000000008</v>
      </c>
      <c r="DP46" s="5">
        <v>10446.01</v>
      </c>
      <c r="DQ46" s="5">
        <v>23707.88</v>
      </c>
      <c r="DR46" s="89">
        <v>31038.01</v>
      </c>
      <c r="DS46" s="5">
        <v>19876.61</v>
      </c>
      <c r="DT46" s="5">
        <v>5590.84</v>
      </c>
      <c r="DU46" s="5">
        <v>3544.47</v>
      </c>
      <c r="DV46" s="5">
        <v>1136.01</v>
      </c>
      <c r="DW46" s="5">
        <v>11323.89</v>
      </c>
      <c r="DX46" s="5">
        <v>4159.22</v>
      </c>
      <c r="DY46" s="5">
        <v>1111.08</v>
      </c>
      <c r="DZ46" s="157">
        <v>861.64</v>
      </c>
      <c r="EA46" s="5">
        <v>520.14</v>
      </c>
      <c r="EB46" s="5">
        <v>13624.24</v>
      </c>
      <c r="EC46" s="5">
        <v>37752.65</v>
      </c>
      <c r="ED46" s="5">
        <v>35360.51</v>
      </c>
      <c r="EE46" s="5">
        <v>4932.46</v>
      </c>
      <c r="EF46" s="5">
        <v>12743.26</v>
      </c>
      <c r="EG46" s="33">
        <v>16057.87</v>
      </c>
      <c r="EH46" s="5">
        <v>15762.62</v>
      </c>
      <c r="EI46" s="5">
        <v>12500.79</v>
      </c>
      <c r="EJ46" s="5">
        <v>9064.48</v>
      </c>
      <c r="EK46" s="76">
        <v>9532.5499999999993</v>
      </c>
      <c r="EL46" s="5">
        <v>23849.79</v>
      </c>
      <c r="EM46" s="5">
        <v>-11863.85</v>
      </c>
      <c r="EN46" s="5">
        <v>35926.269999999997</v>
      </c>
      <c r="EO46" s="5">
        <v>11279.68</v>
      </c>
      <c r="EP46" s="5">
        <v>71847.66</v>
      </c>
      <c r="EQ46" s="5">
        <v>15505.68</v>
      </c>
      <c r="ER46" s="5">
        <v>16962.060000000001</v>
      </c>
      <c r="ES46" s="5">
        <v>12781.14</v>
      </c>
      <c r="ET46" s="5">
        <v>22536.560000000001</v>
      </c>
      <c r="EU46" s="157">
        <v>12914.05</v>
      </c>
      <c r="EV46" s="5">
        <v>13486.16</v>
      </c>
      <c r="EW46" s="5">
        <v>2207.96</v>
      </c>
      <c r="EX46" s="5">
        <v>3712.69</v>
      </c>
      <c r="EY46" s="5">
        <v>16029.64</v>
      </c>
      <c r="EZ46" s="5">
        <v>21330.3</v>
      </c>
      <c r="FA46" s="5">
        <v>15840.65</v>
      </c>
      <c r="FB46" s="5">
        <v>6572.51</v>
      </c>
      <c r="FC46" s="5">
        <v>14155.82</v>
      </c>
      <c r="FD46" s="5">
        <v>5183.9399999999996</v>
      </c>
      <c r="FE46" s="228">
        <v>13107.47</v>
      </c>
      <c r="FF46" s="5">
        <v>12743.5</v>
      </c>
      <c r="FG46" s="5">
        <v>19509.89</v>
      </c>
      <c r="FH46" s="5">
        <v>29441.23</v>
      </c>
      <c r="FI46" s="228">
        <v>18244.099999999999</v>
      </c>
      <c r="FJ46" s="5">
        <v>19793.21</v>
      </c>
      <c r="FK46" s="5">
        <v>7347.4</v>
      </c>
      <c r="FL46" s="76">
        <v>1444.08</v>
      </c>
      <c r="FM46" s="5">
        <v>1660.44</v>
      </c>
      <c r="FN46" s="5">
        <v>7821.35</v>
      </c>
      <c r="FO46" s="5">
        <v>18198.740000000002</v>
      </c>
      <c r="FP46" s="157">
        <v>5449.08</v>
      </c>
      <c r="FQ46" s="5">
        <v>16989.080000000002</v>
      </c>
      <c r="FR46" s="5">
        <v>12198.32</v>
      </c>
      <c r="FS46" s="5">
        <v>7008.36</v>
      </c>
      <c r="FT46" s="5">
        <v>13441.4</v>
      </c>
      <c r="FU46" s="5">
        <v>20407.830000000002</v>
      </c>
      <c r="FV46" s="5">
        <v>75282.13</v>
      </c>
      <c r="FW46" s="5">
        <v>21855.81</v>
      </c>
      <c r="FX46" s="5">
        <v>8769.4500000000007</v>
      </c>
      <c r="FY46" s="5">
        <v>10449.89</v>
      </c>
      <c r="FZ46" s="228">
        <v>5628.68</v>
      </c>
      <c r="GA46" s="5">
        <v>12710.54</v>
      </c>
      <c r="GB46" s="5">
        <v>24908.54</v>
      </c>
      <c r="GC46" s="5">
        <v>186238.55</v>
      </c>
      <c r="GD46" s="5">
        <v>23676.54</v>
      </c>
      <c r="GE46" s="5">
        <v>5924.08</v>
      </c>
      <c r="GF46" s="5">
        <v>17204.77</v>
      </c>
      <c r="GG46" s="5">
        <v>11728.17</v>
      </c>
      <c r="GH46" s="5">
        <v>16487</v>
      </c>
      <c r="GI46" s="5">
        <v>11311.02</v>
      </c>
      <c r="GJ46" s="5">
        <v>40947.730000000003</v>
      </c>
      <c r="GK46" s="5">
        <v>11657.63</v>
      </c>
      <c r="GL46" s="157">
        <v>5751.11</v>
      </c>
      <c r="GM46" s="5">
        <v>5445.99</v>
      </c>
      <c r="GN46" s="5">
        <v>2091.06</v>
      </c>
      <c r="GO46" s="5">
        <v>10199.290000000001</v>
      </c>
      <c r="GP46" s="5">
        <v>50068.09</v>
      </c>
      <c r="GQ46" s="5">
        <v>31289.93</v>
      </c>
      <c r="GR46" s="5">
        <v>17806.150000000001</v>
      </c>
      <c r="GS46" s="5">
        <v>20398.39</v>
      </c>
      <c r="GT46" s="5">
        <v>9268.83</v>
      </c>
      <c r="GU46" s="197">
        <v>4838.8999999999996</v>
      </c>
      <c r="GV46" s="5">
        <v>19075.169999999998</v>
      </c>
      <c r="GW46" s="5">
        <v>4502.8900000000003</v>
      </c>
      <c r="GX46" s="5">
        <v>21704.85</v>
      </c>
      <c r="GY46" s="5">
        <v>7059.94</v>
      </c>
      <c r="GZ46" s="5">
        <v>12943.78</v>
      </c>
      <c r="HA46" s="5">
        <v>29373.53</v>
      </c>
      <c r="HB46" s="5">
        <v>22610.43</v>
      </c>
      <c r="HC46" s="5">
        <v>14866.94</v>
      </c>
      <c r="HD46" s="157">
        <v>70698.880000000005</v>
      </c>
      <c r="HE46" s="5">
        <v>9257.4500000000007</v>
      </c>
      <c r="HF46" s="5">
        <v>3990.19</v>
      </c>
      <c r="HG46" s="5">
        <v>3328.63</v>
      </c>
      <c r="HH46" s="5">
        <v>16362.42</v>
      </c>
      <c r="HI46" s="5">
        <v>16509.78</v>
      </c>
      <c r="HJ46" s="5">
        <v>28017.119999999999</v>
      </c>
      <c r="HK46" s="5">
        <v>8384.85</v>
      </c>
      <c r="HL46" s="5">
        <v>7325.93</v>
      </c>
      <c r="HM46" s="5">
        <v>32571.88</v>
      </c>
      <c r="HN46" s="132">
        <v>18374.080000000002</v>
      </c>
      <c r="HO46" s="76">
        <v>11436.03</v>
      </c>
      <c r="HP46" s="5">
        <v>11751.09</v>
      </c>
      <c r="HQ46" s="5">
        <v>4557.1499999999996</v>
      </c>
      <c r="HR46" s="5">
        <v>8766.93</v>
      </c>
      <c r="HS46" s="5">
        <v>6880.39</v>
      </c>
      <c r="HT46" s="5">
        <v>20673.919999999998</v>
      </c>
      <c r="HU46" s="5">
        <v>4379.8900000000003</v>
      </c>
      <c r="HV46" s="5">
        <v>2366.79</v>
      </c>
      <c r="HW46" s="5">
        <v>9936</v>
      </c>
      <c r="HX46" s="5">
        <v>10711.32</v>
      </c>
      <c r="HY46" s="5">
        <v>5231.71</v>
      </c>
      <c r="HZ46" s="157">
        <v>4927.7299999999996</v>
      </c>
      <c r="IA46" s="5">
        <v>1629.29</v>
      </c>
      <c r="IB46" s="5">
        <v>3757.94</v>
      </c>
      <c r="IC46" s="5">
        <v>838.54</v>
      </c>
      <c r="ID46" s="5">
        <v>1480.5</v>
      </c>
      <c r="IE46" s="5">
        <v>1316.13</v>
      </c>
      <c r="IF46" s="5">
        <v>16815.77</v>
      </c>
      <c r="IG46" s="5">
        <v>4457.16</v>
      </c>
      <c r="IH46" s="104">
        <v>4037.46</v>
      </c>
      <c r="II46" s="5">
        <v>3172.36</v>
      </c>
      <c r="IJ46" s="5">
        <v>33263.839999999997</v>
      </c>
      <c r="IK46" s="5">
        <v>12298.85</v>
      </c>
      <c r="IL46" s="5">
        <v>37825.730000000003</v>
      </c>
      <c r="IM46" s="5">
        <v>10961.38</v>
      </c>
      <c r="IN46" s="5">
        <v>8310.43</v>
      </c>
      <c r="IO46" s="5">
        <v>3748.97</v>
      </c>
      <c r="IP46" s="5">
        <v>6954.81</v>
      </c>
      <c r="IQ46" s="5">
        <v>4494.24</v>
      </c>
      <c r="IR46" s="5">
        <v>642.41999999999996</v>
      </c>
      <c r="IS46" s="5">
        <v>7380.42</v>
      </c>
      <c r="IT46" s="157">
        <v>13931.94</v>
      </c>
      <c r="IU46" s="4">
        <f t="shared" si="9"/>
        <v>3764633.3600000003</v>
      </c>
    </row>
    <row r="47" spans="1:256" s="42" customFormat="1" ht="14.1" customHeight="1" thickBot="1">
      <c r="A47" s="44" t="s">
        <v>24</v>
      </c>
      <c r="B47" s="45"/>
      <c r="C47" s="46">
        <f t="shared" ref="C47:BN47" si="10">SUM(C29:C46)</f>
        <v>647852.69000000006</v>
      </c>
      <c r="D47" s="46">
        <f t="shared" si="10"/>
        <v>798820.04</v>
      </c>
      <c r="E47" s="46">
        <f t="shared" si="10"/>
        <v>4168295.06</v>
      </c>
      <c r="F47" s="46">
        <f t="shared" si="10"/>
        <v>789798.42</v>
      </c>
      <c r="G47" s="46">
        <f t="shared" si="10"/>
        <v>15650364.459999999</v>
      </c>
      <c r="H47" s="46">
        <f t="shared" si="10"/>
        <v>400811675.37</v>
      </c>
      <c r="I47" s="46">
        <f t="shared" si="10"/>
        <v>5110102.32</v>
      </c>
      <c r="J47" s="46">
        <f t="shared" si="10"/>
        <v>1578643.1300000001</v>
      </c>
      <c r="K47" s="46">
        <f t="shared" si="10"/>
        <v>3736966.28</v>
      </c>
      <c r="L47" s="46">
        <f t="shared" si="10"/>
        <v>842216.72</v>
      </c>
      <c r="M47" s="46">
        <f t="shared" si="10"/>
        <v>1198524.22</v>
      </c>
      <c r="N47" s="66">
        <f t="shared" si="10"/>
        <v>67662213.36999999</v>
      </c>
      <c r="O47" s="46">
        <f t="shared" si="10"/>
        <v>3376839.4</v>
      </c>
      <c r="P47" s="46">
        <f t="shared" si="10"/>
        <v>1721206.2300000002</v>
      </c>
      <c r="Q47" s="46">
        <f t="shared" si="10"/>
        <v>7448735.7199999997</v>
      </c>
      <c r="R47" s="46">
        <f t="shared" si="10"/>
        <v>1238094.7400000002</v>
      </c>
      <c r="S47" s="46">
        <f t="shared" si="10"/>
        <v>6642894.4100000001</v>
      </c>
      <c r="T47" s="46">
        <f t="shared" si="10"/>
        <v>1454341.2400000002</v>
      </c>
      <c r="U47" s="46">
        <f t="shared" si="10"/>
        <v>2821544</v>
      </c>
      <c r="V47" s="46">
        <f t="shared" si="10"/>
        <v>1108531.06</v>
      </c>
      <c r="W47" s="46">
        <f t="shared" si="10"/>
        <v>2133474.5700000008</v>
      </c>
      <c r="X47" s="46">
        <f t="shared" si="10"/>
        <v>1414178.1</v>
      </c>
      <c r="Y47" s="46">
        <f t="shared" si="10"/>
        <v>2073708.13</v>
      </c>
      <c r="Z47" s="46">
        <f t="shared" si="10"/>
        <v>4325073.9800000004</v>
      </c>
      <c r="AA47" s="46">
        <f t="shared" si="10"/>
        <v>14595576.01</v>
      </c>
      <c r="AB47" s="46">
        <f t="shared" si="10"/>
        <v>3943871.56</v>
      </c>
      <c r="AC47" s="46">
        <f t="shared" si="10"/>
        <v>5305287.71</v>
      </c>
      <c r="AD47" s="46">
        <f t="shared" si="10"/>
        <v>1869681.0799999998</v>
      </c>
      <c r="AE47" s="46">
        <f t="shared" si="10"/>
        <v>1166353.17</v>
      </c>
      <c r="AF47" s="66">
        <f t="shared" si="10"/>
        <v>59074423.449999996</v>
      </c>
      <c r="AG47" s="46">
        <f t="shared" si="10"/>
        <v>10980645.76</v>
      </c>
      <c r="AH47" s="46">
        <f t="shared" si="10"/>
        <v>690618.17999999993</v>
      </c>
      <c r="AI47" s="46">
        <f t="shared" si="10"/>
        <v>1113412.0899999999</v>
      </c>
      <c r="AJ47" s="46">
        <f t="shared" si="10"/>
        <v>2072908.1199999999</v>
      </c>
      <c r="AK47" s="46">
        <f t="shared" si="10"/>
        <v>386454.47000000003</v>
      </c>
      <c r="AL47" s="46">
        <f t="shared" si="10"/>
        <v>3595407.1899999995</v>
      </c>
      <c r="AM47" s="46">
        <f t="shared" si="10"/>
        <v>1570102.76</v>
      </c>
      <c r="AN47" s="46">
        <f t="shared" si="10"/>
        <v>546035.89999999991</v>
      </c>
      <c r="AO47" s="46">
        <f t="shared" si="10"/>
        <v>3627205.73</v>
      </c>
      <c r="AP47" s="46">
        <f t="shared" si="10"/>
        <v>1158447.0299999998</v>
      </c>
      <c r="AQ47" s="46">
        <f t="shared" si="10"/>
        <v>2271253.9799999995</v>
      </c>
      <c r="AR47" s="46">
        <f t="shared" si="10"/>
        <v>2203089.54</v>
      </c>
      <c r="AS47" s="46">
        <f t="shared" si="10"/>
        <v>1679415.42</v>
      </c>
      <c r="AT47" s="46">
        <f t="shared" si="10"/>
        <v>1236334.3900000001</v>
      </c>
      <c r="AU47" s="46">
        <f t="shared" si="10"/>
        <v>2351672.66</v>
      </c>
      <c r="AV47" s="66">
        <f t="shared" si="10"/>
        <v>21336384.949999999</v>
      </c>
      <c r="AW47" s="46">
        <f t="shared" si="10"/>
        <v>4502293.1700000009</v>
      </c>
      <c r="AX47" s="46">
        <f t="shared" si="10"/>
        <v>669179.96000000008</v>
      </c>
      <c r="AY47" s="46">
        <f t="shared" si="10"/>
        <v>2038981.99</v>
      </c>
      <c r="AZ47" s="46">
        <f t="shared" si="10"/>
        <v>726045.6</v>
      </c>
      <c r="BA47" s="46">
        <f t="shared" si="10"/>
        <v>4661887.1000000006</v>
      </c>
      <c r="BB47" s="46">
        <f t="shared" si="10"/>
        <v>3380157.74</v>
      </c>
      <c r="BC47" s="46">
        <f t="shared" si="10"/>
        <v>59119457.640000001</v>
      </c>
      <c r="BD47" s="46">
        <f t="shared" si="10"/>
        <v>16545872.850000001</v>
      </c>
      <c r="BE47" s="46">
        <f t="shared" si="10"/>
        <v>2516901.54</v>
      </c>
      <c r="BF47" s="46">
        <f t="shared" si="10"/>
        <v>4297605.6100000003</v>
      </c>
      <c r="BG47" s="46">
        <f t="shared" si="10"/>
        <v>2527688.4500000002</v>
      </c>
      <c r="BH47" s="46">
        <f t="shared" si="10"/>
        <v>1450648.83</v>
      </c>
      <c r="BI47" s="46">
        <f t="shared" si="10"/>
        <v>1730165.55</v>
      </c>
      <c r="BJ47" s="46">
        <f t="shared" si="10"/>
        <v>3665906.26</v>
      </c>
      <c r="BK47" s="46">
        <f t="shared" si="10"/>
        <v>729370.5199999999</v>
      </c>
      <c r="BL47" s="46">
        <f t="shared" si="10"/>
        <v>5282479.45</v>
      </c>
      <c r="BM47" s="46">
        <f t="shared" si="10"/>
        <v>1509939.86</v>
      </c>
      <c r="BN47" s="46">
        <f t="shared" si="10"/>
        <v>28447990.23</v>
      </c>
      <c r="BO47" s="46">
        <f t="shared" ref="BO47:DZ47" si="11">SUM(BO29:BO46)</f>
        <v>672697.33</v>
      </c>
      <c r="BP47" s="46">
        <f t="shared" si="11"/>
        <v>4053769.63</v>
      </c>
      <c r="BQ47" s="46">
        <f t="shared" si="11"/>
        <v>3332963.8</v>
      </c>
      <c r="BR47" s="46">
        <f t="shared" si="11"/>
        <v>14734360.880000001</v>
      </c>
      <c r="BS47" s="46">
        <f t="shared" si="11"/>
        <v>1174411.9900000002</v>
      </c>
      <c r="BT47" s="46">
        <f t="shared" si="11"/>
        <v>939305.05000000016</v>
      </c>
      <c r="BU47" s="46">
        <f t="shared" si="11"/>
        <v>728768.27999999991</v>
      </c>
      <c r="BV47" s="46">
        <f t="shared" si="11"/>
        <v>5749528.1200000001</v>
      </c>
      <c r="BW47" s="46">
        <f t="shared" si="11"/>
        <v>722061.71000000008</v>
      </c>
      <c r="BX47" s="46">
        <f t="shared" si="11"/>
        <v>801717.85</v>
      </c>
      <c r="BY47" s="46">
        <f t="shared" si="11"/>
        <v>61099917.409999996</v>
      </c>
      <c r="BZ47" s="46">
        <f t="shared" si="11"/>
        <v>16803716.040000003</v>
      </c>
      <c r="CA47" s="46">
        <f t="shared" si="11"/>
        <v>7611035.2300000004</v>
      </c>
      <c r="CB47" s="46">
        <f t="shared" si="11"/>
        <v>1731501.7199999997</v>
      </c>
      <c r="CC47" s="46">
        <f t="shared" si="11"/>
        <v>2654085.9900000002</v>
      </c>
      <c r="CD47" s="46">
        <f t="shared" si="11"/>
        <v>1104745.6400000001</v>
      </c>
      <c r="CE47" s="46">
        <f t="shared" si="11"/>
        <v>890198.32</v>
      </c>
      <c r="CF47" s="46">
        <f t="shared" si="11"/>
        <v>5452128.4200000009</v>
      </c>
      <c r="CG47" s="46">
        <f t="shared" si="11"/>
        <v>1563094.73</v>
      </c>
      <c r="CH47" s="46">
        <f t="shared" si="11"/>
        <v>1250380.05</v>
      </c>
      <c r="CI47" s="46">
        <f t="shared" si="11"/>
        <v>4839173.47</v>
      </c>
      <c r="CJ47" s="46">
        <f t="shared" si="11"/>
        <v>3200524.89</v>
      </c>
      <c r="CK47" s="46">
        <f t="shared" si="11"/>
        <v>3063663.3200000003</v>
      </c>
      <c r="CL47" s="46">
        <f t="shared" si="11"/>
        <v>4940022.42</v>
      </c>
      <c r="CM47" s="46">
        <f t="shared" si="11"/>
        <v>651205.87999999989</v>
      </c>
      <c r="CN47" s="46">
        <f t="shared" si="11"/>
        <v>19922922.649999999</v>
      </c>
      <c r="CO47" s="46">
        <f t="shared" si="11"/>
        <v>2165924.77</v>
      </c>
      <c r="CP47" s="46">
        <f t="shared" si="11"/>
        <v>2225162.98</v>
      </c>
      <c r="CQ47" s="46">
        <f t="shared" si="11"/>
        <v>1234243.95</v>
      </c>
      <c r="CR47" s="46">
        <f t="shared" si="11"/>
        <v>1002562.5</v>
      </c>
      <c r="CS47" s="46">
        <f t="shared" si="11"/>
        <v>61858605.579999998</v>
      </c>
      <c r="CT47" s="46">
        <f t="shared" si="11"/>
        <v>11280068.469999999</v>
      </c>
      <c r="CU47" s="46">
        <f t="shared" si="11"/>
        <v>1677081.72</v>
      </c>
      <c r="CV47" s="46">
        <f t="shared" si="11"/>
        <v>2697723.73</v>
      </c>
      <c r="CW47" s="46">
        <f t="shared" si="11"/>
        <v>2694196.0399999996</v>
      </c>
      <c r="CX47" s="46">
        <f t="shared" si="11"/>
        <v>2428269.2799999998</v>
      </c>
      <c r="CY47" s="46">
        <f t="shared" si="11"/>
        <v>5093185.59</v>
      </c>
      <c r="CZ47" s="46">
        <f t="shared" si="11"/>
        <v>2226162.5</v>
      </c>
      <c r="DA47" s="46">
        <f t="shared" si="11"/>
        <v>2103518.13</v>
      </c>
      <c r="DB47" s="46">
        <f t="shared" si="11"/>
        <v>4694889.3100000005</v>
      </c>
      <c r="DC47" s="46">
        <f t="shared" si="11"/>
        <v>5958381.1299999999</v>
      </c>
      <c r="DD47" s="46">
        <f t="shared" si="11"/>
        <v>4176481.43</v>
      </c>
      <c r="DE47" s="46">
        <f t="shared" si="11"/>
        <v>9296294.0999999996</v>
      </c>
      <c r="DF47" s="46">
        <f t="shared" si="11"/>
        <v>1978950.92</v>
      </c>
      <c r="DG47" s="46">
        <f t="shared" si="11"/>
        <v>7363426.9500000011</v>
      </c>
      <c r="DH47" s="46">
        <f t="shared" si="11"/>
        <v>2587310.2700000005</v>
      </c>
      <c r="DI47" s="46">
        <f t="shared" si="11"/>
        <v>1800454.48</v>
      </c>
      <c r="DJ47" s="46">
        <f t="shared" si="11"/>
        <v>292517.34999999998</v>
      </c>
      <c r="DK47" s="46">
        <f t="shared" si="11"/>
        <v>586883.30000000005</v>
      </c>
      <c r="DL47" s="46">
        <f t="shared" si="11"/>
        <v>1956478.4500000002</v>
      </c>
      <c r="DM47" s="46">
        <f t="shared" si="11"/>
        <v>782755.98</v>
      </c>
      <c r="DN47" s="46">
        <f t="shared" si="11"/>
        <v>62049718.259999998</v>
      </c>
      <c r="DO47" s="46">
        <f t="shared" si="11"/>
        <v>12172089.709999999</v>
      </c>
      <c r="DP47" s="46">
        <f t="shared" si="11"/>
        <v>299758.73</v>
      </c>
      <c r="DQ47" s="46">
        <f t="shared" si="11"/>
        <v>2012954.96</v>
      </c>
      <c r="DR47" s="46">
        <f t="shared" si="11"/>
        <v>461919.98</v>
      </c>
      <c r="DS47" s="46">
        <f t="shared" si="11"/>
        <v>902064.25</v>
      </c>
      <c r="DT47" s="46">
        <f t="shared" si="11"/>
        <v>959092.80999999994</v>
      </c>
      <c r="DU47" s="46">
        <f t="shared" si="11"/>
        <v>1868105.48</v>
      </c>
      <c r="DV47" s="46">
        <f t="shared" si="11"/>
        <v>3349745.46</v>
      </c>
      <c r="DW47" s="46">
        <f t="shared" si="11"/>
        <v>2486858.1</v>
      </c>
      <c r="DX47" s="46">
        <f t="shared" si="11"/>
        <v>757711.20000000007</v>
      </c>
      <c r="DY47" s="46">
        <f t="shared" si="11"/>
        <v>681465.85</v>
      </c>
      <c r="DZ47" s="46">
        <f t="shared" si="11"/>
        <v>4915567.05</v>
      </c>
      <c r="EA47" s="46">
        <f t="shared" ref="EA47:GL47" si="12">SUM(EA29:EA46)</f>
        <v>1553596.9700000002</v>
      </c>
      <c r="EB47" s="46">
        <f t="shared" si="12"/>
        <v>3658273.7</v>
      </c>
      <c r="EC47" s="46">
        <f t="shared" si="12"/>
        <v>7978379.7800000012</v>
      </c>
      <c r="ED47" s="46">
        <f t="shared" si="12"/>
        <v>15835192.619999999</v>
      </c>
      <c r="EE47" s="46">
        <f t="shared" si="12"/>
        <v>886870.65999999992</v>
      </c>
      <c r="EF47" s="46">
        <f t="shared" si="12"/>
        <v>4564241.62</v>
      </c>
      <c r="EG47" s="46">
        <f t="shared" si="12"/>
        <v>957461.07000000007</v>
      </c>
      <c r="EH47" s="46">
        <f t="shared" si="12"/>
        <v>316641.68</v>
      </c>
      <c r="EI47" s="46">
        <f t="shared" si="12"/>
        <v>676056.68</v>
      </c>
      <c r="EJ47" s="46">
        <f t="shared" si="12"/>
        <v>1564726.94</v>
      </c>
      <c r="EK47" s="66">
        <f t="shared" si="12"/>
        <v>60596026.530000001</v>
      </c>
      <c r="EL47" s="46">
        <f t="shared" si="12"/>
        <v>14314235.969999999</v>
      </c>
      <c r="EM47" s="46">
        <f t="shared" si="12"/>
        <v>1500228.89</v>
      </c>
      <c r="EN47" s="46">
        <f t="shared" si="12"/>
        <v>958406.81</v>
      </c>
      <c r="EO47" s="46">
        <f t="shared" si="12"/>
        <v>914418.99000000011</v>
      </c>
      <c r="EP47" s="46">
        <f t="shared" si="12"/>
        <v>3167831.5999999996</v>
      </c>
      <c r="EQ47" s="46">
        <f t="shared" si="12"/>
        <v>5201817.0699999994</v>
      </c>
      <c r="ER47" s="46">
        <f t="shared" si="12"/>
        <v>385186.11</v>
      </c>
      <c r="ES47" s="46">
        <f t="shared" si="12"/>
        <v>2635791.5900000003</v>
      </c>
      <c r="ET47" s="46">
        <f t="shared" si="12"/>
        <v>417476.47000000003</v>
      </c>
      <c r="EU47" s="46">
        <f t="shared" si="12"/>
        <v>1400115.04</v>
      </c>
      <c r="EV47" s="46">
        <f t="shared" si="12"/>
        <v>2380305.1000000006</v>
      </c>
      <c r="EW47" s="46">
        <f t="shared" si="12"/>
        <v>1749735.4499999997</v>
      </c>
      <c r="EX47" s="46">
        <f t="shared" si="12"/>
        <v>691774.36</v>
      </c>
      <c r="EY47" s="46">
        <f t="shared" si="12"/>
        <v>16456503.93</v>
      </c>
      <c r="EZ47" s="46">
        <f t="shared" si="12"/>
        <v>707527.91</v>
      </c>
      <c r="FA47" s="46">
        <f t="shared" si="12"/>
        <v>1198261.56</v>
      </c>
      <c r="FB47" s="46">
        <f t="shared" si="12"/>
        <v>524572.07999999996</v>
      </c>
      <c r="FC47" s="46">
        <f t="shared" si="12"/>
        <v>845262.96</v>
      </c>
      <c r="FD47" s="46">
        <f t="shared" si="12"/>
        <v>368509.26</v>
      </c>
      <c r="FE47" s="66">
        <f t="shared" si="12"/>
        <v>60366307.109999999</v>
      </c>
      <c r="FF47" s="46">
        <f t="shared" si="12"/>
        <v>10946578.949999999</v>
      </c>
      <c r="FG47" s="46">
        <f t="shared" si="12"/>
        <v>5395032.8699999992</v>
      </c>
      <c r="FH47" s="46">
        <f t="shared" si="12"/>
        <v>1872789.73</v>
      </c>
      <c r="FI47" s="66">
        <f t="shared" si="12"/>
        <v>4529365.68</v>
      </c>
      <c r="FJ47" s="46">
        <f t="shared" si="12"/>
        <v>1176847.17</v>
      </c>
      <c r="FK47" s="46">
        <f t="shared" si="12"/>
        <v>1655523.8899999997</v>
      </c>
      <c r="FL47" s="277">
        <f t="shared" si="12"/>
        <v>2080877.4600000002</v>
      </c>
      <c r="FM47" s="46">
        <f t="shared" si="12"/>
        <v>1183368.3500000001</v>
      </c>
      <c r="FN47" s="46">
        <f t="shared" si="12"/>
        <v>691239.40999999992</v>
      </c>
      <c r="FO47" s="46">
        <f t="shared" si="12"/>
        <v>1888979.11</v>
      </c>
      <c r="FP47" s="46">
        <f t="shared" si="12"/>
        <v>3584063.3699999996</v>
      </c>
      <c r="FQ47" s="46">
        <f t="shared" si="12"/>
        <v>1135191.3999999999</v>
      </c>
      <c r="FR47" s="46">
        <f t="shared" si="12"/>
        <v>1212328.79</v>
      </c>
      <c r="FS47" s="46">
        <f t="shared" si="12"/>
        <v>5338034.57</v>
      </c>
      <c r="FT47" s="46">
        <f t="shared" si="12"/>
        <v>15951492.320000002</v>
      </c>
      <c r="FU47" s="46">
        <f t="shared" si="12"/>
        <v>3839949.5600000005</v>
      </c>
      <c r="FV47" s="46">
        <f t="shared" si="12"/>
        <v>570171.07000000007</v>
      </c>
      <c r="FW47" s="46">
        <f t="shared" si="12"/>
        <v>411425.85</v>
      </c>
      <c r="FX47" s="46">
        <f t="shared" si="12"/>
        <v>664372.21</v>
      </c>
      <c r="FY47" s="46">
        <f t="shared" si="12"/>
        <v>2951809.8600000003</v>
      </c>
      <c r="FZ47" s="66">
        <f t="shared" si="12"/>
        <v>147714473.32999998</v>
      </c>
      <c r="GA47" s="46">
        <f t="shared" si="12"/>
        <v>1649562.73</v>
      </c>
      <c r="GB47" s="46">
        <f t="shared" si="12"/>
        <v>5175698.09</v>
      </c>
      <c r="GC47" s="46">
        <f t="shared" si="12"/>
        <v>6933134.7599999998</v>
      </c>
      <c r="GD47" s="46">
        <f t="shared" si="12"/>
        <v>1138044.6000000001</v>
      </c>
      <c r="GE47" s="46">
        <f t="shared" si="12"/>
        <v>1816440.5699999998</v>
      </c>
      <c r="GF47" s="46">
        <f t="shared" si="12"/>
        <v>1160211.1599999999</v>
      </c>
      <c r="GG47" s="46">
        <f t="shared" si="12"/>
        <v>1118902.1899999997</v>
      </c>
      <c r="GH47" s="46">
        <f t="shared" si="12"/>
        <v>2876181.56</v>
      </c>
      <c r="GI47" s="46">
        <f t="shared" si="12"/>
        <v>1768128.7500000002</v>
      </c>
      <c r="GJ47" s="46">
        <f t="shared" si="12"/>
        <v>968785.28999999992</v>
      </c>
      <c r="GK47" s="46">
        <f t="shared" si="12"/>
        <v>1444161.0599999998</v>
      </c>
      <c r="GL47" s="46">
        <f t="shared" si="12"/>
        <v>4716908.0600000005</v>
      </c>
      <c r="GM47" s="46">
        <f t="shared" ref="GM47:IU47" si="13">SUM(GM29:GM46)</f>
        <v>2654265.13</v>
      </c>
      <c r="GN47" s="46">
        <f t="shared" si="13"/>
        <v>991427.70000000007</v>
      </c>
      <c r="GO47" s="46">
        <f t="shared" si="13"/>
        <v>1104785.18</v>
      </c>
      <c r="GP47" s="46">
        <f t="shared" si="13"/>
        <v>15563332.490000002</v>
      </c>
      <c r="GQ47" s="46">
        <f t="shared" si="13"/>
        <v>662072.84000000008</v>
      </c>
      <c r="GR47" s="46">
        <f t="shared" si="13"/>
        <v>1851239.68</v>
      </c>
      <c r="GS47" s="46">
        <f t="shared" si="13"/>
        <v>1779868.51</v>
      </c>
      <c r="GT47" s="46">
        <f t="shared" si="13"/>
        <v>833999.44</v>
      </c>
      <c r="GU47" s="66">
        <f t="shared" si="13"/>
        <v>73982759.160000011</v>
      </c>
      <c r="GV47" s="46">
        <f t="shared" si="13"/>
        <v>3605796.3899999997</v>
      </c>
      <c r="GW47" s="46">
        <f t="shared" si="13"/>
        <v>820243.89</v>
      </c>
      <c r="GX47" s="46">
        <f t="shared" si="13"/>
        <v>1227990.98</v>
      </c>
      <c r="GY47" s="46">
        <f t="shared" si="13"/>
        <v>706902.53999999992</v>
      </c>
      <c r="GZ47" s="46">
        <f t="shared" si="13"/>
        <v>738966.45000000007</v>
      </c>
      <c r="HA47" s="46">
        <f t="shared" si="13"/>
        <v>8722110.5699999984</v>
      </c>
      <c r="HB47" s="46">
        <f t="shared" si="13"/>
        <v>515125.27999999997</v>
      </c>
      <c r="HC47" s="46">
        <f t="shared" si="13"/>
        <v>3966796.53</v>
      </c>
      <c r="HD47" s="46">
        <f t="shared" si="13"/>
        <v>1016876.6200000001</v>
      </c>
      <c r="HE47" s="46">
        <f t="shared" si="13"/>
        <v>666525.52999999991</v>
      </c>
      <c r="HF47" s="46">
        <f t="shared" si="13"/>
        <v>1204141.8</v>
      </c>
      <c r="HG47" s="46">
        <f t="shared" si="13"/>
        <v>822362.41</v>
      </c>
      <c r="HH47" s="46">
        <f t="shared" si="13"/>
        <v>370078.82999999996</v>
      </c>
      <c r="HI47" s="46">
        <f t="shared" si="13"/>
        <v>15799220.34</v>
      </c>
      <c r="HJ47" s="46">
        <f t="shared" si="13"/>
        <v>2172139.5700000003</v>
      </c>
      <c r="HK47" s="46">
        <f t="shared" si="13"/>
        <v>3165546.9</v>
      </c>
      <c r="HL47" s="46">
        <f t="shared" si="13"/>
        <v>425190</v>
      </c>
      <c r="HM47" s="46">
        <f t="shared" si="13"/>
        <v>456059.73</v>
      </c>
      <c r="HN47" s="142">
        <f t="shared" si="13"/>
        <v>3063445.75</v>
      </c>
      <c r="HO47" s="66">
        <f t="shared" si="13"/>
        <v>76138571.579999998</v>
      </c>
      <c r="HP47" s="46">
        <f t="shared" si="13"/>
        <v>701537.13</v>
      </c>
      <c r="HQ47" s="46">
        <f t="shared" si="13"/>
        <v>1007443.02</v>
      </c>
      <c r="HR47" s="46">
        <f t="shared" si="13"/>
        <v>1399547.2299999997</v>
      </c>
      <c r="HS47" s="46">
        <f t="shared" si="13"/>
        <v>866798.55999999994</v>
      </c>
      <c r="HT47" s="46">
        <f t="shared" si="13"/>
        <v>13860687.41</v>
      </c>
      <c r="HU47" s="46">
        <f t="shared" si="13"/>
        <v>3533991.84</v>
      </c>
      <c r="HV47" s="46">
        <f t="shared" si="13"/>
        <v>2037452.24</v>
      </c>
      <c r="HW47" s="46">
        <f t="shared" si="13"/>
        <v>6836662.3399999999</v>
      </c>
      <c r="HX47" s="46">
        <f t="shared" si="13"/>
        <v>1630114.6600000001</v>
      </c>
      <c r="HY47" s="46">
        <f t="shared" si="13"/>
        <v>666662.72</v>
      </c>
      <c r="HZ47" s="46">
        <f t="shared" si="13"/>
        <v>1268481.0899999999</v>
      </c>
      <c r="IA47" s="46">
        <f t="shared" si="13"/>
        <v>1461125.77</v>
      </c>
      <c r="IB47" s="46">
        <f t="shared" si="13"/>
        <v>893720.91999999993</v>
      </c>
      <c r="IC47" s="46">
        <f t="shared" si="13"/>
        <v>14601439.879999999</v>
      </c>
      <c r="ID47" s="46">
        <f t="shared" si="13"/>
        <v>640191.29999999993</v>
      </c>
      <c r="IE47" s="46">
        <f t="shared" si="13"/>
        <v>399983.73999999993</v>
      </c>
      <c r="IF47" s="46">
        <f t="shared" si="13"/>
        <v>1929706.52</v>
      </c>
      <c r="IG47" s="46">
        <f t="shared" si="13"/>
        <v>101668634.69</v>
      </c>
      <c r="IH47" s="107">
        <f t="shared" si="13"/>
        <v>820243.57</v>
      </c>
      <c r="II47" s="46">
        <f t="shared" si="13"/>
        <v>311090.2</v>
      </c>
      <c r="IJ47" s="46">
        <f t="shared" si="13"/>
        <v>70278910.120000005</v>
      </c>
      <c r="IK47" s="46">
        <f t="shared" si="13"/>
        <v>720979.95</v>
      </c>
      <c r="IL47" s="46">
        <f t="shared" si="13"/>
        <v>51432197.379999995</v>
      </c>
      <c r="IM47" s="46">
        <f t="shared" si="13"/>
        <v>2566918.09</v>
      </c>
      <c r="IN47" s="46">
        <f t="shared" si="13"/>
        <v>2845286.08</v>
      </c>
      <c r="IO47" s="46">
        <f t="shared" si="13"/>
        <v>3074704.67</v>
      </c>
      <c r="IP47" s="46">
        <f t="shared" si="13"/>
        <v>1714216.6800000002</v>
      </c>
      <c r="IQ47" s="46">
        <f t="shared" si="13"/>
        <v>19040965.370000001</v>
      </c>
      <c r="IR47" s="46">
        <f t="shared" si="13"/>
        <v>741955.94000000006</v>
      </c>
      <c r="IS47" s="46">
        <f t="shared" si="13"/>
        <v>1524540.8299999998</v>
      </c>
      <c r="IT47" s="46">
        <f t="shared" si="13"/>
        <v>529707.52000000002</v>
      </c>
      <c r="IU47" s="46">
        <f t="shared" si="13"/>
        <v>2223815425.5999999</v>
      </c>
      <c r="IV47" s="8"/>
    </row>
    <row r="48" spans="1:256" ht="14.1" customHeight="1" thickTop="1">
      <c r="A48" s="3" t="s">
        <v>14</v>
      </c>
      <c r="B48" s="3"/>
      <c r="C48" s="159">
        <v>178705.55</v>
      </c>
      <c r="D48" s="6">
        <v>296489.46000000002</v>
      </c>
      <c r="E48" s="6"/>
      <c r="F48" s="6"/>
      <c r="G48" s="6"/>
      <c r="H48" s="6">
        <v>222813.81</v>
      </c>
      <c r="I48" s="6">
        <v>259118.86</v>
      </c>
      <c r="J48" s="6">
        <v>247177.56</v>
      </c>
      <c r="K48" s="6">
        <v>171049.46</v>
      </c>
      <c r="L48" s="6">
        <v>158533.95000000001</v>
      </c>
      <c r="M48" s="6">
        <v>211918.24</v>
      </c>
      <c r="N48" s="226">
        <v>294114.45</v>
      </c>
      <c r="O48" s="6">
        <v>245450.99</v>
      </c>
      <c r="P48" s="6">
        <v>237375.42</v>
      </c>
      <c r="Q48" s="6">
        <v>204960.66</v>
      </c>
      <c r="R48" s="6">
        <v>164805.78</v>
      </c>
      <c r="S48" s="6">
        <v>289755.93</v>
      </c>
      <c r="T48" s="6">
        <v>251788.13</v>
      </c>
      <c r="U48" s="6">
        <v>159822.26999999999</v>
      </c>
      <c r="V48" s="6">
        <v>260220.43</v>
      </c>
      <c r="W48" s="159">
        <v>250630.64</v>
      </c>
      <c r="X48" s="6">
        <v>169578.7</v>
      </c>
      <c r="Y48" s="6">
        <v>39255.82</v>
      </c>
      <c r="Z48" s="6">
        <v>262096.81</v>
      </c>
      <c r="AA48" s="6">
        <v>225406.83</v>
      </c>
      <c r="AB48" s="6">
        <v>34587.269999999997</v>
      </c>
      <c r="AC48" s="6">
        <v>133731.19</v>
      </c>
      <c r="AD48" s="6">
        <v>115652.98</v>
      </c>
      <c r="AE48" s="6">
        <v>114091.07</v>
      </c>
      <c r="AF48" s="226">
        <v>270432.98</v>
      </c>
      <c r="AG48" s="6">
        <v>163545.28</v>
      </c>
      <c r="AH48" s="6">
        <v>122369.1</v>
      </c>
      <c r="AI48" s="6">
        <v>49705.95</v>
      </c>
      <c r="AJ48" s="6">
        <v>232791.3</v>
      </c>
      <c r="AK48" s="6">
        <v>8159494.6200000001</v>
      </c>
      <c r="AL48" s="6">
        <v>5368139.62</v>
      </c>
      <c r="AM48" s="6">
        <v>167261.68</v>
      </c>
      <c r="AN48" s="6">
        <v>255024.26</v>
      </c>
      <c r="AO48" s="6">
        <v>141387.66</v>
      </c>
      <c r="AP48" s="6">
        <v>121201.77</v>
      </c>
      <c r="AQ48" s="6">
        <v>273909.78999999998</v>
      </c>
      <c r="AR48" s="159">
        <v>173102.87</v>
      </c>
      <c r="AS48" s="6">
        <v>180251.39</v>
      </c>
      <c r="AT48" s="6">
        <v>1449676.42</v>
      </c>
      <c r="AU48" s="6">
        <v>137986.9</v>
      </c>
      <c r="AV48" s="226">
        <v>246028.73</v>
      </c>
      <c r="AW48" s="6">
        <v>322511.78000000003</v>
      </c>
      <c r="AX48" s="6">
        <v>137969.09</v>
      </c>
      <c r="AY48" s="6">
        <v>170011.34</v>
      </c>
      <c r="AZ48" s="6">
        <v>149716.41</v>
      </c>
      <c r="BA48" s="6">
        <v>87598.63</v>
      </c>
      <c r="BB48" s="6">
        <v>169412.23</v>
      </c>
      <c r="BC48" s="6">
        <v>256573.3</v>
      </c>
      <c r="BD48" s="6">
        <v>231200.23</v>
      </c>
      <c r="BE48" s="6">
        <v>159919.54</v>
      </c>
      <c r="BF48" s="6">
        <v>276354.28000000003</v>
      </c>
      <c r="BG48" s="6">
        <v>250028.93</v>
      </c>
      <c r="BH48" s="6">
        <v>187444.74</v>
      </c>
      <c r="BI48" s="6">
        <v>344760.86</v>
      </c>
      <c r="BJ48" s="6">
        <v>162346.66</v>
      </c>
      <c r="BK48" s="6">
        <v>167673.38</v>
      </c>
      <c r="BL48" s="6">
        <v>225717.55</v>
      </c>
      <c r="BM48" s="6">
        <v>159346.16</v>
      </c>
      <c r="BN48" s="159">
        <v>228256.22</v>
      </c>
      <c r="BO48" s="6">
        <v>159078.82999999999</v>
      </c>
      <c r="BP48" s="6">
        <v>118824.25</v>
      </c>
      <c r="BQ48" s="6">
        <v>194393.24</v>
      </c>
      <c r="BR48" s="6">
        <v>210036.7</v>
      </c>
      <c r="BS48" s="6">
        <v>203821.14</v>
      </c>
      <c r="BT48" s="6">
        <v>201206.84</v>
      </c>
      <c r="BU48" s="6">
        <v>248074.15</v>
      </c>
      <c r="BV48" s="6">
        <v>185678.24</v>
      </c>
      <c r="BW48" s="6">
        <v>216104.3</v>
      </c>
      <c r="BX48" s="6">
        <v>218690.37</v>
      </c>
      <c r="BY48" s="6">
        <v>228431.62</v>
      </c>
      <c r="BZ48" s="6">
        <v>244348.57</v>
      </c>
      <c r="CA48" s="6">
        <v>170778.57</v>
      </c>
      <c r="CB48" s="6"/>
      <c r="CC48" s="6"/>
      <c r="CD48" s="6">
        <v>142965.82999999999</v>
      </c>
      <c r="CE48" s="6">
        <v>159898.4</v>
      </c>
      <c r="CF48" s="6">
        <v>197887.53</v>
      </c>
      <c r="CG48" s="6">
        <v>181381.29</v>
      </c>
      <c r="CH48" s="6">
        <v>138106.23999999999</v>
      </c>
      <c r="CI48" s="159">
        <v>109751.15</v>
      </c>
      <c r="CJ48" s="6">
        <v>205069.06</v>
      </c>
      <c r="CK48" s="6">
        <v>643219.68999999994</v>
      </c>
      <c r="CL48" s="6">
        <v>103898.74</v>
      </c>
      <c r="CM48" s="6">
        <v>4808280.0199999996</v>
      </c>
      <c r="CN48" s="6">
        <v>247641.19</v>
      </c>
      <c r="CO48" s="6">
        <v>146150.62</v>
      </c>
      <c r="CP48" s="6">
        <v>144199.88</v>
      </c>
      <c r="CQ48" s="6">
        <v>148383.54999999999</v>
      </c>
      <c r="CR48" s="6">
        <v>70307.92</v>
      </c>
      <c r="CS48" s="6">
        <v>51023.48</v>
      </c>
      <c r="CT48" s="6">
        <v>155684.72</v>
      </c>
      <c r="CU48" s="6">
        <v>118097.3</v>
      </c>
      <c r="CV48" s="6">
        <v>185677.41</v>
      </c>
      <c r="CW48" s="6">
        <v>119207.25</v>
      </c>
      <c r="CX48" s="6">
        <v>142431.28</v>
      </c>
      <c r="CY48" s="6">
        <v>138663.59</v>
      </c>
      <c r="CZ48" s="6">
        <v>135351.15</v>
      </c>
      <c r="DA48" s="6">
        <v>109919.02</v>
      </c>
      <c r="DB48" s="6">
        <v>143527.49</v>
      </c>
      <c r="DC48" s="6">
        <v>142711.07</v>
      </c>
      <c r="DD48" s="159">
        <v>194973.67</v>
      </c>
      <c r="DE48" s="91">
        <v>2644.55</v>
      </c>
      <c r="DF48" s="6">
        <v>70572.08</v>
      </c>
      <c r="DG48" s="6">
        <v>171802.47</v>
      </c>
      <c r="DH48" s="6"/>
      <c r="DI48" s="6">
        <v>111158.48</v>
      </c>
      <c r="DJ48" s="6">
        <v>117955.22</v>
      </c>
      <c r="DK48" s="6">
        <v>121059.49</v>
      </c>
      <c r="DL48" s="6">
        <v>167296.21</v>
      </c>
      <c r="DM48" s="6">
        <v>184540.23</v>
      </c>
      <c r="DN48" s="6">
        <v>188803.97</v>
      </c>
      <c r="DO48" s="6">
        <v>221661.75</v>
      </c>
      <c r="DP48" s="6"/>
      <c r="DQ48" s="6">
        <v>122794.15</v>
      </c>
      <c r="DR48" s="91">
        <v>98721.2</v>
      </c>
      <c r="DS48" s="6"/>
      <c r="DT48" s="6">
        <v>79087.539999999994</v>
      </c>
      <c r="DU48" s="6">
        <v>203308.18</v>
      </c>
      <c r="DV48" s="6">
        <v>176111.09</v>
      </c>
      <c r="DW48" s="6">
        <v>206710.69</v>
      </c>
      <c r="DX48" s="6">
        <v>182985.94</v>
      </c>
      <c r="DY48" s="6">
        <v>127350.63</v>
      </c>
      <c r="DZ48" s="159">
        <v>347436.66</v>
      </c>
      <c r="EA48" s="6">
        <v>533663.05000000005</v>
      </c>
      <c r="EB48" s="6">
        <v>113741.24</v>
      </c>
      <c r="EC48" s="6">
        <v>507977.78</v>
      </c>
      <c r="ED48" s="6">
        <v>108473.31</v>
      </c>
      <c r="EE48" s="6">
        <v>162597.29</v>
      </c>
      <c r="EF48" s="6">
        <v>131602.60999999999</v>
      </c>
      <c r="EG48" s="36">
        <v>133053.10999999999</v>
      </c>
      <c r="EH48" s="6">
        <v>105420.68</v>
      </c>
      <c r="EI48" s="6">
        <v>160638.47</v>
      </c>
      <c r="EJ48" s="6">
        <v>126472.88</v>
      </c>
      <c r="EK48" s="78">
        <v>61334.52</v>
      </c>
      <c r="EL48" s="6">
        <v>1349852.89</v>
      </c>
      <c r="EM48" s="6"/>
      <c r="EN48" s="6">
        <v>137201.59</v>
      </c>
      <c r="EO48" s="6">
        <v>238328.15</v>
      </c>
      <c r="EP48" s="6">
        <v>79332.63</v>
      </c>
      <c r="EQ48" s="6">
        <v>190000.36</v>
      </c>
      <c r="ER48" s="6">
        <v>185103.55</v>
      </c>
      <c r="ES48" s="6">
        <v>196425.43</v>
      </c>
      <c r="ET48" s="6">
        <v>242344.39</v>
      </c>
      <c r="EU48" s="159">
        <v>466879.75</v>
      </c>
      <c r="EV48" s="6">
        <v>244698.48</v>
      </c>
      <c r="EW48" s="6">
        <v>207279.95</v>
      </c>
      <c r="EX48" s="6">
        <v>266685.03999999998</v>
      </c>
      <c r="EY48" s="6">
        <v>177043.92</v>
      </c>
      <c r="EZ48" s="6">
        <v>65068.31</v>
      </c>
      <c r="FA48" s="6">
        <v>174450.94</v>
      </c>
      <c r="FB48" s="6">
        <v>266261.71999999997</v>
      </c>
      <c r="FC48" s="6">
        <v>230556.95</v>
      </c>
      <c r="FD48" s="6">
        <v>261182.11</v>
      </c>
      <c r="FE48" s="226">
        <v>216631.72</v>
      </c>
      <c r="FF48" s="6">
        <v>201588.44</v>
      </c>
      <c r="FG48" s="6">
        <v>222596.27</v>
      </c>
      <c r="FH48" s="6">
        <v>205270.11</v>
      </c>
      <c r="FI48" s="226">
        <v>225277.07</v>
      </c>
      <c r="FJ48" s="6">
        <v>206517.16</v>
      </c>
      <c r="FK48" s="6">
        <v>401092.18</v>
      </c>
      <c r="FL48" s="78">
        <v>243334.31</v>
      </c>
      <c r="FM48" s="6">
        <v>149309.79</v>
      </c>
      <c r="FN48" s="6">
        <v>220941.85</v>
      </c>
      <c r="FO48" s="6">
        <v>1145901.0900000001</v>
      </c>
      <c r="FP48" s="159">
        <v>177309.97</v>
      </c>
      <c r="FQ48" s="6"/>
      <c r="FR48" s="6">
        <v>836155</v>
      </c>
      <c r="FS48" s="6">
        <v>274264.02</v>
      </c>
      <c r="FT48" s="6">
        <v>537200.04</v>
      </c>
      <c r="FU48" s="6">
        <v>223167.4</v>
      </c>
      <c r="FV48" s="6">
        <v>428720.41</v>
      </c>
      <c r="FW48" s="6"/>
      <c r="FX48" s="6">
        <v>473685.72</v>
      </c>
      <c r="FY48" s="6">
        <v>261399.21</v>
      </c>
      <c r="FZ48" s="226">
        <v>396323.4</v>
      </c>
      <c r="GA48" s="6">
        <v>355893.53</v>
      </c>
      <c r="GB48" s="6">
        <v>260348.23</v>
      </c>
      <c r="GC48" s="6">
        <v>180315.46</v>
      </c>
      <c r="GD48" s="6">
        <v>986207.07</v>
      </c>
      <c r="GE48" s="6">
        <v>252429.08</v>
      </c>
      <c r="GF48" s="6">
        <v>192596.45</v>
      </c>
      <c r="GG48" s="6"/>
      <c r="GH48" s="6">
        <v>307387.34000000003</v>
      </c>
      <c r="GI48" s="6">
        <v>213888.01</v>
      </c>
      <c r="GJ48" s="6">
        <v>1073709.17</v>
      </c>
      <c r="GK48" s="6">
        <v>380333.22</v>
      </c>
      <c r="GL48" s="159">
        <v>350394.62</v>
      </c>
      <c r="GM48" s="6">
        <v>220080.93</v>
      </c>
      <c r="GN48" s="6">
        <v>228725.79</v>
      </c>
      <c r="GO48" s="6">
        <v>312393.27</v>
      </c>
      <c r="GP48" s="6"/>
      <c r="GQ48" s="6">
        <v>204366.55</v>
      </c>
      <c r="GR48" s="6">
        <v>496550.11</v>
      </c>
      <c r="GS48" s="6">
        <v>223534.99</v>
      </c>
      <c r="GT48" s="6">
        <v>421153.87</v>
      </c>
      <c r="GU48" s="242">
        <v>385321.89</v>
      </c>
      <c r="GV48" s="6">
        <v>202452.64</v>
      </c>
      <c r="GW48" s="6">
        <v>185754.48</v>
      </c>
      <c r="GX48" s="6">
        <v>241783.06</v>
      </c>
      <c r="GY48" s="6">
        <v>148585.59</v>
      </c>
      <c r="GZ48" s="6">
        <v>849705.7</v>
      </c>
      <c r="HA48" s="6">
        <v>205424.75</v>
      </c>
      <c r="HB48" s="6">
        <v>980333.66</v>
      </c>
      <c r="HC48" s="6">
        <v>242279.3</v>
      </c>
      <c r="HD48" s="159">
        <v>167694.01999999999</v>
      </c>
      <c r="HE48" s="6">
        <v>217134.5</v>
      </c>
      <c r="HF48" s="6">
        <v>333354.06</v>
      </c>
      <c r="HG48" s="6"/>
      <c r="HH48" s="6"/>
      <c r="HI48" s="6">
        <v>189601.13</v>
      </c>
      <c r="HJ48" s="6">
        <v>2696028.61</v>
      </c>
      <c r="HK48" s="6">
        <v>586602.6</v>
      </c>
      <c r="HL48" s="6">
        <v>202969.62</v>
      </c>
      <c r="HM48" s="6">
        <v>322857.77</v>
      </c>
      <c r="HN48" s="134">
        <v>379165.1</v>
      </c>
      <c r="HO48" s="78">
        <v>306559.18</v>
      </c>
      <c r="HP48" s="6">
        <v>203268.63</v>
      </c>
      <c r="HQ48" s="6">
        <v>196000.29</v>
      </c>
      <c r="HR48" s="6">
        <v>213351.57</v>
      </c>
      <c r="HS48" s="6">
        <v>104322.06</v>
      </c>
      <c r="HT48" s="6">
        <v>236476.96</v>
      </c>
      <c r="HU48" s="6">
        <v>179086.99</v>
      </c>
      <c r="HV48" s="6">
        <v>207466.72</v>
      </c>
      <c r="HW48" s="6">
        <v>110812.96</v>
      </c>
      <c r="HX48" s="6">
        <v>180700.3</v>
      </c>
      <c r="HY48" s="6">
        <v>195986.47</v>
      </c>
      <c r="HZ48" s="159">
        <v>247063.09</v>
      </c>
      <c r="IA48" s="6">
        <v>308807.49</v>
      </c>
      <c r="IB48" s="6">
        <v>215577.57</v>
      </c>
      <c r="IC48" s="6">
        <v>125450.63</v>
      </c>
      <c r="ID48" s="6">
        <v>175502.05</v>
      </c>
      <c r="IE48" s="6">
        <v>252002.98</v>
      </c>
      <c r="IF48" s="6">
        <v>317501.37</v>
      </c>
      <c r="IG48" s="6">
        <v>128386.67</v>
      </c>
      <c r="IH48" s="108"/>
      <c r="II48" s="6">
        <v>664205.19999999995</v>
      </c>
      <c r="IJ48" s="6">
        <v>332449.74</v>
      </c>
      <c r="IK48" s="6">
        <v>575419.02</v>
      </c>
      <c r="IL48" s="6">
        <v>191636.49</v>
      </c>
      <c r="IM48" s="6">
        <v>157592.09</v>
      </c>
      <c r="IN48" s="6">
        <v>171462.2</v>
      </c>
      <c r="IO48" s="6">
        <v>302094.51</v>
      </c>
      <c r="IP48" s="6">
        <v>175207.42</v>
      </c>
      <c r="IQ48" s="6">
        <v>189458.89</v>
      </c>
      <c r="IR48" s="6">
        <v>669427.30000000005</v>
      </c>
      <c r="IS48" s="6">
        <v>203669.03</v>
      </c>
      <c r="IT48" s="159">
        <v>1233652.28</v>
      </c>
      <c r="IU48" s="4"/>
      <c r="IV48" s="8"/>
    </row>
    <row r="49" spans="1:256" ht="14.1" customHeight="1">
      <c r="A49" s="4" t="s">
        <v>15</v>
      </c>
      <c r="B49" s="4"/>
      <c r="C49" s="156">
        <v>17200000</v>
      </c>
      <c r="D49" s="1">
        <v>55000000</v>
      </c>
      <c r="E49" s="1">
        <v>3800000</v>
      </c>
      <c r="F49" s="1">
        <v>37000000</v>
      </c>
      <c r="G49" s="1">
        <v>41200000</v>
      </c>
      <c r="H49" s="1">
        <v>25800000</v>
      </c>
      <c r="I49" s="1">
        <v>17300000</v>
      </c>
      <c r="J49" s="1"/>
      <c r="K49" s="1"/>
      <c r="L49" s="1">
        <v>51700000</v>
      </c>
      <c r="M49" s="1"/>
      <c r="N49" s="227"/>
      <c r="O49" s="1">
        <v>2300000</v>
      </c>
      <c r="P49" s="1">
        <v>4400000</v>
      </c>
      <c r="Q49" s="1"/>
      <c r="R49" s="1">
        <v>5100000</v>
      </c>
      <c r="S49" s="1"/>
      <c r="T49" s="1">
        <v>200000</v>
      </c>
      <c r="U49" s="1">
        <v>3300000</v>
      </c>
      <c r="V49" s="1">
        <v>3000000</v>
      </c>
      <c r="W49" s="156">
        <v>900000</v>
      </c>
      <c r="X49" s="1">
        <v>1900000</v>
      </c>
      <c r="Y49" s="1">
        <v>8400000</v>
      </c>
      <c r="Z49" s="1"/>
      <c r="AA49" s="1"/>
      <c r="AB49" s="1"/>
      <c r="AC49" s="1"/>
      <c r="AD49" s="1"/>
      <c r="AE49" s="1"/>
      <c r="AF49" s="227"/>
      <c r="AG49" s="1"/>
      <c r="AH49" s="1"/>
      <c r="AI49" s="1"/>
      <c r="AJ49" s="1"/>
      <c r="AK49" s="1"/>
      <c r="AL49" s="1"/>
      <c r="AM49" s="1">
        <v>5700000</v>
      </c>
      <c r="AN49" s="1">
        <v>6300000</v>
      </c>
      <c r="AO49" s="1"/>
      <c r="AP49" s="1">
        <v>2300000</v>
      </c>
      <c r="AQ49" s="1"/>
      <c r="AR49" s="156"/>
      <c r="AS49" s="1"/>
      <c r="AT49" s="1">
        <f>12000000</f>
        <v>12000000</v>
      </c>
      <c r="AU49" s="1">
        <v>2000000</v>
      </c>
      <c r="AV49" s="227"/>
      <c r="AW49" s="1"/>
      <c r="AX49" s="1"/>
      <c r="AY49" s="1"/>
      <c r="AZ49" s="1">
        <v>400000</v>
      </c>
      <c r="BA49" s="1"/>
      <c r="BB49" s="1">
        <v>2000000</v>
      </c>
      <c r="BC49" s="1"/>
      <c r="BD49" s="1"/>
      <c r="BE49" s="1"/>
      <c r="BF49" s="1"/>
      <c r="BG49" s="1">
        <v>1300000</v>
      </c>
      <c r="BH49" s="1"/>
      <c r="BI49" s="1">
        <v>4400000</v>
      </c>
      <c r="BJ49" s="1"/>
      <c r="BK49" s="1">
        <v>4200000</v>
      </c>
      <c r="BL49" s="1"/>
      <c r="BM49" s="1">
        <v>800000</v>
      </c>
      <c r="BN49" s="156"/>
      <c r="BO49" s="1"/>
      <c r="BP49" s="1"/>
      <c r="BQ49" s="1"/>
      <c r="BR49" s="1"/>
      <c r="BS49" s="1"/>
      <c r="BT49" s="1">
        <v>300000</v>
      </c>
      <c r="BU49" s="1"/>
      <c r="BV49" s="1">
        <v>59900000</v>
      </c>
      <c r="BW49" s="1">
        <v>34600000</v>
      </c>
      <c r="BX49" s="1"/>
      <c r="BY49" s="1"/>
      <c r="BZ49" s="1"/>
      <c r="CA49" s="1"/>
      <c r="CB49" s="1"/>
      <c r="CC49" s="1"/>
      <c r="CD49" s="1"/>
      <c r="CE49" s="1"/>
      <c r="CF49" s="1">
        <v>9600000</v>
      </c>
      <c r="CG49" s="1"/>
      <c r="CH49" s="1"/>
      <c r="CI49" s="156"/>
      <c r="CJ49" s="1"/>
      <c r="CK49" s="1"/>
      <c r="CL49" s="1">
        <v>6000000</v>
      </c>
      <c r="CM49" s="1"/>
      <c r="CN49" s="1">
        <v>5000000</v>
      </c>
      <c r="CO49" s="1">
        <v>28600000</v>
      </c>
      <c r="CP49" s="1"/>
      <c r="CQ49" s="1"/>
      <c r="CR49" s="1">
        <v>500000</v>
      </c>
      <c r="CS49" s="1">
        <v>13200000</v>
      </c>
      <c r="CT49" s="1"/>
      <c r="CU49" s="1"/>
      <c r="CV49" s="1"/>
      <c r="CW49" s="1"/>
      <c r="CX49" s="1"/>
      <c r="CY49" s="1"/>
      <c r="CZ49" s="1">
        <v>750000</v>
      </c>
      <c r="DA49" s="1">
        <v>3000000</v>
      </c>
      <c r="DB49" s="1">
        <v>1300000</v>
      </c>
      <c r="DC49" s="1">
        <v>2600000</v>
      </c>
      <c r="DD49" s="156"/>
      <c r="DE49" s="88"/>
      <c r="DF49" s="1"/>
      <c r="DG49" s="1"/>
      <c r="DH49" s="1"/>
      <c r="DI49" s="1">
        <v>500000</v>
      </c>
      <c r="DJ49" s="1"/>
      <c r="DK49" s="1">
        <v>400000</v>
      </c>
      <c r="DL49" s="1"/>
      <c r="DM49" s="1">
        <v>49200000</v>
      </c>
      <c r="DN49" s="1"/>
      <c r="DO49" s="1">
        <v>18000000</v>
      </c>
      <c r="DP49" s="1">
        <v>1400000</v>
      </c>
      <c r="DQ49" s="1"/>
      <c r="DR49" s="88">
        <v>800000</v>
      </c>
      <c r="DS49" s="1">
        <v>0</v>
      </c>
      <c r="DT49" s="1"/>
      <c r="DU49" s="1">
        <v>1200000</v>
      </c>
      <c r="DV49" s="1">
        <v>2200000</v>
      </c>
      <c r="DW49" s="1">
        <v>3000000</v>
      </c>
      <c r="DX49" s="1">
        <v>6800000</v>
      </c>
      <c r="DY49" s="1"/>
      <c r="DZ49" s="156"/>
      <c r="EA49" s="1"/>
      <c r="EB49" s="1"/>
      <c r="EC49" s="1"/>
      <c r="ED49" s="1"/>
      <c r="EE49" s="1"/>
      <c r="EF49" s="1"/>
      <c r="EG49" s="37">
        <v>126400000</v>
      </c>
      <c r="EH49" s="1">
        <v>10000000</v>
      </c>
      <c r="EI49" s="1"/>
      <c r="EJ49" s="1"/>
      <c r="EK49" s="75"/>
      <c r="EL49" s="1">
        <v>0</v>
      </c>
      <c r="EM49" s="1">
        <v>3400000</v>
      </c>
      <c r="EN49" s="1">
        <v>3200000</v>
      </c>
      <c r="EO49" s="1">
        <v>0</v>
      </c>
      <c r="EP49" s="1">
        <v>0</v>
      </c>
      <c r="EQ49" s="1">
        <v>1900000</v>
      </c>
      <c r="ER49" s="1">
        <v>0</v>
      </c>
      <c r="ES49" s="1">
        <v>0</v>
      </c>
      <c r="ET49" s="1">
        <v>0</v>
      </c>
      <c r="EU49" s="156">
        <v>0</v>
      </c>
      <c r="EV49" s="1">
        <v>0</v>
      </c>
      <c r="EW49" s="1">
        <v>0</v>
      </c>
      <c r="EX49" s="1">
        <v>900000</v>
      </c>
      <c r="EY49" s="1">
        <v>0</v>
      </c>
      <c r="EZ49" s="1">
        <v>0</v>
      </c>
      <c r="FA49" s="1">
        <v>68700000</v>
      </c>
      <c r="FB49" s="1">
        <v>900000</v>
      </c>
      <c r="FC49" s="1">
        <v>0</v>
      </c>
      <c r="FD49" s="1">
        <v>0</v>
      </c>
      <c r="FE49" s="227">
        <v>0</v>
      </c>
      <c r="FF49" s="1">
        <v>0</v>
      </c>
      <c r="FG49" s="1">
        <v>3700000</v>
      </c>
      <c r="FH49" s="1">
        <v>0</v>
      </c>
      <c r="FI49" s="227">
        <v>0</v>
      </c>
      <c r="FJ49" s="1">
        <v>5800000</v>
      </c>
      <c r="FK49" s="1">
        <v>7600000</v>
      </c>
      <c r="FL49" s="75">
        <v>15350000</v>
      </c>
      <c r="FM49" s="1">
        <v>119750000</v>
      </c>
      <c r="FN49" s="1">
        <v>0</v>
      </c>
      <c r="FO49" s="1">
        <v>0</v>
      </c>
      <c r="FP49" s="156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400000</v>
      </c>
      <c r="FX49" s="1">
        <v>0</v>
      </c>
      <c r="FY49" s="1">
        <v>0</v>
      </c>
      <c r="FZ49" s="227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86500000</v>
      </c>
      <c r="GI49" s="1">
        <f>8800000+75000000</f>
        <v>83800000</v>
      </c>
      <c r="GJ49" s="1">
        <v>0</v>
      </c>
      <c r="GK49" s="1">
        <v>0</v>
      </c>
      <c r="GL49" s="156">
        <v>0</v>
      </c>
      <c r="GM49" s="1">
        <v>0</v>
      </c>
      <c r="GN49" s="1">
        <v>0</v>
      </c>
      <c r="GO49" s="1">
        <v>600000</v>
      </c>
      <c r="GP49" s="1">
        <v>0</v>
      </c>
      <c r="GQ49" s="1">
        <v>0</v>
      </c>
      <c r="GR49" s="1">
        <v>2000000</v>
      </c>
      <c r="GS49" s="1">
        <v>0</v>
      </c>
      <c r="GT49" s="1">
        <v>1500000</v>
      </c>
      <c r="GU49" s="195">
        <v>2600000</v>
      </c>
      <c r="GV49" s="1">
        <v>0</v>
      </c>
      <c r="GW49" s="1">
        <v>1200000</v>
      </c>
      <c r="GX49" s="1">
        <v>4600000</v>
      </c>
      <c r="GY49" s="1">
        <v>1500000</v>
      </c>
      <c r="GZ49" s="1">
        <v>0</v>
      </c>
      <c r="HA49" s="1">
        <v>0</v>
      </c>
      <c r="HB49" s="1">
        <v>1600000</v>
      </c>
      <c r="HC49" s="1">
        <v>0</v>
      </c>
      <c r="HD49" s="156">
        <v>0</v>
      </c>
      <c r="HE49" s="1">
        <v>7200000</v>
      </c>
      <c r="HF49" s="1">
        <v>3500000</v>
      </c>
      <c r="HG49" s="1">
        <v>5300000</v>
      </c>
      <c r="HH49" s="1">
        <v>2600000</v>
      </c>
      <c r="HI49" s="1">
        <v>0</v>
      </c>
      <c r="HJ49" s="1">
        <v>0</v>
      </c>
      <c r="HK49" s="1">
        <v>2600000</v>
      </c>
      <c r="HL49" s="1">
        <v>1600000</v>
      </c>
      <c r="HM49" s="1">
        <v>7400000</v>
      </c>
      <c r="HN49" s="131">
        <v>900000</v>
      </c>
      <c r="HO49" s="75"/>
      <c r="HP49" s="1">
        <v>3900000</v>
      </c>
      <c r="HQ49" s="1">
        <v>400000</v>
      </c>
      <c r="HR49" s="1">
        <v>900000</v>
      </c>
      <c r="HS49" s="1">
        <v>1600000</v>
      </c>
      <c r="HT49" s="1">
        <v>6600000</v>
      </c>
      <c r="HU49" s="1">
        <v>6600000</v>
      </c>
      <c r="HV49" s="1">
        <v>16500000</v>
      </c>
      <c r="HW49" s="1">
        <v>2000000</v>
      </c>
      <c r="HX49" s="1">
        <v>0</v>
      </c>
      <c r="HY49" s="1">
        <v>15300000</v>
      </c>
      <c r="HZ49" s="156">
        <v>6200000</v>
      </c>
      <c r="IA49" s="1">
        <v>17500000</v>
      </c>
      <c r="IB49" s="1">
        <v>0</v>
      </c>
      <c r="IC49" s="1">
        <v>17300000</v>
      </c>
      <c r="ID49" s="1">
        <v>0</v>
      </c>
      <c r="IE49" s="1">
        <v>12200000</v>
      </c>
      <c r="IF49" s="1">
        <v>15000000</v>
      </c>
      <c r="IG49" s="1">
        <v>0</v>
      </c>
      <c r="IH49" s="103">
        <v>53000000</v>
      </c>
      <c r="II49" s="1">
        <v>21200000</v>
      </c>
      <c r="IJ49" s="1">
        <v>0</v>
      </c>
      <c r="IK49" s="1">
        <v>8600000</v>
      </c>
      <c r="IL49" s="1">
        <v>0</v>
      </c>
      <c r="IM49" s="1">
        <v>4750000</v>
      </c>
      <c r="IN49" s="1">
        <v>4900000</v>
      </c>
      <c r="IO49" s="1">
        <v>1200000</v>
      </c>
      <c r="IP49" s="1">
        <v>9200000</v>
      </c>
      <c r="IQ49" s="1">
        <v>4600000</v>
      </c>
      <c r="IR49" s="1">
        <v>27600000</v>
      </c>
      <c r="IS49" s="1">
        <v>0</v>
      </c>
      <c r="IT49" s="156">
        <v>16800000</v>
      </c>
      <c r="IU49" s="4"/>
      <c r="IV49" s="8"/>
    </row>
    <row r="50" spans="1:256" s="8" customFormat="1" ht="14.1" customHeight="1">
      <c r="A50" s="5" t="s">
        <v>39</v>
      </c>
      <c r="B50" s="13"/>
      <c r="C50" s="157">
        <f t="shared" ref="C50:I50" si="14">SUM(C47:C49)</f>
        <v>18026558.239999998</v>
      </c>
      <c r="D50" s="5">
        <f t="shared" si="14"/>
        <v>56095309.5</v>
      </c>
      <c r="E50" s="5">
        <f t="shared" si="14"/>
        <v>7968295.0600000005</v>
      </c>
      <c r="F50" s="5">
        <f t="shared" si="14"/>
        <v>37789798.420000002</v>
      </c>
      <c r="G50" s="5">
        <f t="shared" si="14"/>
        <v>56850364.460000001</v>
      </c>
      <c r="H50" s="5">
        <f t="shared" si="14"/>
        <v>426834489.18000001</v>
      </c>
      <c r="I50" s="5">
        <f t="shared" si="14"/>
        <v>22669221.18</v>
      </c>
      <c r="J50" s="5">
        <f>SUM(J47:J49)+0.51</f>
        <v>1825821.2000000002</v>
      </c>
      <c r="K50" s="5">
        <f t="shared" ref="K50:BV50" si="15">SUM(K47:K49)</f>
        <v>3908015.7399999998</v>
      </c>
      <c r="L50" s="5">
        <f t="shared" si="15"/>
        <v>52700750.670000002</v>
      </c>
      <c r="M50" s="5">
        <f t="shared" si="15"/>
        <v>1410442.46</v>
      </c>
      <c r="N50" s="228">
        <f t="shared" si="15"/>
        <v>67956327.819999993</v>
      </c>
      <c r="O50" s="5">
        <f t="shared" si="15"/>
        <v>5922290.3899999997</v>
      </c>
      <c r="P50" s="5">
        <f t="shared" si="15"/>
        <v>6358581.6500000004</v>
      </c>
      <c r="Q50" s="5">
        <f t="shared" si="15"/>
        <v>7653696.3799999999</v>
      </c>
      <c r="R50" s="5">
        <f t="shared" si="15"/>
        <v>6502900.5200000005</v>
      </c>
      <c r="S50" s="5">
        <f t="shared" si="15"/>
        <v>6932650.3399999999</v>
      </c>
      <c r="T50" s="5">
        <f t="shared" si="15"/>
        <v>1906129.37</v>
      </c>
      <c r="U50" s="5">
        <f t="shared" si="15"/>
        <v>6281366.2699999996</v>
      </c>
      <c r="V50" s="5">
        <f t="shared" si="15"/>
        <v>4368751.49</v>
      </c>
      <c r="W50" s="157">
        <f t="shared" si="15"/>
        <v>3284105.2100000009</v>
      </c>
      <c r="X50" s="5">
        <f t="shared" si="15"/>
        <v>3483756.8</v>
      </c>
      <c r="Y50" s="5">
        <f t="shared" si="15"/>
        <v>10512963.949999999</v>
      </c>
      <c r="Z50" s="5">
        <f t="shared" si="15"/>
        <v>4587170.79</v>
      </c>
      <c r="AA50" s="5">
        <f t="shared" si="15"/>
        <v>14820982.84</v>
      </c>
      <c r="AB50" s="5">
        <f t="shared" si="15"/>
        <v>3978458.83</v>
      </c>
      <c r="AC50" s="5">
        <f t="shared" si="15"/>
        <v>5439018.9000000004</v>
      </c>
      <c r="AD50" s="5">
        <f t="shared" si="15"/>
        <v>1985334.0599999998</v>
      </c>
      <c r="AE50" s="5">
        <f t="shared" si="15"/>
        <v>1280444.24</v>
      </c>
      <c r="AF50" s="228">
        <f t="shared" si="15"/>
        <v>59344856.429999992</v>
      </c>
      <c r="AG50" s="5">
        <f t="shared" si="15"/>
        <v>11144191.039999999</v>
      </c>
      <c r="AH50" s="5">
        <f t="shared" si="15"/>
        <v>812987.27999999991</v>
      </c>
      <c r="AI50" s="5">
        <f t="shared" si="15"/>
        <v>1163118.0399999998</v>
      </c>
      <c r="AJ50" s="5">
        <f t="shared" si="15"/>
        <v>2305699.42</v>
      </c>
      <c r="AK50" s="5">
        <f t="shared" si="15"/>
        <v>8545949.0899999999</v>
      </c>
      <c r="AL50" s="5">
        <f t="shared" si="15"/>
        <v>8963546.8099999987</v>
      </c>
      <c r="AM50" s="5">
        <f t="shared" si="15"/>
        <v>7437364.4399999995</v>
      </c>
      <c r="AN50" s="5">
        <f t="shared" si="15"/>
        <v>7101060.1600000001</v>
      </c>
      <c r="AO50" s="5">
        <f t="shared" si="15"/>
        <v>3768593.39</v>
      </c>
      <c r="AP50" s="5">
        <f t="shared" si="15"/>
        <v>3579648.8</v>
      </c>
      <c r="AQ50" s="5">
        <f t="shared" si="15"/>
        <v>2545163.7699999996</v>
      </c>
      <c r="AR50" s="157">
        <f t="shared" si="15"/>
        <v>2376192.41</v>
      </c>
      <c r="AS50" s="5">
        <f t="shared" si="15"/>
        <v>1859666.81</v>
      </c>
      <c r="AT50" s="5">
        <f t="shared" si="15"/>
        <v>14686010.810000001</v>
      </c>
      <c r="AU50" s="5">
        <f t="shared" si="15"/>
        <v>4489659.5600000005</v>
      </c>
      <c r="AV50" s="228">
        <f t="shared" si="15"/>
        <v>21582413.68</v>
      </c>
      <c r="AW50" s="5">
        <f t="shared" si="15"/>
        <v>4824804.9500000011</v>
      </c>
      <c r="AX50" s="5">
        <f t="shared" si="15"/>
        <v>807149.05</v>
      </c>
      <c r="AY50" s="5">
        <f t="shared" si="15"/>
        <v>2208993.33</v>
      </c>
      <c r="AZ50" s="5">
        <f t="shared" si="15"/>
        <v>1275762.01</v>
      </c>
      <c r="BA50" s="5">
        <f t="shared" si="15"/>
        <v>4749485.7300000004</v>
      </c>
      <c r="BB50" s="5">
        <f t="shared" si="15"/>
        <v>5549569.9700000007</v>
      </c>
      <c r="BC50" s="5">
        <f t="shared" si="15"/>
        <v>59376030.939999998</v>
      </c>
      <c r="BD50" s="5">
        <f t="shared" si="15"/>
        <v>16777073.080000002</v>
      </c>
      <c r="BE50" s="5">
        <f t="shared" si="15"/>
        <v>2676821.08</v>
      </c>
      <c r="BF50" s="5">
        <f t="shared" si="15"/>
        <v>4573959.8900000006</v>
      </c>
      <c r="BG50" s="5">
        <f t="shared" si="15"/>
        <v>4077717.3800000004</v>
      </c>
      <c r="BH50" s="5">
        <f t="shared" si="15"/>
        <v>1638093.57</v>
      </c>
      <c r="BI50" s="5">
        <f t="shared" si="15"/>
        <v>6474926.4100000001</v>
      </c>
      <c r="BJ50" s="5">
        <f t="shared" si="15"/>
        <v>3828252.92</v>
      </c>
      <c r="BK50" s="5">
        <f t="shared" si="15"/>
        <v>5097043.9000000004</v>
      </c>
      <c r="BL50" s="5">
        <f t="shared" si="15"/>
        <v>5508197</v>
      </c>
      <c r="BM50" s="5">
        <f t="shared" si="15"/>
        <v>2469286.02</v>
      </c>
      <c r="BN50" s="157">
        <f t="shared" si="15"/>
        <v>28676246.449999999</v>
      </c>
      <c r="BO50" s="5">
        <f t="shared" si="15"/>
        <v>831776.15999999992</v>
      </c>
      <c r="BP50" s="5">
        <f t="shared" si="15"/>
        <v>4172593.88</v>
      </c>
      <c r="BQ50" s="5">
        <f t="shared" si="15"/>
        <v>3527357.04</v>
      </c>
      <c r="BR50" s="5">
        <f t="shared" si="15"/>
        <v>14944397.58</v>
      </c>
      <c r="BS50" s="5">
        <f t="shared" si="15"/>
        <v>1378233.1300000004</v>
      </c>
      <c r="BT50" s="5">
        <f t="shared" si="15"/>
        <v>1440511.8900000001</v>
      </c>
      <c r="BU50" s="5">
        <f t="shared" si="15"/>
        <v>976842.42999999993</v>
      </c>
      <c r="BV50" s="5">
        <f t="shared" si="15"/>
        <v>65835206.359999999</v>
      </c>
      <c r="BW50" s="5">
        <f t="shared" ref="BW50:EH50" si="16">SUM(BW47:BW49)</f>
        <v>35538166.009999998</v>
      </c>
      <c r="BX50" s="5">
        <f t="shared" si="16"/>
        <v>1020408.22</v>
      </c>
      <c r="BY50" s="5">
        <f t="shared" si="16"/>
        <v>61328349.029999994</v>
      </c>
      <c r="BZ50" s="5">
        <f t="shared" si="16"/>
        <v>17048064.610000003</v>
      </c>
      <c r="CA50" s="5">
        <f t="shared" si="16"/>
        <v>7781813.8000000007</v>
      </c>
      <c r="CB50" s="5">
        <f t="shared" si="16"/>
        <v>1731501.7199999997</v>
      </c>
      <c r="CC50" s="5">
        <f t="shared" si="16"/>
        <v>2654085.9900000002</v>
      </c>
      <c r="CD50" s="5">
        <f t="shared" si="16"/>
        <v>1247711.4700000002</v>
      </c>
      <c r="CE50" s="5">
        <f t="shared" si="16"/>
        <v>1050096.72</v>
      </c>
      <c r="CF50" s="5">
        <f t="shared" si="16"/>
        <v>15250015.950000001</v>
      </c>
      <c r="CG50" s="5">
        <f t="shared" si="16"/>
        <v>1744476.02</v>
      </c>
      <c r="CH50" s="5">
        <f t="shared" si="16"/>
        <v>1388486.29</v>
      </c>
      <c r="CI50" s="157">
        <f t="shared" si="16"/>
        <v>4948924.62</v>
      </c>
      <c r="CJ50" s="5">
        <f t="shared" si="16"/>
        <v>3405593.95</v>
      </c>
      <c r="CK50" s="5">
        <f t="shared" si="16"/>
        <v>3706883.0100000002</v>
      </c>
      <c r="CL50" s="5">
        <f t="shared" si="16"/>
        <v>11043921.16</v>
      </c>
      <c r="CM50" s="5">
        <f t="shared" si="16"/>
        <v>5459485.8999999994</v>
      </c>
      <c r="CN50" s="5">
        <f t="shared" si="16"/>
        <v>25170563.84</v>
      </c>
      <c r="CO50" s="5">
        <f t="shared" si="16"/>
        <v>30912075.390000001</v>
      </c>
      <c r="CP50" s="5">
        <f t="shared" si="16"/>
        <v>2369362.86</v>
      </c>
      <c r="CQ50" s="5">
        <f t="shared" si="16"/>
        <v>1382627.5</v>
      </c>
      <c r="CR50" s="5">
        <f t="shared" si="16"/>
        <v>1572870.42</v>
      </c>
      <c r="CS50" s="5">
        <f t="shared" si="16"/>
        <v>75109629.060000002</v>
      </c>
      <c r="CT50" s="5">
        <f t="shared" si="16"/>
        <v>11435753.189999999</v>
      </c>
      <c r="CU50" s="5">
        <f t="shared" si="16"/>
        <v>1795179.02</v>
      </c>
      <c r="CV50" s="5">
        <f t="shared" si="16"/>
        <v>2883401.14</v>
      </c>
      <c r="CW50" s="5">
        <f t="shared" si="16"/>
        <v>2813403.2899999996</v>
      </c>
      <c r="CX50" s="5">
        <f t="shared" si="16"/>
        <v>2570700.5599999996</v>
      </c>
      <c r="CY50" s="5">
        <f t="shared" si="16"/>
        <v>5231849.18</v>
      </c>
      <c r="CZ50" s="5">
        <f t="shared" si="16"/>
        <v>3111513.65</v>
      </c>
      <c r="DA50" s="5">
        <f t="shared" si="16"/>
        <v>5213437.1500000004</v>
      </c>
      <c r="DB50" s="5">
        <f t="shared" si="16"/>
        <v>6138416.8000000007</v>
      </c>
      <c r="DC50" s="5">
        <f t="shared" si="16"/>
        <v>8701092.1999999993</v>
      </c>
      <c r="DD50" s="157">
        <f t="shared" si="16"/>
        <v>4371455.1000000006</v>
      </c>
      <c r="DE50" s="89">
        <f t="shared" si="16"/>
        <v>9298938.6500000004</v>
      </c>
      <c r="DF50" s="5">
        <f t="shared" si="16"/>
        <v>2049523</v>
      </c>
      <c r="DG50" s="5">
        <f t="shared" si="16"/>
        <v>7535229.4200000009</v>
      </c>
      <c r="DH50" s="5">
        <f t="shared" si="16"/>
        <v>2587310.2700000005</v>
      </c>
      <c r="DI50" s="5">
        <f t="shared" si="16"/>
        <v>2411612.96</v>
      </c>
      <c r="DJ50" s="5">
        <f t="shared" si="16"/>
        <v>410472.56999999995</v>
      </c>
      <c r="DK50" s="5">
        <f t="shared" si="16"/>
        <v>1107942.79</v>
      </c>
      <c r="DL50" s="5">
        <f t="shared" si="16"/>
        <v>2123774.66</v>
      </c>
      <c r="DM50" s="5">
        <f t="shared" si="16"/>
        <v>50167296.210000001</v>
      </c>
      <c r="DN50" s="5">
        <f t="shared" si="16"/>
        <v>62238522.229999997</v>
      </c>
      <c r="DO50" s="5">
        <f t="shared" si="16"/>
        <v>30393751.460000001</v>
      </c>
      <c r="DP50" s="5">
        <f t="shared" si="16"/>
        <v>1699758.73</v>
      </c>
      <c r="DQ50" s="5">
        <f t="shared" si="16"/>
        <v>2135749.11</v>
      </c>
      <c r="DR50" s="89">
        <f t="shared" si="16"/>
        <v>1360641.18</v>
      </c>
      <c r="DS50" s="5">
        <f t="shared" si="16"/>
        <v>902064.25</v>
      </c>
      <c r="DT50" s="5">
        <f t="shared" si="16"/>
        <v>1038180.35</v>
      </c>
      <c r="DU50" s="5">
        <f t="shared" si="16"/>
        <v>3271413.66</v>
      </c>
      <c r="DV50" s="5">
        <f t="shared" si="16"/>
        <v>5725856.5499999998</v>
      </c>
      <c r="DW50" s="5">
        <f t="shared" si="16"/>
        <v>5693568.79</v>
      </c>
      <c r="DX50" s="5">
        <f t="shared" si="16"/>
        <v>7740697.1400000006</v>
      </c>
      <c r="DY50" s="5">
        <f t="shared" si="16"/>
        <v>808816.48</v>
      </c>
      <c r="DZ50" s="157">
        <f t="shared" si="16"/>
        <v>5263003.71</v>
      </c>
      <c r="EA50" s="5">
        <f t="shared" si="16"/>
        <v>2087260.0200000003</v>
      </c>
      <c r="EB50" s="5">
        <f t="shared" si="16"/>
        <v>3772014.9400000004</v>
      </c>
      <c r="EC50" s="5">
        <f t="shared" si="16"/>
        <v>8486357.5600000005</v>
      </c>
      <c r="ED50" s="5">
        <f t="shared" si="16"/>
        <v>15943665.93</v>
      </c>
      <c r="EE50" s="5">
        <f t="shared" si="16"/>
        <v>1049467.95</v>
      </c>
      <c r="EF50" s="5">
        <f t="shared" si="16"/>
        <v>4695844.2300000004</v>
      </c>
      <c r="EG50" s="33">
        <f t="shared" si="16"/>
        <v>127490514.18000001</v>
      </c>
      <c r="EH50" s="5">
        <f t="shared" si="16"/>
        <v>10422062.359999999</v>
      </c>
      <c r="EI50" s="5">
        <f t="shared" ref="EI50:GT50" si="17">SUM(EI47:EI49)</f>
        <v>836695.15</v>
      </c>
      <c r="EJ50" s="5">
        <f t="shared" si="17"/>
        <v>1691199.8199999998</v>
      </c>
      <c r="EK50" s="76">
        <f t="shared" si="17"/>
        <v>60657361.050000004</v>
      </c>
      <c r="EL50" s="5">
        <f t="shared" si="17"/>
        <v>15664088.859999999</v>
      </c>
      <c r="EM50" s="5">
        <f t="shared" si="17"/>
        <v>4900228.8899999997</v>
      </c>
      <c r="EN50" s="5">
        <f t="shared" si="17"/>
        <v>4295608.4000000004</v>
      </c>
      <c r="EO50" s="5">
        <f t="shared" si="17"/>
        <v>1152747.1400000001</v>
      </c>
      <c r="EP50" s="5">
        <f t="shared" si="17"/>
        <v>3247164.2299999995</v>
      </c>
      <c r="EQ50" s="5">
        <f t="shared" si="17"/>
        <v>7291817.4299999997</v>
      </c>
      <c r="ER50" s="5">
        <f t="shared" si="17"/>
        <v>570289.65999999992</v>
      </c>
      <c r="ES50" s="5">
        <f t="shared" si="17"/>
        <v>2832217.0200000005</v>
      </c>
      <c r="ET50" s="5">
        <f t="shared" si="17"/>
        <v>659820.8600000001</v>
      </c>
      <c r="EU50" s="157">
        <f t="shared" si="17"/>
        <v>1866994.79</v>
      </c>
      <c r="EV50" s="5">
        <f t="shared" si="17"/>
        <v>2625003.5800000005</v>
      </c>
      <c r="EW50" s="5">
        <f t="shared" si="17"/>
        <v>1957015.3999999997</v>
      </c>
      <c r="EX50" s="5">
        <f t="shared" si="17"/>
        <v>1858459.4</v>
      </c>
      <c r="EY50" s="5">
        <f t="shared" si="17"/>
        <v>16633547.85</v>
      </c>
      <c r="EZ50" s="5">
        <f t="shared" si="17"/>
        <v>772596.22</v>
      </c>
      <c r="FA50" s="5">
        <f t="shared" si="17"/>
        <v>70072712.5</v>
      </c>
      <c r="FB50" s="5">
        <f t="shared" si="17"/>
        <v>1690833.7999999998</v>
      </c>
      <c r="FC50" s="5">
        <f t="shared" si="17"/>
        <v>1075819.9099999999</v>
      </c>
      <c r="FD50" s="5">
        <f t="shared" si="17"/>
        <v>629691.37</v>
      </c>
      <c r="FE50" s="228">
        <f t="shared" si="17"/>
        <v>60582938.829999998</v>
      </c>
      <c r="FF50" s="5">
        <f t="shared" si="17"/>
        <v>11148167.389999999</v>
      </c>
      <c r="FG50" s="5">
        <f t="shared" si="17"/>
        <v>9317629.1399999987</v>
      </c>
      <c r="FH50" s="5">
        <f t="shared" si="17"/>
        <v>2078059.8399999999</v>
      </c>
      <c r="FI50" s="228">
        <f t="shared" si="17"/>
        <v>4754642.75</v>
      </c>
      <c r="FJ50" s="5">
        <f t="shared" si="17"/>
        <v>7183364.3300000001</v>
      </c>
      <c r="FK50" s="5">
        <f t="shared" si="17"/>
        <v>9656616.0700000003</v>
      </c>
      <c r="FL50" s="76">
        <f t="shared" si="17"/>
        <v>17674211.77</v>
      </c>
      <c r="FM50" s="5">
        <f t="shared" si="17"/>
        <v>121082678.14</v>
      </c>
      <c r="FN50" s="5">
        <f t="shared" si="17"/>
        <v>912181.25999999989</v>
      </c>
      <c r="FO50" s="5">
        <f t="shared" si="17"/>
        <v>3034880.2</v>
      </c>
      <c r="FP50" s="157">
        <f t="shared" si="17"/>
        <v>3761373.34</v>
      </c>
      <c r="FQ50" s="5">
        <f t="shared" si="17"/>
        <v>1135191.3999999999</v>
      </c>
      <c r="FR50" s="5">
        <f t="shared" si="17"/>
        <v>2048483.79</v>
      </c>
      <c r="FS50" s="5">
        <f t="shared" si="17"/>
        <v>5612298.5899999999</v>
      </c>
      <c r="FT50" s="5">
        <f t="shared" si="17"/>
        <v>16488692.360000003</v>
      </c>
      <c r="FU50" s="5">
        <f t="shared" si="17"/>
        <v>4063116.9600000004</v>
      </c>
      <c r="FV50" s="5">
        <f t="shared" si="17"/>
        <v>998891.48</v>
      </c>
      <c r="FW50" s="5">
        <f t="shared" si="17"/>
        <v>811425.85</v>
      </c>
      <c r="FX50" s="5">
        <f t="shared" si="17"/>
        <v>1138057.93</v>
      </c>
      <c r="FY50" s="5">
        <f t="shared" si="17"/>
        <v>3213209.0700000003</v>
      </c>
      <c r="FZ50" s="228">
        <f t="shared" si="17"/>
        <v>148110796.72999999</v>
      </c>
      <c r="GA50" s="5">
        <f t="shared" si="17"/>
        <v>2005456.26</v>
      </c>
      <c r="GB50" s="5">
        <f t="shared" si="17"/>
        <v>5436046.3200000003</v>
      </c>
      <c r="GC50" s="5">
        <f t="shared" si="17"/>
        <v>7113450.2199999997</v>
      </c>
      <c r="GD50" s="5">
        <f t="shared" si="17"/>
        <v>2124251.67</v>
      </c>
      <c r="GE50" s="5">
        <f t="shared" si="17"/>
        <v>2068869.65</v>
      </c>
      <c r="GF50" s="5">
        <f t="shared" si="17"/>
        <v>1352807.6099999999</v>
      </c>
      <c r="GG50" s="5">
        <f t="shared" si="17"/>
        <v>1118902.1899999997</v>
      </c>
      <c r="GH50" s="5">
        <f t="shared" si="17"/>
        <v>89683568.900000006</v>
      </c>
      <c r="GI50" s="5">
        <f t="shared" si="17"/>
        <v>85782016.760000005</v>
      </c>
      <c r="GJ50" s="5">
        <f t="shared" si="17"/>
        <v>2042494.46</v>
      </c>
      <c r="GK50" s="5">
        <f t="shared" si="17"/>
        <v>1824494.2799999998</v>
      </c>
      <c r="GL50" s="157">
        <f t="shared" si="17"/>
        <v>5067302.6800000006</v>
      </c>
      <c r="GM50" s="5">
        <f t="shared" si="17"/>
        <v>2874346.06</v>
      </c>
      <c r="GN50" s="5">
        <f t="shared" si="17"/>
        <v>1220153.49</v>
      </c>
      <c r="GO50" s="5">
        <f t="shared" si="17"/>
        <v>2017178.45</v>
      </c>
      <c r="GP50" s="5">
        <f t="shared" si="17"/>
        <v>15563332.490000002</v>
      </c>
      <c r="GQ50" s="5">
        <f t="shared" si="17"/>
        <v>866439.39000000013</v>
      </c>
      <c r="GR50" s="5">
        <f t="shared" si="17"/>
        <v>4347789.79</v>
      </c>
      <c r="GS50" s="5">
        <f t="shared" si="17"/>
        <v>2003403.5</v>
      </c>
      <c r="GT50" s="5">
        <f t="shared" si="17"/>
        <v>2755153.31</v>
      </c>
      <c r="GU50" s="197">
        <f t="shared" ref="GU50:IT50" si="18">SUM(GU47:GU49)</f>
        <v>76968081.050000012</v>
      </c>
      <c r="GV50" s="5">
        <f t="shared" si="18"/>
        <v>3808249.03</v>
      </c>
      <c r="GW50" s="5">
        <f t="shared" si="18"/>
        <v>2205998.37</v>
      </c>
      <c r="GX50" s="5">
        <f t="shared" si="18"/>
        <v>6069774.04</v>
      </c>
      <c r="GY50" s="5">
        <f t="shared" si="18"/>
        <v>2355488.13</v>
      </c>
      <c r="GZ50" s="5">
        <f t="shared" si="18"/>
        <v>1588672.15</v>
      </c>
      <c r="HA50" s="5">
        <f t="shared" si="18"/>
        <v>8927535.3199999984</v>
      </c>
      <c r="HB50" s="5">
        <f t="shared" si="18"/>
        <v>3095458.94</v>
      </c>
      <c r="HC50" s="5">
        <f t="shared" si="18"/>
        <v>4209075.83</v>
      </c>
      <c r="HD50" s="157">
        <f t="shared" si="18"/>
        <v>1184570.6400000001</v>
      </c>
      <c r="HE50" s="5">
        <f t="shared" si="18"/>
        <v>8083660.0300000003</v>
      </c>
      <c r="HF50" s="5">
        <f t="shared" si="18"/>
        <v>5037495.8600000003</v>
      </c>
      <c r="HG50" s="5">
        <f t="shared" si="18"/>
        <v>6122362.4100000001</v>
      </c>
      <c r="HH50" s="5">
        <f t="shared" si="18"/>
        <v>2970078.83</v>
      </c>
      <c r="HI50" s="5">
        <f t="shared" si="18"/>
        <v>15988821.470000001</v>
      </c>
      <c r="HJ50" s="5">
        <f t="shared" si="18"/>
        <v>4868168.18</v>
      </c>
      <c r="HK50" s="5">
        <f t="shared" si="18"/>
        <v>6352149.5</v>
      </c>
      <c r="HL50" s="5">
        <f t="shared" si="18"/>
        <v>2228159.62</v>
      </c>
      <c r="HM50" s="5">
        <f t="shared" si="18"/>
        <v>8178917.5</v>
      </c>
      <c r="HN50" s="132">
        <f t="shared" si="18"/>
        <v>4342610.8499999996</v>
      </c>
      <c r="HO50" s="145">
        <f t="shared" si="18"/>
        <v>76445130.760000005</v>
      </c>
      <c r="HP50" s="5">
        <f t="shared" si="18"/>
        <v>4804805.76</v>
      </c>
      <c r="HQ50" s="5">
        <f t="shared" si="18"/>
        <v>1603443.31</v>
      </c>
      <c r="HR50" s="5">
        <f t="shared" si="18"/>
        <v>2512898.7999999998</v>
      </c>
      <c r="HS50" s="5">
        <f t="shared" si="18"/>
        <v>2571120.62</v>
      </c>
      <c r="HT50" s="5">
        <f t="shared" si="18"/>
        <v>20697164.370000001</v>
      </c>
      <c r="HU50" s="5">
        <f t="shared" si="18"/>
        <v>10313078.83</v>
      </c>
      <c r="HV50" s="5">
        <f t="shared" si="18"/>
        <v>18744918.960000001</v>
      </c>
      <c r="HW50" s="5">
        <f t="shared" si="18"/>
        <v>8947475.3000000007</v>
      </c>
      <c r="HX50" s="5">
        <f t="shared" si="18"/>
        <v>1810814.9600000002</v>
      </c>
      <c r="HY50" s="5">
        <f t="shared" si="18"/>
        <v>16162649.189999999</v>
      </c>
      <c r="HZ50" s="157">
        <f t="shared" si="18"/>
        <v>7715544.1799999997</v>
      </c>
      <c r="IA50" s="5">
        <f t="shared" si="18"/>
        <v>19269933.260000002</v>
      </c>
      <c r="IB50" s="5">
        <f t="shared" si="18"/>
        <v>1109298.49</v>
      </c>
      <c r="IC50" s="5">
        <f t="shared" si="18"/>
        <v>32026890.509999998</v>
      </c>
      <c r="ID50" s="5">
        <f t="shared" si="18"/>
        <v>815693.34999999986</v>
      </c>
      <c r="IE50" s="5">
        <f t="shared" si="18"/>
        <v>12851986.720000001</v>
      </c>
      <c r="IF50" s="5">
        <f t="shared" si="18"/>
        <v>17247207.890000001</v>
      </c>
      <c r="IG50" s="5">
        <f t="shared" si="18"/>
        <v>101797021.36</v>
      </c>
      <c r="IH50" s="104">
        <f t="shared" si="18"/>
        <v>53820243.57</v>
      </c>
      <c r="II50" s="5">
        <f t="shared" si="18"/>
        <v>22175295.399999999</v>
      </c>
      <c r="IJ50" s="5">
        <f t="shared" si="18"/>
        <v>70611359.859999999</v>
      </c>
      <c r="IK50" s="5">
        <f t="shared" si="18"/>
        <v>9896398.9700000007</v>
      </c>
      <c r="IL50" s="5">
        <f t="shared" si="18"/>
        <v>51623833.869999997</v>
      </c>
      <c r="IM50" s="5">
        <f t="shared" si="18"/>
        <v>7474510.1799999997</v>
      </c>
      <c r="IN50" s="5">
        <f t="shared" si="18"/>
        <v>7916748.2800000003</v>
      </c>
      <c r="IO50" s="5">
        <f t="shared" si="18"/>
        <v>4576799.18</v>
      </c>
      <c r="IP50" s="5">
        <f t="shared" si="18"/>
        <v>11089424.1</v>
      </c>
      <c r="IQ50" s="5">
        <f t="shared" si="18"/>
        <v>23830424.260000002</v>
      </c>
      <c r="IR50" s="5">
        <f t="shared" si="18"/>
        <v>29011383.240000002</v>
      </c>
      <c r="IS50" s="5">
        <f t="shared" si="18"/>
        <v>1728209.8599999999</v>
      </c>
      <c r="IT50" s="157">
        <f t="shared" si="18"/>
        <v>18563359.800000001</v>
      </c>
      <c r="IU50" s="4"/>
    </row>
    <row r="51" spans="1:256" s="42" customFormat="1" ht="14.1" customHeight="1" thickBot="1">
      <c r="A51" s="64" t="s">
        <v>40</v>
      </c>
      <c r="B51" s="60"/>
      <c r="C51" s="60">
        <f t="shared" ref="C51:BN51" si="19">+C6+C26-C50</f>
        <v>120440.00000000373</v>
      </c>
      <c r="D51" s="60">
        <f t="shared" si="19"/>
        <v>219084.00000000745</v>
      </c>
      <c r="E51" s="60">
        <f t="shared" si="19"/>
        <v>289343.4299999997</v>
      </c>
      <c r="F51" s="60">
        <f t="shared" si="19"/>
        <v>329904.94999999553</v>
      </c>
      <c r="G51" s="60">
        <f t="shared" si="19"/>
        <v>-23552.469999998808</v>
      </c>
      <c r="H51" s="60">
        <f t="shared" si="19"/>
        <v>114820.93999999762</v>
      </c>
      <c r="I51" s="60">
        <f t="shared" si="19"/>
        <v>110655</v>
      </c>
      <c r="J51" s="60">
        <f t="shared" si="19"/>
        <v>103010.8899999999</v>
      </c>
      <c r="K51" s="60">
        <f t="shared" si="19"/>
        <v>107751.00000000047</v>
      </c>
      <c r="L51" s="60">
        <f t="shared" si="19"/>
        <v>171542</v>
      </c>
      <c r="M51" s="60">
        <f t="shared" si="19"/>
        <v>146397</v>
      </c>
      <c r="N51" s="67">
        <f t="shared" si="19"/>
        <v>117817</v>
      </c>
      <c r="O51" s="60">
        <f t="shared" si="19"/>
        <v>125910.98000000045</v>
      </c>
      <c r="P51" s="60">
        <f t="shared" si="19"/>
        <v>175542.41000000015</v>
      </c>
      <c r="Q51" s="60">
        <f t="shared" si="19"/>
        <v>206511</v>
      </c>
      <c r="R51" s="60">
        <f t="shared" si="19"/>
        <v>200914</v>
      </c>
      <c r="S51" s="60">
        <f t="shared" si="19"/>
        <v>119564</v>
      </c>
      <c r="T51" s="60">
        <f t="shared" si="19"/>
        <v>138427</v>
      </c>
      <c r="U51" s="60">
        <f t="shared" si="19"/>
        <v>110639.41000000015</v>
      </c>
      <c r="V51" s="60">
        <f t="shared" si="19"/>
        <v>107484</v>
      </c>
      <c r="W51" s="60">
        <f t="shared" si="19"/>
        <v>105658.99999999907</v>
      </c>
      <c r="X51" s="60">
        <f t="shared" si="19"/>
        <v>134605</v>
      </c>
      <c r="Y51" s="60">
        <f t="shared" si="19"/>
        <v>184703</v>
      </c>
      <c r="Z51" s="60">
        <f t="shared" si="19"/>
        <v>157058</v>
      </c>
      <c r="AA51" s="60">
        <f t="shared" si="19"/>
        <v>310163</v>
      </c>
      <c r="AB51" s="60">
        <f t="shared" si="19"/>
        <v>281129</v>
      </c>
      <c r="AC51" s="60">
        <f t="shared" si="19"/>
        <v>137690.09999999963</v>
      </c>
      <c r="AD51" s="60">
        <f t="shared" si="19"/>
        <v>132184.00000000023</v>
      </c>
      <c r="AE51" s="60">
        <f t="shared" si="19"/>
        <v>104593</v>
      </c>
      <c r="AF51" s="67">
        <f t="shared" si="19"/>
        <v>100177.00000000745</v>
      </c>
      <c r="AG51" s="60">
        <f t="shared" si="19"/>
        <v>100000</v>
      </c>
      <c r="AH51" s="60">
        <f t="shared" si="19"/>
        <v>100000.00000000012</v>
      </c>
      <c r="AI51" s="60">
        <f t="shared" si="19"/>
        <v>106477.00000000023</v>
      </c>
      <c r="AJ51" s="60">
        <f t="shared" si="19"/>
        <v>173244</v>
      </c>
      <c r="AK51" s="60">
        <f t="shared" si="19"/>
        <v>136361</v>
      </c>
      <c r="AL51" s="60">
        <f t="shared" si="19"/>
        <v>122616</v>
      </c>
      <c r="AM51" s="60">
        <f t="shared" si="19"/>
        <v>120696</v>
      </c>
      <c r="AN51" s="60">
        <f t="shared" si="19"/>
        <v>114807</v>
      </c>
      <c r="AO51" s="60">
        <f t="shared" si="19"/>
        <v>217770.99999999953</v>
      </c>
      <c r="AP51" s="60">
        <f t="shared" si="19"/>
        <v>249779</v>
      </c>
      <c r="AQ51" s="60">
        <f t="shared" si="19"/>
        <v>129227.00000000047</v>
      </c>
      <c r="AR51" s="60">
        <f t="shared" si="19"/>
        <v>126885</v>
      </c>
      <c r="AS51" s="60">
        <f t="shared" si="19"/>
        <v>128590.00999999978</v>
      </c>
      <c r="AT51" s="60">
        <f t="shared" si="19"/>
        <v>113842</v>
      </c>
      <c r="AU51" s="60">
        <f t="shared" si="19"/>
        <v>129732</v>
      </c>
      <c r="AV51" s="67">
        <f t="shared" si="19"/>
        <v>144515</v>
      </c>
      <c r="AW51" s="60">
        <f t="shared" si="19"/>
        <v>135907.99999999907</v>
      </c>
      <c r="AX51" s="60">
        <f t="shared" si="19"/>
        <v>127487</v>
      </c>
      <c r="AY51" s="60">
        <f t="shared" si="19"/>
        <v>151765</v>
      </c>
      <c r="AZ51" s="60">
        <f t="shared" si="19"/>
        <v>176423</v>
      </c>
      <c r="BA51" s="60">
        <f t="shared" si="19"/>
        <v>201392</v>
      </c>
      <c r="BB51" s="60">
        <f t="shared" si="19"/>
        <v>143084.99999999907</v>
      </c>
      <c r="BC51" s="60">
        <f t="shared" si="19"/>
        <v>125947</v>
      </c>
      <c r="BD51" s="60">
        <f t="shared" si="19"/>
        <v>117134.99999999627</v>
      </c>
      <c r="BE51" s="60">
        <f t="shared" si="19"/>
        <v>193360</v>
      </c>
      <c r="BF51" s="60">
        <f t="shared" si="19"/>
        <v>149447.99999999907</v>
      </c>
      <c r="BG51" s="60">
        <f t="shared" si="19"/>
        <v>109554</v>
      </c>
      <c r="BH51" s="60">
        <f t="shared" si="19"/>
        <v>134123</v>
      </c>
      <c r="BI51" s="60">
        <f t="shared" si="19"/>
        <v>134554.99999999907</v>
      </c>
      <c r="BJ51" s="60">
        <f t="shared" si="19"/>
        <v>169904</v>
      </c>
      <c r="BK51" s="60">
        <f t="shared" si="19"/>
        <v>147209.99999999907</v>
      </c>
      <c r="BL51" s="60">
        <f t="shared" si="19"/>
        <v>144152</v>
      </c>
      <c r="BM51" s="60">
        <f t="shared" si="19"/>
        <v>138694</v>
      </c>
      <c r="BN51" s="60">
        <f t="shared" si="19"/>
        <v>111910</v>
      </c>
      <c r="BO51" s="60">
        <f t="shared" ref="BO51:DZ51" si="20">+BO6+BO26-BO50</f>
        <v>127733.00000000012</v>
      </c>
      <c r="BP51" s="60">
        <f t="shared" si="20"/>
        <v>153339</v>
      </c>
      <c r="BQ51" s="60">
        <f t="shared" si="20"/>
        <v>134027</v>
      </c>
      <c r="BR51" s="60">
        <f t="shared" si="20"/>
        <v>140202</v>
      </c>
      <c r="BS51" s="60">
        <f t="shared" si="20"/>
        <v>133693.99999999953</v>
      </c>
      <c r="BT51" s="60">
        <f t="shared" si="20"/>
        <v>109049.99999999977</v>
      </c>
      <c r="BU51" s="60">
        <f t="shared" si="20"/>
        <v>112154</v>
      </c>
      <c r="BV51" s="60">
        <f t="shared" si="20"/>
        <v>109100</v>
      </c>
      <c r="BW51" s="60">
        <f t="shared" si="20"/>
        <v>108332.00000000745</v>
      </c>
      <c r="BX51" s="60">
        <f t="shared" si="20"/>
        <v>104841.00000000023</v>
      </c>
      <c r="BY51" s="60">
        <f t="shared" si="20"/>
        <v>124221.00000000745</v>
      </c>
      <c r="BZ51" s="60">
        <f t="shared" si="20"/>
        <v>119535.99999999627</v>
      </c>
      <c r="CA51" s="60">
        <f t="shared" si="20"/>
        <v>124279.99999999907</v>
      </c>
      <c r="CB51" s="60">
        <f t="shared" si="20"/>
        <v>309867.78000000026</v>
      </c>
      <c r="CC51" s="60">
        <f t="shared" si="20"/>
        <v>425033.83000000007</v>
      </c>
      <c r="CD51" s="60">
        <f t="shared" si="20"/>
        <v>141021.38999999966</v>
      </c>
      <c r="CE51" s="60">
        <f t="shared" si="20"/>
        <v>152701</v>
      </c>
      <c r="CF51" s="60">
        <f t="shared" si="20"/>
        <v>130909</v>
      </c>
      <c r="CG51" s="60">
        <f t="shared" si="20"/>
        <v>149965</v>
      </c>
      <c r="CH51" s="60">
        <f t="shared" si="20"/>
        <v>168613</v>
      </c>
      <c r="CI51" s="60">
        <f t="shared" si="20"/>
        <v>175861</v>
      </c>
      <c r="CJ51" s="60">
        <f t="shared" si="20"/>
        <v>109962</v>
      </c>
      <c r="CK51" s="60">
        <f t="shared" si="20"/>
        <v>101697.99999999953</v>
      </c>
      <c r="CL51" s="60">
        <f t="shared" si="20"/>
        <v>100143</v>
      </c>
      <c r="CM51" s="60">
        <f t="shared" si="20"/>
        <v>169196.00000000093</v>
      </c>
      <c r="CN51" s="60">
        <f t="shared" si="20"/>
        <v>129297</v>
      </c>
      <c r="CO51" s="60">
        <f t="shared" si="20"/>
        <v>107456</v>
      </c>
      <c r="CP51" s="60">
        <f t="shared" si="20"/>
        <v>114733</v>
      </c>
      <c r="CQ51" s="60">
        <f t="shared" si="20"/>
        <v>104071</v>
      </c>
      <c r="CR51" s="60">
        <f t="shared" si="20"/>
        <v>162335</v>
      </c>
      <c r="CS51" s="60">
        <f t="shared" si="20"/>
        <v>253100</v>
      </c>
      <c r="CT51" s="60">
        <f t="shared" si="20"/>
        <v>113899</v>
      </c>
      <c r="CU51" s="60">
        <f t="shared" si="20"/>
        <v>158744</v>
      </c>
      <c r="CV51" s="60">
        <f t="shared" si="20"/>
        <v>113803</v>
      </c>
      <c r="CW51" s="60">
        <f t="shared" si="20"/>
        <v>139892.00000000047</v>
      </c>
      <c r="CX51" s="60">
        <f t="shared" si="20"/>
        <v>142872.10000000056</v>
      </c>
      <c r="CY51" s="60">
        <f t="shared" si="20"/>
        <v>110474</v>
      </c>
      <c r="CZ51" s="60">
        <f t="shared" si="20"/>
        <v>121687.00000000047</v>
      </c>
      <c r="DA51" s="60">
        <f t="shared" si="20"/>
        <v>129091.99999999907</v>
      </c>
      <c r="DB51" s="60">
        <f t="shared" si="20"/>
        <v>133289</v>
      </c>
      <c r="DC51" s="60">
        <f t="shared" si="20"/>
        <v>105447</v>
      </c>
      <c r="DD51" s="60">
        <f t="shared" si="20"/>
        <v>104197.99999999907</v>
      </c>
      <c r="DE51" s="60">
        <f t="shared" si="20"/>
        <v>210531</v>
      </c>
      <c r="DF51" s="60">
        <f t="shared" si="20"/>
        <v>201020</v>
      </c>
      <c r="DG51" s="60">
        <f t="shared" si="20"/>
        <v>688483.99999999907</v>
      </c>
      <c r="DH51" s="60">
        <f t="shared" si="20"/>
        <v>531400.16999999946</v>
      </c>
      <c r="DI51" s="60">
        <f t="shared" si="20"/>
        <v>134089</v>
      </c>
      <c r="DJ51" s="60">
        <f t="shared" si="20"/>
        <v>100000.00000000006</v>
      </c>
      <c r="DK51" s="60">
        <f t="shared" si="20"/>
        <v>100000</v>
      </c>
      <c r="DL51" s="60">
        <f t="shared" si="20"/>
        <v>100000</v>
      </c>
      <c r="DM51" s="60">
        <f t="shared" si="20"/>
        <v>100000</v>
      </c>
      <c r="DN51" s="60">
        <f t="shared" si="20"/>
        <v>100000</v>
      </c>
      <c r="DO51" s="60">
        <f t="shared" si="20"/>
        <v>1554249</v>
      </c>
      <c r="DP51" s="60">
        <f t="shared" si="20"/>
        <v>358737.52</v>
      </c>
      <c r="DQ51" s="60">
        <f t="shared" si="20"/>
        <v>327541.48</v>
      </c>
      <c r="DR51" s="60">
        <f t="shared" si="20"/>
        <v>135124.47999999998</v>
      </c>
      <c r="DS51" s="60">
        <f t="shared" si="20"/>
        <v>345370.48</v>
      </c>
      <c r="DT51" s="60">
        <f t="shared" si="20"/>
        <v>182021.4800000001</v>
      </c>
      <c r="DU51" s="60">
        <f t="shared" si="20"/>
        <v>121773.47999999952</v>
      </c>
      <c r="DV51" s="60">
        <f t="shared" si="20"/>
        <v>111335.47999999952</v>
      </c>
      <c r="DW51" s="60">
        <f t="shared" si="20"/>
        <v>102465.47999999952</v>
      </c>
      <c r="DX51" s="60">
        <f t="shared" si="20"/>
        <v>202502.47999999858</v>
      </c>
      <c r="DY51" s="60">
        <f t="shared" si="20"/>
        <v>200822.47999999858</v>
      </c>
      <c r="DZ51" s="60">
        <f t="shared" si="20"/>
        <v>122632.47999999858</v>
      </c>
      <c r="EA51" s="60">
        <f t="shared" ref="EA51:GL51" si="21">+EA6+EA26-EA50</f>
        <v>454761.47999999835</v>
      </c>
      <c r="EB51" s="60">
        <f t="shared" si="21"/>
        <v>132239.47999999765</v>
      </c>
      <c r="EC51" s="60">
        <f t="shared" si="21"/>
        <v>125622.47999999858</v>
      </c>
      <c r="ED51" s="60">
        <f t="shared" si="21"/>
        <v>163018.47999999858</v>
      </c>
      <c r="EE51" s="60">
        <f t="shared" si="21"/>
        <v>176217.47999999858</v>
      </c>
      <c r="EF51" s="60">
        <f t="shared" si="21"/>
        <v>114888.47999999858</v>
      </c>
      <c r="EG51" s="60">
        <f t="shared" si="21"/>
        <v>-125233573.52000001</v>
      </c>
      <c r="EH51" s="60">
        <f t="shared" si="21"/>
        <v>-125234401.52000001</v>
      </c>
      <c r="EI51" s="60">
        <f t="shared" si="21"/>
        <v>-125225766.52000001</v>
      </c>
      <c r="EJ51" s="60">
        <f t="shared" si="21"/>
        <v>-125063305.52000001</v>
      </c>
      <c r="EK51" s="67">
        <f t="shared" si="21"/>
        <v>-125067250.52000001</v>
      </c>
      <c r="EL51" s="60">
        <f t="shared" si="21"/>
        <v>-125205599.52000001</v>
      </c>
      <c r="EM51" s="60">
        <f t="shared" si="21"/>
        <v>-126172232.16000001</v>
      </c>
      <c r="EN51" s="60">
        <f t="shared" si="21"/>
        <v>-125239410.52000001</v>
      </c>
      <c r="EO51" s="60">
        <f t="shared" si="21"/>
        <v>-125026108.52000001</v>
      </c>
      <c r="EP51" s="60">
        <f t="shared" si="21"/>
        <v>-125022285.52000001</v>
      </c>
      <c r="EQ51" s="60">
        <f t="shared" si="21"/>
        <v>-125034234.55000001</v>
      </c>
      <c r="ER51" s="60">
        <f t="shared" si="21"/>
        <v>-125172816.55000001</v>
      </c>
      <c r="ES51" s="60">
        <f t="shared" si="21"/>
        <v>-125226099.55000001</v>
      </c>
      <c r="ET51" s="60">
        <f t="shared" si="21"/>
        <v>-125234538.54700001</v>
      </c>
      <c r="EU51" s="60">
        <f t="shared" si="21"/>
        <v>-125236556.54700001</v>
      </c>
      <c r="EV51" s="60">
        <f t="shared" si="21"/>
        <v>-125230039.54700001</v>
      </c>
      <c r="EW51" s="60">
        <f t="shared" si="21"/>
        <v>-125219921.46700001</v>
      </c>
      <c r="EX51" s="60">
        <f t="shared" si="21"/>
        <v>-125228973.86700001</v>
      </c>
      <c r="EY51" s="60">
        <f t="shared" si="21"/>
        <v>-125180813.86700001</v>
      </c>
      <c r="EZ51" s="60">
        <f t="shared" si="21"/>
        <v>-125141321.86700001</v>
      </c>
      <c r="FA51" s="60">
        <f t="shared" si="21"/>
        <v>-125173321.86700001</v>
      </c>
      <c r="FB51" s="60">
        <f t="shared" si="21"/>
        <v>-125234799.86700001</v>
      </c>
      <c r="FC51" s="60">
        <f t="shared" si="21"/>
        <v>-125225594.86700001</v>
      </c>
      <c r="FD51" s="60">
        <f t="shared" si="21"/>
        <v>-125222078.86700001</v>
      </c>
      <c r="FE51" s="67">
        <f t="shared" si="21"/>
        <v>-125221681.86700001</v>
      </c>
      <c r="FF51" s="60">
        <f t="shared" si="21"/>
        <v>-125228343.86700001</v>
      </c>
      <c r="FG51" s="60">
        <f t="shared" si="21"/>
        <v>-125238861.86700001</v>
      </c>
      <c r="FH51" s="60">
        <f t="shared" si="21"/>
        <v>-125225307.86700001</v>
      </c>
      <c r="FI51" s="67">
        <f t="shared" si="21"/>
        <v>-125208997.87700002</v>
      </c>
      <c r="FJ51" s="60">
        <f t="shared" si="21"/>
        <v>-125230474.87700002</v>
      </c>
      <c r="FK51" s="60">
        <f t="shared" si="21"/>
        <v>-125239494.877</v>
      </c>
      <c r="FL51" s="278">
        <f t="shared" si="21"/>
        <v>-125238553.87699999</v>
      </c>
      <c r="FM51" s="60">
        <f t="shared" si="21"/>
        <v>-132389838.457</v>
      </c>
      <c r="FN51" s="60">
        <f t="shared" si="21"/>
        <v>-125214306.457</v>
      </c>
      <c r="FO51" s="60">
        <f t="shared" si="21"/>
        <v>-125194957.617</v>
      </c>
      <c r="FP51" s="60">
        <f t="shared" si="21"/>
        <v>-125231835.617</v>
      </c>
      <c r="FQ51" s="60">
        <f t="shared" si="21"/>
        <v>-125022158.127</v>
      </c>
      <c r="FR51" s="60">
        <f t="shared" si="21"/>
        <v>-125174364.81700002</v>
      </c>
      <c r="FS51" s="60">
        <f t="shared" si="21"/>
        <v>-125217549.81700002</v>
      </c>
      <c r="FT51" s="60">
        <f t="shared" si="21"/>
        <v>-125217006.71700002</v>
      </c>
      <c r="FU51" s="60">
        <f t="shared" si="21"/>
        <v>-125181740.71700002</v>
      </c>
      <c r="FV51" s="60">
        <f t="shared" si="21"/>
        <v>-125202226.72700003</v>
      </c>
      <c r="FW51" s="60">
        <f t="shared" si="21"/>
        <v>-125462176.69700003</v>
      </c>
      <c r="FX51" s="60">
        <f t="shared" si="21"/>
        <v>-125043435.72700003</v>
      </c>
      <c r="FY51" s="60">
        <f t="shared" si="21"/>
        <v>-125217823.72700003</v>
      </c>
      <c r="FZ51" s="67">
        <f t="shared" si="21"/>
        <v>-125202767.72700003</v>
      </c>
      <c r="GA51" s="60">
        <f t="shared" si="21"/>
        <v>-125210077.72700003</v>
      </c>
      <c r="GB51" s="60">
        <f t="shared" si="21"/>
        <v>-125213566.72700003</v>
      </c>
      <c r="GC51" s="60">
        <f t="shared" si="21"/>
        <v>-125203494.72700003</v>
      </c>
      <c r="GD51" s="60">
        <f t="shared" si="21"/>
        <v>-125205221.72700003</v>
      </c>
      <c r="GE51" s="60">
        <f t="shared" si="21"/>
        <v>-125210895.72700003</v>
      </c>
      <c r="GF51" s="60">
        <f t="shared" si="21"/>
        <v>-125205342.72700003</v>
      </c>
      <c r="GG51" s="60">
        <f t="shared" si="21"/>
        <v>-124973254.08700003</v>
      </c>
      <c r="GH51" s="60">
        <f t="shared" si="21"/>
        <v>-125438431.20700003</v>
      </c>
      <c r="GI51" s="60">
        <f t="shared" si="21"/>
        <v>-125420896.20700003</v>
      </c>
      <c r="GJ51" s="60">
        <f t="shared" si="21"/>
        <v>-125226396.97700003</v>
      </c>
      <c r="GK51" s="60">
        <f t="shared" si="21"/>
        <v>-125227357.97700003</v>
      </c>
      <c r="GL51" s="60">
        <f t="shared" si="21"/>
        <v>-125232092.97700003</v>
      </c>
      <c r="GM51" s="60">
        <f t="shared" ref="GM51:IT51" si="22">+GM6+GM26-GM50</f>
        <v>-125231246.97700003</v>
      </c>
      <c r="GN51" s="60">
        <f t="shared" si="22"/>
        <v>-125234030.97700003</v>
      </c>
      <c r="GO51" s="60">
        <f t="shared" si="22"/>
        <v>-125232141.97700003</v>
      </c>
      <c r="GP51" s="60">
        <f t="shared" si="22"/>
        <v>-139183682.78700003</v>
      </c>
      <c r="GQ51" s="60">
        <f t="shared" si="22"/>
        <v>-125209146.97700003</v>
      </c>
      <c r="GR51" s="60">
        <f t="shared" si="22"/>
        <v>-125210974.97700004</v>
      </c>
      <c r="GS51" s="60">
        <f t="shared" si="22"/>
        <v>-125198264.97700004</v>
      </c>
      <c r="GT51" s="60">
        <f t="shared" si="22"/>
        <v>-125157764.97700004</v>
      </c>
      <c r="GU51" s="67">
        <f t="shared" si="22"/>
        <v>-125222089.97700006</v>
      </c>
      <c r="GV51" s="60">
        <f t="shared" si="22"/>
        <v>-125227619.97700006</v>
      </c>
      <c r="GW51" s="60">
        <f t="shared" si="22"/>
        <v>-125190562.97700006</v>
      </c>
      <c r="GX51" s="60">
        <f t="shared" si="22"/>
        <v>-125207964.97700007</v>
      </c>
      <c r="GY51" s="60">
        <f t="shared" si="22"/>
        <v>-125065498.97700007</v>
      </c>
      <c r="GZ51" s="60">
        <f t="shared" si="22"/>
        <v>-125207047.97700007</v>
      </c>
      <c r="HA51" s="60">
        <f t="shared" si="22"/>
        <v>-125221604.97700006</v>
      </c>
      <c r="HB51" s="60">
        <f t="shared" si="22"/>
        <v>-125226550.97700006</v>
      </c>
      <c r="HC51" s="60">
        <f t="shared" si="22"/>
        <v>-125236700.97700006</v>
      </c>
      <c r="HD51" s="60">
        <f t="shared" si="22"/>
        <v>-125241326.97700006</v>
      </c>
      <c r="HE51" s="60">
        <f t="shared" si="22"/>
        <v>-125241751.07700005</v>
      </c>
      <c r="HF51" s="60">
        <f t="shared" si="22"/>
        <v>-125198830.07700005</v>
      </c>
      <c r="HG51" s="60">
        <f t="shared" si="22"/>
        <v>-125014115.91700006</v>
      </c>
      <c r="HH51" s="60">
        <f t="shared" si="22"/>
        <v>-124897932.24700005</v>
      </c>
      <c r="HI51" s="60">
        <f t="shared" si="22"/>
        <v>-125184163.77700005</v>
      </c>
      <c r="HJ51" s="60">
        <f t="shared" si="22"/>
        <v>-125134035.77700007</v>
      </c>
      <c r="HK51" s="60">
        <f t="shared" si="22"/>
        <v>-125078438.77700007</v>
      </c>
      <c r="HL51" s="60">
        <f t="shared" si="22"/>
        <v>-125178864.77700007</v>
      </c>
      <c r="HM51" s="60">
        <f t="shared" si="22"/>
        <v>-125219346.77700007</v>
      </c>
      <c r="HN51" s="143">
        <f t="shared" si="22"/>
        <v>-125229455.77700007</v>
      </c>
      <c r="HO51" s="67">
        <f t="shared" si="22"/>
        <v>-125234087.77700007</v>
      </c>
      <c r="HP51" s="60">
        <f t="shared" si="22"/>
        <v>-125221325.77700007</v>
      </c>
      <c r="HQ51" s="60">
        <f t="shared" si="22"/>
        <v>-125222056.77700007</v>
      </c>
      <c r="HR51" s="60">
        <f t="shared" si="22"/>
        <v>-125207554.77700007</v>
      </c>
      <c r="HS51" s="60">
        <f t="shared" si="22"/>
        <v>-125023935.77700007</v>
      </c>
      <c r="HT51" s="60">
        <f t="shared" si="22"/>
        <v>-125217718.77700007</v>
      </c>
      <c r="HU51" s="60">
        <f t="shared" si="22"/>
        <v>-125237887.77700007</v>
      </c>
      <c r="HV51" s="60">
        <f t="shared" si="22"/>
        <v>-125241614.77700007</v>
      </c>
      <c r="HW51" s="60">
        <f t="shared" si="22"/>
        <v>-125241748.77700007</v>
      </c>
      <c r="HX51" s="60">
        <f t="shared" si="22"/>
        <v>-125241750.77700007</v>
      </c>
      <c r="HY51" s="60">
        <f t="shared" si="22"/>
        <v>-125241750.77700007</v>
      </c>
      <c r="HZ51" s="60">
        <f t="shared" si="22"/>
        <v>-125241750.77700007</v>
      </c>
      <c r="IA51" s="60">
        <f t="shared" si="22"/>
        <v>-125241750.77700007</v>
      </c>
      <c r="IB51" s="60">
        <f t="shared" si="22"/>
        <v>-125241750.77700007</v>
      </c>
      <c r="IC51" s="60">
        <f t="shared" si="22"/>
        <v>-125241750.77700007</v>
      </c>
      <c r="ID51" s="60">
        <f t="shared" si="22"/>
        <v>-125214658.77700007</v>
      </c>
      <c r="IE51" s="60">
        <f t="shared" si="22"/>
        <v>-125221137.77700007</v>
      </c>
      <c r="IF51" s="60">
        <f t="shared" si="22"/>
        <v>-125091879.77700007</v>
      </c>
      <c r="IG51" s="60">
        <f t="shared" si="22"/>
        <v>-124375633.77700007</v>
      </c>
      <c r="IH51" s="110">
        <f t="shared" si="22"/>
        <v>-124904955.48700008</v>
      </c>
      <c r="II51" s="60">
        <f t="shared" si="22"/>
        <v>-125148818.77700007</v>
      </c>
      <c r="IJ51" s="60">
        <f t="shared" si="22"/>
        <v>-125223706.77700007</v>
      </c>
      <c r="IK51" s="60">
        <f t="shared" si="22"/>
        <v>-125221872.77700007</v>
      </c>
      <c r="IL51" s="60">
        <f t="shared" si="22"/>
        <v>-125095942.77700007</v>
      </c>
      <c r="IM51" s="60">
        <f t="shared" si="22"/>
        <v>-125040726.77700007</v>
      </c>
      <c r="IN51" s="60">
        <f t="shared" si="22"/>
        <v>-125058991.77700007</v>
      </c>
      <c r="IO51" s="60">
        <f t="shared" si="22"/>
        <v>-125205681.77700007</v>
      </c>
      <c r="IP51" s="60">
        <f t="shared" si="22"/>
        <v>-125153298.77700007</v>
      </c>
      <c r="IQ51" s="60">
        <f t="shared" si="22"/>
        <v>-125236114.77700008</v>
      </c>
      <c r="IR51" s="60">
        <f t="shared" si="22"/>
        <v>-125193030.7770001</v>
      </c>
      <c r="IS51" s="60">
        <f t="shared" si="22"/>
        <v>-125231304.7770001</v>
      </c>
      <c r="IT51" s="60">
        <f t="shared" si="22"/>
        <v>-125228652.7770001</v>
      </c>
      <c r="IU51" s="60"/>
      <c r="IV51" s="8"/>
    </row>
    <row r="52" spans="1:256" s="8" customFormat="1" ht="14.1" customHeight="1">
      <c r="A52" s="7" t="s">
        <v>16</v>
      </c>
      <c r="B52" s="14"/>
      <c r="C52" s="39">
        <v>17200000</v>
      </c>
      <c r="D52" s="7">
        <v>55000000</v>
      </c>
      <c r="E52" s="7">
        <v>3800000</v>
      </c>
      <c r="F52" s="7">
        <v>37000000</v>
      </c>
      <c r="G52" s="7">
        <v>41200000</v>
      </c>
      <c r="H52" s="7">
        <f>25800000-350000000</f>
        <v>-324200000</v>
      </c>
      <c r="I52" s="7">
        <v>17300000</v>
      </c>
      <c r="J52" s="7">
        <v>-800000</v>
      </c>
      <c r="K52" s="7">
        <v>-1000000</v>
      </c>
      <c r="L52" s="7">
        <v>51700000</v>
      </c>
      <c r="M52" s="7">
        <v>-400000</v>
      </c>
      <c r="N52" s="229">
        <v>-58900000</v>
      </c>
      <c r="O52" s="7">
        <v>2300000</v>
      </c>
      <c r="P52" s="7">
        <v>4400000</v>
      </c>
      <c r="Q52" s="7">
        <v>-6700000</v>
      </c>
      <c r="R52" s="7">
        <v>5100000</v>
      </c>
      <c r="S52" s="7">
        <v>-5600000</v>
      </c>
      <c r="T52" s="7">
        <v>200000</v>
      </c>
      <c r="U52" s="7">
        <v>3300000</v>
      </c>
      <c r="V52" s="7">
        <v>3000000</v>
      </c>
      <c r="W52" s="160">
        <v>900000</v>
      </c>
      <c r="X52" s="7">
        <v>1900000</v>
      </c>
      <c r="Y52" s="7">
        <v>8400000</v>
      </c>
      <c r="Z52" s="7">
        <v>-3200000</v>
      </c>
      <c r="AA52" s="7">
        <v>-14000000</v>
      </c>
      <c r="AB52" s="7">
        <v>-3000000</v>
      </c>
      <c r="AC52" s="7">
        <v>-2600000</v>
      </c>
      <c r="AD52" s="7">
        <v>-1700000</v>
      </c>
      <c r="AE52" s="7">
        <v>-700000</v>
      </c>
      <c r="AF52" s="229">
        <v>-58900000</v>
      </c>
      <c r="AG52" s="7">
        <v>-9500000</v>
      </c>
      <c r="AH52" s="7">
        <v>-300000</v>
      </c>
      <c r="AI52" s="7">
        <v>-500000</v>
      </c>
      <c r="AJ52" s="7">
        <v>-1900000</v>
      </c>
      <c r="AK52" s="7">
        <v>-8000000</v>
      </c>
      <c r="AL52" s="7">
        <v>0</v>
      </c>
      <c r="AM52" s="7">
        <v>5700000</v>
      </c>
      <c r="AN52" s="7">
        <v>6300000</v>
      </c>
      <c r="AO52" s="7">
        <v>-2700000</v>
      </c>
      <c r="AP52" s="7">
        <v>2300000</v>
      </c>
      <c r="AQ52" s="7">
        <v>-1900000</v>
      </c>
      <c r="AR52" s="160">
        <v>-1800000</v>
      </c>
      <c r="AS52" s="7">
        <v>-750000</v>
      </c>
      <c r="AT52" s="7">
        <f>12000000-1500000</f>
        <v>10500000</v>
      </c>
      <c r="AU52" s="7">
        <v>2000000</v>
      </c>
      <c r="AV52" s="229">
        <v>-20700000</v>
      </c>
      <c r="AW52" s="7">
        <v>0</v>
      </c>
      <c r="AX52" s="7">
        <v>0</v>
      </c>
      <c r="AY52" s="7">
        <v>-1600000</v>
      </c>
      <c r="AZ52" s="7">
        <v>400000</v>
      </c>
      <c r="BA52" s="7">
        <v>-4100000</v>
      </c>
      <c r="BB52" s="7">
        <v>2000000</v>
      </c>
      <c r="BC52" s="7">
        <v>-8800000</v>
      </c>
      <c r="BD52" s="7">
        <v>-16000000</v>
      </c>
      <c r="BE52" s="7">
        <v>-2200000</v>
      </c>
      <c r="BF52" s="7">
        <v>-4200000</v>
      </c>
      <c r="BG52" s="7">
        <v>1300000</v>
      </c>
      <c r="BH52" s="7">
        <v>-1200000</v>
      </c>
      <c r="BI52" s="7">
        <v>4400000</v>
      </c>
      <c r="BJ52" s="7">
        <v>-1800000</v>
      </c>
      <c r="BK52" s="7">
        <v>4200000</v>
      </c>
      <c r="BL52" s="7">
        <v>-4500000</v>
      </c>
      <c r="BM52" s="7">
        <v>800000</v>
      </c>
      <c r="BN52" s="160">
        <v>-900000</v>
      </c>
      <c r="BO52" s="7">
        <v>-250000</v>
      </c>
      <c r="BP52" s="7">
        <v>-1400000</v>
      </c>
      <c r="BQ52" s="7">
        <v>-1900000</v>
      </c>
      <c r="BR52" s="7">
        <v>-14500000</v>
      </c>
      <c r="BS52" s="7">
        <v>-500000</v>
      </c>
      <c r="BT52" s="7">
        <v>300000</v>
      </c>
      <c r="BU52" s="7">
        <v>0</v>
      </c>
      <c r="BV52" s="7">
        <v>59900000</v>
      </c>
      <c r="BW52" s="7">
        <v>34600000</v>
      </c>
      <c r="BX52" s="7">
        <v>-400000</v>
      </c>
      <c r="BY52" s="7">
        <v>-60900000</v>
      </c>
      <c r="BZ52" s="7">
        <v>-16500000</v>
      </c>
      <c r="CA52" s="7">
        <v>-6500000</v>
      </c>
      <c r="CB52" s="7">
        <v>-1200000</v>
      </c>
      <c r="CC52" s="7">
        <v>-2300000</v>
      </c>
      <c r="CD52" s="7">
        <v>-500000</v>
      </c>
      <c r="CE52" s="7">
        <v>-600000</v>
      </c>
      <c r="CF52" s="7">
        <v>9600000</v>
      </c>
      <c r="CG52" s="7">
        <v>-1400000</v>
      </c>
      <c r="CH52" s="7">
        <v>-1150000</v>
      </c>
      <c r="CI52" s="160">
        <v>-4000000</v>
      </c>
      <c r="CJ52" s="7">
        <v>-1200000</v>
      </c>
      <c r="CK52" s="7">
        <v>-3000000</v>
      </c>
      <c r="CL52" s="7">
        <v>6000000</v>
      </c>
      <c r="CM52" s="7">
        <v>-2000000</v>
      </c>
      <c r="CN52" s="7">
        <v>5000000</v>
      </c>
      <c r="CO52" s="7">
        <v>28600000</v>
      </c>
      <c r="CP52" s="7">
        <v>-1750000</v>
      </c>
      <c r="CQ52" s="7">
        <v>-700000</v>
      </c>
      <c r="CR52" s="7">
        <v>500000</v>
      </c>
      <c r="CS52" s="7">
        <v>13200000</v>
      </c>
      <c r="CT52" s="7">
        <v>-10600000</v>
      </c>
      <c r="CU52" s="7">
        <v>-1600000</v>
      </c>
      <c r="CV52" s="7">
        <v>-2600000</v>
      </c>
      <c r="CW52" s="7">
        <v>-1700000</v>
      </c>
      <c r="CX52" s="7">
        <v>-2300000</v>
      </c>
      <c r="CY52" s="7">
        <v>-2300000</v>
      </c>
      <c r="CZ52" s="7">
        <v>750000</v>
      </c>
      <c r="DA52" s="7">
        <v>3000000</v>
      </c>
      <c r="DB52" s="7">
        <v>1300000</v>
      </c>
      <c r="DC52" s="7">
        <v>2600000</v>
      </c>
      <c r="DD52" s="160">
        <v>-800000</v>
      </c>
      <c r="DE52" s="92">
        <v>-8200000</v>
      </c>
      <c r="DF52" s="7">
        <v>-1100000</v>
      </c>
      <c r="DG52" s="7">
        <v>-6800000</v>
      </c>
      <c r="DH52" s="7">
        <v>-1500000</v>
      </c>
      <c r="DI52" s="7">
        <v>500000</v>
      </c>
      <c r="DJ52" s="7">
        <v>-200000</v>
      </c>
      <c r="DK52" s="7">
        <v>400000</v>
      </c>
      <c r="DL52" s="7">
        <v>-2000000</v>
      </c>
      <c r="DM52" s="7">
        <v>49200000</v>
      </c>
      <c r="DN52" s="7">
        <v>-62000000</v>
      </c>
      <c r="DO52" s="7">
        <v>18000000</v>
      </c>
      <c r="DP52" s="7">
        <v>1400000</v>
      </c>
      <c r="DQ52" s="7">
        <v>-1900000</v>
      </c>
      <c r="DR52" s="92">
        <v>800000</v>
      </c>
      <c r="DS52" s="7">
        <v>0</v>
      </c>
      <c r="DT52" s="7">
        <v>-600000</v>
      </c>
      <c r="DU52" s="7">
        <v>1200000</v>
      </c>
      <c r="DV52" s="7">
        <v>2200000</v>
      </c>
      <c r="DW52" s="7">
        <v>3000000</v>
      </c>
      <c r="DX52" s="7">
        <v>6800000</v>
      </c>
      <c r="DY52" s="7">
        <v>-600000</v>
      </c>
      <c r="DZ52" s="160">
        <v>-1400000</v>
      </c>
      <c r="EA52" s="7">
        <v>-1400000</v>
      </c>
      <c r="EB52" s="7">
        <v>-300000</v>
      </c>
      <c r="EC52" s="7">
        <f>-5000000-250000</f>
        <v>-5250000</v>
      </c>
      <c r="ED52" s="7">
        <v>-15400000</v>
      </c>
      <c r="EE52" s="7">
        <v>-800000</v>
      </c>
      <c r="EF52" s="7">
        <v>-1100000</v>
      </c>
      <c r="EG52" s="34">
        <v>126400000</v>
      </c>
      <c r="EH52" s="7">
        <f>-EH20+EH49</f>
        <v>10000000</v>
      </c>
      <c r="EI52" s="7">
        <f>-EI20+EI49</f>
        <v>-500000</v>
      </c>
      <c r="EJ52" s="7">
        <f>-EJ20+EJ49</f>
        <v>-1500000</v>
      </c>
      <c r="EK52" s="79">
        <f>-EK20+EK49</f>
        <v>-60500000</v>
      </c>
      <c r="EL52" s="7">
        <v>-11600000</v>
      </c>
      <c r="EM52" s="7">
        <v>3400000</v>
      </c>
      <c r="EN52" s="7">
        <v>3200000</v>
      </c>
      <c r="EO52" s="7">
        <v>-1000000</v>
      </c>
      <c r="EP52" s="7">
        <v>-3000000</v>
      </c>
      <c r="EQ52" s="7">
        <f>-EQ20+EQ49</f>
        <v>1900000</v>
      </c>
      <c r="ER52" s="7">
        <v>-100000</v>
      </c>
      <c r="ES52" s="7">
        <v>-2400000</v>
      </c>
      <c r="ET52" s="7">
        <v>-250000</v>
      </c>
      <c r="EU52" s="160">
        <v>-1300000</v>
      </c>
      <c r="EV52" s="7">
        <v>-2100000</v>
      </c>
      <c r="EW52" s="7">
        <v>-1600000</v>
      </c>
      <c r="EX52" s="7">
        <v>900000</v>
      </c>
      <c r="EY52" s="7">
        <v>-16300000</v>
      </c>
      <c r="EZ52" s="7">
        <v>-450000</v>
      </c>
      <c r="FA52" s="7">
        <v>68700000</v>
      </c>
      <c r="FB52" s="7">
        <v>900000</v>
      </c>
      <c r="FC52" s="7">
        <v>-750000</v>
      </c>
      <c r="FD52" s="7">
        <v>0</v>
      </c>
      <c r="FE52" s="229">
        <v>-60200000</v>
      </c>
      <c r="FF52" s="7">
        <v>-9150000</v>
      </c>
      <c r="FG52" s="7">
        <v>3700000</v>
      </c>
      <c r="FH52" s="7">
        <v>-1800000</v>
      </c>
      <c r="FI52" s="229">
        <v>-4500000</v>
      </c>
      <c r="FJ52" s="7">
        <v>5800000</v>
      </c>
      <c r="FK52" s="7">
        <v>7600000</v>
      </c>
      <c r="FL52" s="79">
        <v>15350000</v>
      </c>
      <c r="FM52" s="7">
        <v>119750000</v>
      </c>
      <c r="FN52" s="7">
        <v>-700000</v>
      </c>
      <c r="FO52" s="7">
        <v>-2800000</v>
      </c>
      <c r="FP52" s="160">
        <v>-2200000</v>
      </c>
      <c r="FQ52" s="7">
        <v>-700000</v>
      </c>
      <c r="FR52" s="7">
        <v>-1850000</v>
      </c>
      <c r="FS52" s="7">
        <v>-4300000</v>
      </c>
      <c r="FT52" s="7">
        <v>-4800000</v>
      </c>
      <c r="FU52" s="7">
        <v>-2700000</v>
      </c>
      <c r="FV52" s="7">
        <v>-700000</v>
      </c>
      <c r="FW52" s="7">
        <v>400000</v>
      </c>
      <c r="FX52" s="7">
        <v>-1300000</v>
      </c>
      <c r="FY52" s="7">
        <v>-2500000</v>
      </c>
      <c r="FZ52" s="229">
        <f>-70400000-75000000</f>
        <v>-145400000</v>
      </c>
      <c r="GA52" s="7">
        <v>-1000000</v>
      </c>
      <c r="GB52" s="7">
        <v>-5000000</v>
      </c>
      <c r="GC52" s="7">
        <v>-3750000</v>
      </c>
      <c r="GD52" s="7">
        <v>-1200000</v>
      </c>
      <c r="GE52" s="7">
        <v>-1000000</v>
      </c>
      <c r="GF52" s="7">
        <v>-750000</v>
      </c>
      <c r="GG52" s="7">
        <v>-800000</v>
      </c>
      <c r="GH52" s="7">
        <v>86500000</v>
      </c>
      <c r="GI52" s="7">
        <f>8800000</f>
        <v>8800000</v>
      </c>
      <c r="GJ52" s="7">
        <v>-1700000</v>
      </c>
      <c r="GK52" s="7">
        <v>-150000</v>
      </c>
      <c r="GL52" s="160">
        <v>-3500000</v>
      </c>
      <c r="GM52" s="7">
        <v>-2300000</v>
      </c>
      <c r="GN52" s="7">
        <v>-200000</v>
      </c>
      <c r="GO52" s="7">
        <v>600000</v>
      </c>
      <c r="GP52" s="7">
        <v>0</v>
      </c>
      <c r="GQ52" s="7">
        <v>-7200000</v>
      </c>
      <c r="GR52" s="7">
        <v>2000000</v>
      </c>
      <c r="GS52" s="7">
        <v>-500000</v>
      </c>
      <c r="GT52" s="7">
        <v>1500000</v>
      </c>
      <c r="GU52" s="250">
        <v>2600000</v>
      </c>
      <c r="GV52" s="7">
        <v>-1300000</v>
      </c>
      <c r="GW52" s="7">
        <v>1200000</v>
      </c>
      <c r="GX52" s="7">
        <v>4600000</v>
      </c>
      <c r="GY52" s="7">
        <v>1500000</v>
      </c>
      <c r="GZ52" s="7">
        <v>-100000</v>
      </c>
      <c r="HA52" s="7">
        <v>-7700000</v>
      </c>
      <c r="HB52" s="7">
        <v>1600000</v>
      </c>
      <c r="HC52" s="7">
        <v>-2800000</v>
      </c>
      <c r="HD52" s="160">
        <v>-750000</v>
      </c>
      <c r="HE52" s="7">
        <v>7200000</v>
      </c>
      <c r="HF52" s="7">
        <v>3500000</v>
      </c>
      <c r="HG52" s="7">
        <v>5300000</v>
      </c>
      <c r="HH52" s="7">
        <v>2600000</v>
      </c>
      <c r="HI52" s="7">
        <f>-HI20+HI49</f>
        <v>-13200000</v>
      </c>
      <c r="HJ52" s="7">
        <v>-3500000</v>
      </c>
      <c r="HK52" s="7">
        <v>2600000</v>
      </c>
      <c r="HL52" s="7">
        <v>1600000</v>
      </c>
      <c r="HM52" s="7">
        <v>7400000</v>
      </c>
      <c r="HN52" s="135">
        <v>900000</v>
      </c>
      <c r="HO52" s="79">
        <v>-73300000</v>
      </c>
      <c r="HP52" s="7">
        <v>3900000</v>
      </c>
      <c r="HQ52" s="7">
        <v>400000</v>
      </c>
      <c r="HR52" s="7">
        <v>900000</v>
      </c>
      <c r="HS52" s="7">
        <v>1600000</v>
      </c>
      <c r="HT52" s="7">
        <v>6600000</v>
      </c>
      <c r="HU52" s="7">
        <v>6600000</v>
      </c>
      <c r="HV52" s="7">
        <v>16500000</v>
      </c>
      <c r="HW52" s="7">
        <v>2000000</v>
      </c>
      <c r="HX52" s="7">
        <v>-1700000</v>
      </c>
      <c r="HY52" s="7">
        <v>15300000</v>
      </c>
      <c r="HZ52" s="160">
        <v>6200000</v>
      </c>
      <c r="IA52" s="7">
        <v>17500000</v>
      </c>
      <c r="IB52" s="7">
        <v>-800000</v>
      </c>
      <c r="IC52" s="7">
        <v>17300000</v>
      </c>
      <c r="ID52" s="7">
        <v>0</v>
      </c>
      <c r="IE52" s="7">
        <v>12200000</v>
      </c>
      <c r="IF52" s="7">
        <v>15000000</v>
      </c>
      <c r="IG52" s="7">
        <v>-88800000</v>
      </c>
      <c r="IH52" s="116">
        <v>53000000</v>
      </c>
      <c r="II52" s="7">
        <v>21200000</v>
      </c>
      <c r="IJ52" s="7">
        <v>-49800000</v>
      </c>
      <c r="IK52" s="7">
        <v>8600000</v>
      </c>
      <c r="IL52" s="7">
        <v>-46000000</v>
      </c>
      <c r="IM52" s="7">
        <v>4750000</v>
      </c>
      <c r="IN52" s="7">
        <v>4900000</v>
      </c>
      <c r="IO52" s="7">
        <v>1200000</v>
      </c>
      <c r="IP52" s="7">
        <v>9200000</v>
      </c>
      <c r="IQ52" s="7">
        <v>4600000</v>
      </c>
      <c r="IR52" s="7">
        <v>27600000</v>
      </c>
      <c r="IS52" s="7">
        <v>-1000000</v>
      </c>
      <c r="IT52" s="160">
        <v>16800000</v>
      </c>
      <c r="IU52" s="7"/>
    </row>
    <row r="53" spans="1:256" s="8" customFormat="1" ht="14.1" customHeight="1">
      <c r="A53" s="21"/>
      <c r="B53" s="14"/>
      <c r="C53" s="152"/>
      <c r="N53" s="213"/>
      <c r="S53" s="8" t="s">
        <v>50</v>
      </c>
      <c r="W53" s="152"/>
      <c r="AF53" s="213"/>
      <c r="AR53" s="152"/>
      <c r="AV53" s="213"/>
      <c r="BN53" s="152"/>
      <c r="CI53" s="152"/>
      <c r="DD53" s="152"/>
      <c r="DE53" s="83"/>
      <c r="DR53" s="83"/>
      <c r="DZ53" s="152"/>
      <c r="EG53" s="38"/>
      <c r="EK53" s="71"/>
      <c r="EU53" s="152"/>
      <c r="FE53" s="213"/>
      <c r="FI53" s="213"/>
      <c r="FL53" s="71"/>
      <c r="FP53" s="152"/>
      <c r="FZ53" s="213"/>
      <c r="GL53" s="152"/>
      <c r="GU53" s="240"/>
      <c r="HD53" s="152"/>
      <c r="HM53" s="140"/>
      <c r="HN53" s="127"/>
      <c r="HO53" s="71"/>
      <c r="HZ53" s="152"/>
      <c r="IH53" s="98"/>
      <c r="IT53" s="152"/>
    </row>
    <row r="54" spans="1:256" s="8" customFormat="1" ht="14.1" customHeight="1">
      <c r="A54" s="22" t="s">
        <v>23</v>
      </c>
      <c r="B54" s="22" t="s">
        <v>42</v>
      </c>
      <c r="C54" s="152"/>
      <c r="N54" s="213"/>
      <c r="W54" s="152"/>
      <c r="AF54" s="213"/>
      <c r="AR54" s="152"/>
      <c r="AV54" s="213"/>
      <c r="BN54" s="152"/>
      <c r="CI54" s="152"/>
      <c r="DD54" s="152"/>
      <c r="DE54" s="83"/>
      <c r="DR54" s="83"/>
      <c r="DZ54" s="152"/>
      <c r="EG54" s="38"/>
      <c r="EK54" s="71"/>
      <c r="EU54" s="152"/>
      <c r="FE54" s="213"/>
      <c r="FI54" s="213"/>
      <c r="FL54" s="71"/>
      <c r="FP54" s="152"/>
      <c r="FZ54" s="213"/>
      <c r="GL54" s="152"/>
      <c r="GU54" s="240"/>
      <c r="HD54" s="152"/>
      <c r="HM54" s="140"/>
      <c r="HN54" s="127"/>
      <c r="HO54" s="71"/>
      <c r="HZ54" s="152"/>
      <c r="IH54" s="98"/>
      <c r="IT54" s="152"/>
    </row>
    <row r="55" spans="1:256" s="8" customFormat="1" ht="14.1" customHeight="1">
      <c r="A55" s="14" t="s">
        <v>17</v>
      </c>
      <c r="B55" s="14"/>
      <c r="C55" s="39">
        <v>320038041.02999997</v>
      </c>
      <c r="D55" s="14">
        <f t="shared" ref="D55:V55" si="23">C55+D52</f>
        <v>375038041.02999997</v>
      </c>
      <c r="E55" s="14">
        <f t="shared" si="23"/>
        <v>378838041.02999997</v>
      </c>
      <c r="F55" s="14">
        <f t="shared" si="23"/>
        <v>415838041.02999997</v>
      </c>
      <c r="G55" s="14">
        <f t="shared" si="23"/>
        <v>457038041.02999997</v>
      </c>
      <c r="H55" s="14">
        <f t="shared" si="23"/>
        <v>132838041.02999997</v>
      </c>
      <c r="I55" s="14">
        <f t="shared" si="23"/>
        <v>150138041.02999997</v>
      </c>
      <c r="J55" s="14">
        <f t="shared" si="23"/>
        <v>149338041.02999997</v>
      </c>
      <c r="K55" s="14">
        <f t="shared" si="23"/>
        <v>148338041.02999997</v>
      </c>
      <c r="L55" s="14">
        <f t="shared" si="23"/>
        <v>200038041.02999997</v>
      </c>
      <c r="M55" s="14">
        <f t="shared" si="23"/>
        <v>199638041.02999997</v>
      </c>
      <c r="N55" s="230">
        <f t="shared" si="23"/>
        <v>140738041.02999997</v>
      </c>
      <c r="O55" s="14">
        <f t="shared" si="23"/>
        <v>143038041.02999997</v>
      </c>
      <c r="P55" s="14">
        <f t="shared" si="23"/>
        <v>147438041.02999997</v>
      </c>
      <c r="Q55" s="14">
        <f t="shared" si="23"/>
        <v>140738041.02999997</v>
      </c>
      <c r="R55" s="14">
        <f t="shared" si="23"/>
        <v>145838041.02999997</v>
      </c>
      <c r="S55" s="14">
        <f t="shared" si="23"/>
        <v>140238041.02999997</v>
      </c>
      <c r="T55" s="14">
        <f t="shared" si="23"/>
        <v>140438041.02999997</v>
      </c>
      <c r="U55" s="14">
        <f t="shared" si="23"/>
        <v>143738041.02999997</v>
      </c>
      <c r="V55" s="14">
        <f t="shared" si="23"/>
        <v>146738041.02999997</v>
      </c>
      <c r="W55" s="39">
        <f>V55+W52+589286.85</f>
        <v>148227327.87999997</v>
      </c>
      <c r="X55" s="14">
        <f t="shared" ref="X55:AQ55" si="24">W55+X52</f>
        <v>150127327.87999997</v>
      </c>
      <c r="Y55" s="14">
        <f t="shared" si="24"/>
        <v>158527327.87999997</v>
      </c>
      <c r="Z55" s="14">
        <f t="shared" si="24"/>
        <v>155327327.87999997</v>
      </c>
      <c r="AA55" s="14">
        <f t="shared" si="24"/>
        <v>141327327.87999997</v>
      </c>
      <c r="AB55" s="14">
        <f t="shared" si="24"/>
        <v>138327327.87999997</v>
      </c>
      <c r="AC55" s="14">
        <f t="shared" si="24"/>
        <v>135727327.87999997</v>
      </c>
      <c r="AD55" s="14">
        <f t="shared" si="24"/>
        <v>134027327.87999997</v>
      </c>
      <c r="AE55" s="14">
        <f t="shared" si="24"/>
        <v>133327327.87999997</v>
      </c>
      <c r="AF55" s="230">
        <f t="shared" si="24"/>
        <v>74427327.879999965</v>
      </c>
      <c r="AG55" s="14">
        <f t="shared" si="24"/>
        <v>64927327.879999965</v>
      </c>
      <c r="AH55" s="14">
        <f t="shared" si="24"/>
        <v>64627327.879999965</v>
      </c>
      <c r="AI55" s="14">
        <f t="shared" si="24"/>
        <v>64127327.879999965</v>
      </c>
      <c r="AJ55" s="14">
        <f t="shared" si="24"/>
        <v>62227327.879999965</v>
      </c>
      <c r="AK55" s="14">
        <f t="shared" si="24"/>
        <v>54227327.879999965</v>
      </c>
      <c r="AL55" s="14">
        <f t="shared" si="24"/>
        <v>54227327.879999965</v>
      </c>
      <c r="AM55" s="14">
        <f t="shared" si="24"/>
        <v>59927327.879999965</v>
      </c>
      <c r="AN55" s="14">
        <f t="shared" si="24"/>
        <v>66227327.879999965</v>
      </c>
      <c r="AO55" s="14">
        <f t="shared" si="24"/>
        <v>63527327.879999965</v>
      </c>
      <c r="AP55" s="14">
        <f t="shared" si="24"/>
        <v>65827327.879999965</v>
      </c>
      <c r="AQ55" s="14">
        <f t="shared" si="24"/>
        <v>63927327.879999965</v>
      </c>
      <c r="AR55" s="39">
        <f>AQ55+AR52+265126.71</f>
        <v>62392454.589999966</v>
      </c>
      <c r="AS55" s="14">
        <f t="shared" ref="AS55:BM55" si="25">AR55+AS52</f>
        <v>61642454.589999966</v>
      </c>
      <c r="AT55" s="14">
        <f t="shared" si="25"/>
        <v>72142454.589999974</v>
      </c>
      <c r="AU55" s="14">
        <f t="shared" si="25"/>
        <v>74142454.589999974</v>
      </c>
      <c r="AV55" s="230">
        <f t="shared" si="25"/>
        <v>53442454.589999974</v>
      </c>
      <c r="AW55" s="14">
        <f t="shared" si="25"/>
        <v>53442454.589999974</v>
      </c>
      <c r="AX55" s="14">
        <f t="shared" si="25"/>
        <v>53442454.589999974</v>
      </c>
      <c r="AY55" s="14">
        <f t="shared" si="25"/>
        <v>51842454.589999974</v>
      </c>
      <c r="AZ55" s="14">
        <f t="shared" si="25"/>
        <v>52242454.589999974</v>
      </c>
      <c r="BA55" s="14">
        <f t="shared" si="25"/>
        <v>48142454.589999974</v>
      </c>
      <c r="BB55" s="14">
        <f t="shared" si="25"/>
        <v>50142454.589999974</v>
      </c>
      <c r="BC55" s="14">
        <f t="shared" si="25"/>
        <v>41342454.589999974</v>
      </c>
      <c r="BD55" s="14">
        <f t="shared" si="25"/>
        <v>25342454.589999974</v>
      </c>
      <c r="BE55" s="14">
        <f t="shared" si="25"/>
        <v>23142454.589999974</v>
      </c>
      <c r="BF55" s="14">
        <f t="shared" si="25"/>
        <v>18942454.589999974</v>
      </c>
      <c r="BG55" s="14">
        <f t="shared" si="25"/>
        <v>20242454.589999974</v>
      </c>
      <c r="BH55" s="14">
        <f t="shared" si="25"/>
        <v>19042454.589999974</v>
      </c>
      <c r="BI55" s="14">
        <f t="shared" si="25"/>
        <v>23442454.589999974</v>
      </c>
      <c r="BJ55" s="14">
        <f t="shared" si="25"/>
        <v>21642454.589999974</v>
      </c>
      <c r="BK55" s="14">
        <f t="shared" si="25"/>
        <v>25842454.589999974</v>
      </c>
      <c r="BL55" s="14">
        <f t="shared" si="25"/>
        <v>21342454.589999974</v>
      </c>
      <c r="BM55" s="14">
        <f t="shared" si="25"/>
        <v>22142454.589999974</v>
      </c>
      <c r="BN55" s="39">
        <f>BM55+BN52+89811.47</f>
        <v>21332266.059999973</v>
      </c>
      <c r="BO55" s="14">
        <f t="shared" ref="BO55:CH55" si="26">BN55+BO52</f>
        <v>21082266.059999973</v>
      </c>
      <c r="BP55" s="14">
        <f t="shared" si="26"/>
        <v>19682266.059999973</v>
      </c>
      <c r="BQ55" s="14">
        <f t="shared" si="26"/>
        <v>17782266.059999973</v>
      </c>
      <c r="BR55" s="14">
        <f t="shared" si="26"/>
        <v>3282266.0599999726</v>
      </c>
      <c r="BS55" s="14">
        <f t="shared" si="26"/>
        <v>2782266.0599999726</v>
      </c>
      <c r="BT55" s="14">
        <f t="shared" si="26"/>
        <v>3082266.0599999726</v>
      </c>
      <c r="BU55" s="14">
        <f t="shared" si="26"/>
        <v>3082266.0599999726</v>
      </c>
      <c r="BV55" s="14">
        <f t="shared" si="26"/>
        <v>62982266.059999973</v>
      </c>
      <c r="BW55" s="14">
        <f t="shared" si="26"/>
        <v>97582266.059999973</v>
      </c>
      <c r="BX55" s="14">
        <f t="shared" si="26"/>
        <v>97182266.059999973</v>
      </c>
      <c r="BY55" s="14">
        <f t="shared" si="26"/>
        <v>36282266.059999973</v>
      </c>
      <c r="BZ55" s="14">
        <f t="shared" si="26"/>
        <v>19782266.059999973</v>
      </c>
      <c r="CA55" s="14">
        <f t="shared" si="26"/>
        <v>13282266.059999973</v>
      </c>
      <c r="CB55" s="14">
        <f t="shared" si="26"/>
        <v>12082266.059999973</v>
      </c>
      <c r="CC55" s="14">
        <f t="shared" si="26"/>
        <v>9782266.0599999726</v>
      </c>
      <c r="CD55" s="14">
        <f t="shared" si="26"/>
        <v>9282266.0599999726</v>
      </c>
      <c r="CE55" s="14">
        <f t="shared" si="26"/>
        <v>8682266.0599999726</v>
      </c>
      <c r="CF55" s="14">
        <f t="shared" si="26"/>
        <v>18282266.059999973</v>
      </c>
      <c r="CG55" s="14">
        <f t="shared" si="26"/>
        <v>16882266.059999973</v>
      </c>
      <c r="CH55" s="14">
        <f t="shared" si="26"/>
        <v>15732266.059999973</v>
      </c>
      <c r="CI55" s="39">
        <f>CH55+CI52+42943.9</f>
        <v>11775209.959999973</v>
      </c>
      <c r="CJ55" s="14">
        <f t="shared" ref="CJ55:DC55" si="27">CI55+CJ52</f>
        <v>10575209.959999973</v>
      </c>
      <c r="CK55" s="14">
        <f t="shared" si="27"/>
        <v>7575209.959999973</v>
      </c>
      <c r="CL55" s="14">
        <f t="shared" si="27"/>
        <v>13575209.959999973</v>
      </c>
      <c r="CM55" s="14">
        <f t="shared" si="27"/>
        <v>11575209.959999973</v>
      </c>
      <c r="CN55" s="14">
        <f t="shared" si="27"/>
        <v>16575209.959999973</v>
      </c>
      <c r="CO55" s="14">
        <f t="shared" si="27"/>
        <v>45175209.959999971</v>
      </c>
      <c r="CP55" s="14">
        <f t="shared" si="27"/>
        <v>43425209.959999971</v>
      </c>
      <c r="CQ55" s="14">
        <f t="shared" si="27"/>
        <v>42725209.959999971</v>
      </c>
      <c r="CR55" s="14">
        <f t="shared" si="27"/>
        <v>43225209.959999971</v>
      </c>
      <c r="CS55" s="14">
        <f t="shared" si="27"/>
        <v>56425209.959999971</v>
      </c>
      <c r="CT55" s="14">
        <f t="shared" si="27"/>
        <v>45825209.959999971</v>
      </c>
      <c r="CU55" s="14">
        <f t="shared" si="27"/>
        <v>44225209.959999971</v>
      </c>
      <c r="CV55" s="14">
        <f t="shared" si="27"/>
        <v>41625209.959999971</v>
      </c>
      <c r="CW55" s="14">
        <f t="shared" si="27"/>
        <v>39925209.959999971</v>
      </c>
      <c r="CX55" s="14">
        <f t="shared" si="27"/>
        <v>37625209.959999971</v>
      </c>
      <c r="CY55" s="14">
        <f t="shared" si="27"/>
        <v>35325209.959999971</v>
      </c>
      <c r="CZ55" s="14">
        <f t="shared" si="27"/>
        <v>36075209.959999971</v>
      </c>
      <c r="DA55" s="14">
        <f t="shared" si="27"/>
        <v>39075209.959999971</v>
      </c>
      <c r="DB55" s="14">
        <f t="shared" si="27"/>
        <v>40375209.959999971</v>
      </c>
      <c r="DC55" s="14">
        <f t="shared" si="27"/>
        <v>42975209.959999971</v>
      </c>
      <c r="DD55" s="39">
        <f>DC55+DD52+72665.59</f>
        <v>42247875.549999975</v>
      </c>
      <c r="DE55" s="93">
        <f t="shared" ref="DE55:DY55" si="28">DD55+DE52</f>
        <v>34047875.549999975</v>
      </c>
      <c r="DF55" s="14">
        <f t="shared" si="28"/>
        <v>32947875.549999975</v>
      </c>
      <c r="DG55" s="14">
        <f t="shared" si="28"/>
        <v>26147875.549999975</v>
      </c>
      <c r="DH55" s="14">
        <f t="shared" si="28"/>
        <v>24647875.549999975</v>
      </c>
      <c r="DI55" s="14">
        <f t="shared" si="28"/>
        <v>25147875.549999975</v>
      </c>
      <c r="DJ55" s="14">
        <f t="shared" si="28"/>
        <v>24947875.549999975</v>
      </c>
      <c r="DK55" s="14">
        <f t="shared" si="28"/>
        <v>25347875.549999975</v>
      </c>
      <c r="DL55" s="14">
        <f t="shared" si="28"/>
        <v>23347875.549999975</v>
      </c>
      <c r="DM55" s="14">
        <f t="shared" si="28"/>
        <v>72547875.549999982</v>
      </c>
      <c r="DN55" s="14">
        <f t="shared" si="28"/>
        <v>10547875.549999982</v>
      </c>
      <c r="DO55" s="14">
        <f t="shared" si="28"/>
        <v>28547875.549999982</v>
      </c>
      <c r="DP55" s="14">
        <f t="shared" si="28"/>
        <v>29947875.549999982</v>
      </c>
      <c r="DQ55" s="14">
        <f t="shared" si="28"/>
        <v>28047875.549999982</v>
      </c>
      <c r="DR55" s="93">
        <f t="shared" si="28"/>
        <v>28847875.549999982</v>
      </c>
      <c r="DS55" s="14">
        <f t="shared" si="28"/>
        <v>28847875.549999982</v>
      </c>
      <c r="DT55" s="14">
        <f t="shared" si="28"/>
        <v>28247875.549999982</v>
      </c>
      <c r="DU55" s="14">
        <f t="shared" si="28"/>
        <v>29447875.549999982</v>
      </c>
      <c r="DV55" s="14">
        <f t="shared" si="28"/>
        <v>31647875.549999982</v>
      </c>
      <c r="DW55" s="14">
        <f t="shared" si="28"/>
        <v>34647875.549999982</v>
      </c>
      <c r="DX55" s="14">
        <f t="shared" si="28"/>
        <v>41447875.549999982</v>
      </c>
      <c r="DY55" s="14">
        <f t="shared" si="28"/>
        <v>40847875.549999982</v>
      </c>
      <c r="DZ55" s="39">
        <f>DY55+DZ52+64335.2</f>
        <v>39512210.749999985</v>
      </c>
      <c r="EA55" s="14">
        <f t="shared" ref="EA55:ET55" si="29">DZ55+EA52</f>
        <v>38112210.749999985</v>
      </c>
      <c r="EB55" s="14">
        <f t="shared" si="29"/>
        <v>37812210.749999985</v>
      </c>
      <c r="EC55" s="14">
        <f t="shared" si="29"/>
        <v>32562210.749999985</v>
      </c>
      <c r="ED55" s="14">
        <f t="shared" si="29"/>
        <v>17162210.749999985</v>
      </c>
      <c r="EE55" s="14">
        <f t="shared" si="29"/>
        <v>16362210.749999985</v>
      </c>
      <c r="EF55" s="14">
        <f t="shared" si="29"/>
        <v>15262210.749999985</v>
      </c>
      <c r="EG55" s="27">
        <f t="shared" si="29"/>
        <v>141662210.75</v>
      </c>
      <c r="EH55" s="14">
        <f t="shared" si="29"/>
        <v>151662210.75</v>
      </c>
      <c r="EI55" s="14">
        <f t="shared" si="29"/>
        <v>151162210.75</v>
      </c>
      <c r="EJ55" s="14">
        <f t="shared" si="29"/>
        <v>149662210.75</v>
      </c>
      <c r="EK55" s="80">
        <f t="shared" si="29"/>
        <v>89162210.75</v>
      </c>
      <c r="EL55" s="14">
        <f t="shared" si="29"/>
        <v>77562210.75</v>
      </c>
      <c r="EM55" s="14">
        <f t="shared" si="29"/>
        <v>80962210.75</v>
      </c>
      <c r="EN55" s="14">
        <f t="shared" si="29"/>
        <v>84162210.75</v>
      </c>
      <c r="EO55" s="14">
        <f t="shared" si="29"/>
        <v>83162210.75</v>
      </c>
      <c r="EP55" s="14">
        <f t="shared" si="29"/>
        <v>80162210.75</v>
      </c>
      <c r="EQ55" s="14">
        <f t="shared" si="29"/>
        <v>82062210.75</v>
      </c>
      <c r="ER55" s="14">
        <f t="shared" si="29"/>
        <v>81962210.75</v>
      </c>
      <c r="ES55" s="14">
        <f t="shared" si="29"/>
        <v>79562210.75</v>
      </c>
      <c r="ET55" s="14">
        <f t="shared" si="29"/>
        <v>79312210.75</v>
      </c>
      <c r="EU55" s="39">
        <f>ET55+EU52+156572.77</f>
        <v>78168783.519999996</v>
      </c>
      <c r="EV55" s="14">
        <f t="shared" ref="EV55:FO55" si="30">EU55+EV52</f>
        <v>76068783.519999996</v>
      </c>
      <c r="EW55" s="14">
        <f t="shared" si="30"/>
        <v>74468783.519999996</v>
      </c>
      <c r="EX55" s="14">
        <f t="shared" si="30"/>
        <v>75368783.519999996</v>
      </c>
      <c r="EY55" s="14">
        <f t="shared" si="30"/>
        <v>59068783.519999996</v>
      </c>
      <c r="EZ55" s="14">
        <f t="shared" si="30"/>
        <v>58618783.519999996</v>
      </c>
      <c r="FA55" s="14">
        <f t="shared" si="30"/>
        <v>127318783.52</v>
      </c>
      <c r="FB55" s="14">
        <f t="shared" si="30"/>
        <v>128218783.52</v>
      </c>
      <c r="FC55" s="14">
        <f t="shared" si="30"/>
        <v>127468783.52</v>
      </c>
      <c r="FD55" s="14">
        <f t="shared" si="30"/>
        <v>127468783.52</v>
      </c>
      <c r="FE55" s="230">
        <f t="shared" si="30"/>
        <v>67268783.519999996</v>
      </c>
      <c r="FF55" s="14">
        <f t="shared" si="30"/>
        <v>58118783.519999996</v>
      </c>
      <c r="FG55" s="14">
        <f t="shared" si="30"/>
        <v>61818783.519999996</v>
      </c>
      <c r="FH55" s="14">
        <f t="shared" si="30"/>
        <v>60018783.519999996</v>
      </c>
      <c r="FI55" s="230">
        <f t="shared" si="30"/>
        <v>55518783.519999996</v>
      </c>
      <c r="FJ55" s="14">
        <f t="shared" si="30"/>
        <v>61318783.519999996</v>
      </c>
      <c r="FK55" s="14">
        <f t="shared" si="30"/>
        <v>68918783.519999996</v>
      </c>
      <c r="FL55" s="80">
        <f t="shared" si="30"/>
        <v>84268783.519999996</v>
      </c>
      <c r="FM55" s="14">
        <f t="shared" si="30"/>
        <v>204018783.51999998</v>
      </c>
      <c r="FN55" s="14">
        <f t="shared" si="30"/>
        <v>203318783.51999998</v>
      </c>
      <c r="FO55" s="14">
        <f t="shared" si="30"/>
        <v>200518783.51999998</v>
      </c>
      <c r="FP55" s="39">
        <f>FO55+FP52+213825.72</f>
        <v>198532609.23999998</v>
      </c>
      <c r="FQ55" s="14">
        <f t="shared" ref="FQ55:GK55" si="31">FP55+FQ52</f>
        <v>197832609.23999998</v>
      </c>
      <c r="FR55" s="14">
        <f t="shared" si="31"/>
        <v>195982609.23999998</v>
      </c>
      <c r="FS55" s="14">
        <f t="shared" si="31"/>
        <v>191682609.23999998</v>
      </c>
      <c r="FT55" s="14">
        <f t="shared" si="31"/>
        <v>186882609.23999998</v>
      </c>
      <c r="FU55" s="14">
        <f t="shared" si="31"/>
        <v>184182609.23999998</v>
      </c>
      <c r="FV55" s="14">
        <f t="shared" si="31"/>
        <v>183482609.23999998</v>
      </c>
      <c r="FW55" s="14">
        <f t="shared" si="31"/>
        <v>183882609.23999998</v>
      </c>
      <c r="FX55" s="14">
        <f t="shared" si="31"/>
        <v>182582609.23999998</v>
      </c>
      <c r="FY55" s="14">
        <f t="shared" si="31"/>
        <v>180082609.23999998</v>
      </c>
      <c r="FZ55" s="230">
        <f t="shared" si="31"/>
        <v>34682609.23999998</v>
      </c>
      <c r="GA55" s="14">
        <f t="shared" si="31"/>
        <v>33682609.23999998</v>
      </c>
      <c r="GB55" s="14">
        <f t="shared" si="31"/>
        <v>28682609.23999998</v>
      </c>
      <c r="GC55" s="14">
        <f t="shared" si="31"/>
        <v>24932609.23999998</v>
      </c>
      <c r="GD55" s="14">
        <f t="shared" si="31"/>
        <v>23732609.23999998</v>
      </c>
      <c r="GE55" s="14">
        <f t="shared" si="31"/>
        <v>22732609.23999998</v>
      </c>
      <c r="GF55" s="14">
        <f t="shared" si="31"/>
        <v>21982609.23999998</v>
      </c>
      <c r="GG55" s="14">
        <f t="shared" si="31"/>
        <v>21182609.23999998</v>
      </c>
      <c r="GH55" s="14">
        <f t="shared" si="31"/>
        <v>107682609.23999998</v>
      </c>
      <c r="GI55" s="14">
        <f t="shared" si="31"/>
        <v>116482609.23999998</v>
      </c>
      <c r="GJ55" s="14">
        <f t="shared" si="31"/>
        <v>114782609.23999998</v>
      </c>
      <c r="GK55" s="14">
        <f t="shared" si="31"/>
        <v>114632609.23999998</v>
      </c>
      <c r="GL55" s="39">
        <f>GK55+GL52+222685.28</f>
        <v>111355294.51999998</v>
      </c>
      <c r="GM55" s="14">
        <f t="shared" ref="GM55:HC55" si="32">GL55+GM52</f>
        <v>109055294.51999998</v>
      </c>
      <c r="GN55" s="14">
        <f t="shared" si="32"/>
        <v>108855294.51999998</v>
      </c>
      <c r="GO55" s="14">
        <f t="shared" si="32"/>
        <v>109455294.51999998</v>
      </c>
      <c r="GP55" s="14">
        <f t="shared" si="32"/>
        <v>109455294.51999998</v>
      </c>
      <c r="GQ55" s="14">
        <f t="shared" si="32"/>
        <v>102255294.51999998</v>
      </c>
      <c r="GR55" s="14">
        <f t="shared" si="32"/>
        <v>104255294.51999998</v>
      </c>
      <c r="GS55" s="14">
        <f t="shared" si="32"/>
        <v>103755294.51999998</v>
      </c>
      <c r="GT55" s="14">
        <f t="shared" si="32"/>
        <v>105255294.51999998</v>
      </c>
      <c r="GU55" s="243">
        <f t="shared" si="32"/>
        <v>107855294.51999998</v>
      </c>
      <c r="GV55" s="14">
        <f t="shared" si="32"/>
        <v>106555294.51999998</v>
      </c>
      <c r="GW55" s="14">
        <f t="shared" si="32"/>
        <v>107755294.51999998</v>
      </c>
      <c r="GX55" s="14">
        <f t="shared" si="32"/>
        <v>112355294.51999998</v>
      </c>
      <c r="GY55" s="14">
        <f t="shared" si="32"/>
        <v>113855294.51999998</v>
      </c>
      <c r="GZ55" s="14">
        <f t="shared" si="32"/>
        <v>113755294.51999998</v>
      </c>
      <c r="HA55" s="14">
        <f t="shared" si="32"/>
        <v>106055294.51999998</v>
      </c>
      <c r="HB55" s="14">
        <f t="shared" si="32"/>
        <v>107655294.51999998</v>
      </c>
      <c r="HC55" s="14">
        <f t="shared" si="32"/>
        <v>104855294.51999998</v>
      </c>
      <c r="HD55" s="39">
        <f>HC55+HD52+199498.2</f>
        <v>104304792.71999998</v>
      </c>
      <c r="HE55" s="14">
        <f t="shared" ref="HE55:HY55" si="33">HD55+HE52</f>
        <v>111504792.71999998</v>
      </c>
      <c r="HF55" s="14">
        <f t="shared" si="33"/>
        <v>115004792.71999998</v>
      </c>
      <c r="HG55" s="14">
        <f t="shared" si="33"/>
        <v>120304792.71999998</v>
      </c>
      <c r="HH55" s="14">
        <f t="shared" si="33"/>
        <v>122904792.71999998</v>
      </c>
      <c r="HI55" s="14">
        <f t="shared" si="33"/>
        <v>109704792.71999998</v>
      </c>
      <c r="HJ55" s="14">
        <f t="shared" si="33"/>
        <v>106204792.71999998</v>
      </c>
      <c r="HK55" s="14">
        <f t="shared" si="33"/>
        <v>108804792.71999998</v>
      </c>
      <c r="HL55" s="14">
        <f t="shared" si="33"/>
        <v>110404792.71999998</v>
      </c>
      <c r="HM55" s="14">
        <f t="shared" si="33"/>
        <v>117804792.71999998</v>
      </c>
      <c r="HN55" s="136">
        <f t="shared" si="33"/>
        <v>118704792.71999998</v>
      </c>
      <c r="HO55" s="80">
        <f t="shared" si="33"/>
        <v>45404792.719999984</v>
      </c>
      <c r="HP55" s="14">
        <f t="shared" si="33"/>
        <v>49304792.719999984</v>
      </c>
      <c r="HQ55" s="14">
        <f t="shared" si="33"/>
        <v>49704792.719999984</v>
      </c>
      <c r="HR55" s="14">
        <f t="shared" si="33"/>
        <v>50604792.719999984</v>
      </c>
      <c r="HS55" s="14">
        <f t="shared" si="33"/>
        <v>52204792.719999984</v>
      </c>
      <c r="HT55" s="14">
        <f t="shared" si="33"/>
        <v>58804792.719999984</v>
      </c>
      <c r="HU55" s="14">
        <f t="shared" si="33"/>
        <v>65404792.719999984</v>
      </c>
      <c r="HV55" s="14">
        <f t="shared" si="33"/>
        <v>81904792.719999984</v>
      </c>
      <c r="HW55" s="14">
        <f t="shared" si="33"/>
        <v>83904792.719999984</v>
      </c>
      <c r="HX55" s="14">
        <f t="shared" si="33"/>
        <v>82204792.719999984</v>
      </c>
      <c r="HY55" s="14">
        <f t="shared" si="33"/>
        <v>97504792.719999984</v>
      </c>
      <c r="HZ55" s="39">
        <f>HY55+HZ52+132240.73</f>
        <v>103837033.44999999</v>
      </c>
      <c r="IA55" s="14">
        <f t="shared" ref="IA55:IT55" si="34">HZ55+IA52</f>
        <v>121337033.44999999</v>
      </c>
      <c r="IB55" s="14">
        <f t="shared" si="34"/>
        <v>120537033.44999999</v>
      </c>
      <c r="IC55" s="14">
        <f t="shared" si="34"/>
        <v>137837033.44999999</v>
      </c>
      <c r="ID55" s="14">
        <f t="shared" si="34"/>
        <v>137837033.44999999</v>
      </c>
      <c r="IE55" s="14">
        <f t="shared" si="34"/>
        <v>150037033.44999999</v>
      </c>
      <c r="IF55" s="14">
        <f t="shared" si="34"/>
        <v>165037033.44999999</v>
      </c>
      <c r="IG55" s="14">
        <f t="shared" si="34"/>
        <v>76237033.449999988</v>
      </c>
      <c r="IH55" s="112">
        <f t="shared" si="34"/>
        <v>129237033.44999999</v>
      </c>
      <c r="II55" s="14">
        <f t="shared" si="34"/>
        <v>150437033.44999999</v>
      </c>
      <c r="IJ55" s="14">
        <f t="shared" si="34"/>
        <v>100637033.44999999</v>
      </c>
      <c r="IK55" s="14">
        <f t="shared" si="34"/>
        <v>109237033.44999999</v>
      </c>
      <c r="IL55" s="14">
        <f t="shared" si="34"/>
        <v>63237033.449999988</v>
      </c>
      <c r="IM55" s="14">
        <f t="shared" si="34"/>
        <v>67987033.449999988</v>
      </c>
      <c r="IN55" s="14">
        <f t="shared" si="34"/>
        <v>72887033.449999988</v>
      </c>
      <c r="IO55" s="14">
        <f t="shared" si="34"/>
        <v>74087033.449999988</v>
      </c>
      <c r="IP55" s="14">
        <f t="shared" si="34"/>
        <v>83287033.449999988</v>
      </c>
      <c r="IQ55" s="14">
        <f t="shared" si="34"/>
        <v>87887033.449999988</v>
      </c>
      <c r="IR55" s="14">
        <f t="shared" si="34"/>
        <v>115487033.44999999</v>
      </c>
      <c r="IS55" s="14">
        <f t="shared" si="34"/>
        <v>114487033.44999999</v>
      </c>
      <c r="IT55" s="39">
        <f t="shared" si="34"/>
        <v>131287033.44999999</v>
      </c>
      <c r="IU55" s="14"/>
    </row>
    <row r="56" spans="1:256" s="8" customFormat="1" ht="14.1" customHeight="1">
      <c r="A56" s="14" t="s">
        <v>69</v>
      </c>
      <c r="B56" s="14"/>
      <c r="C56" s="39">
        <v>0</v>
      </c>
      <c r="D56" s="14">
        <f t="shared" ref="D56:AI56" si="35">+C56</f>
        <v>0</v>
      </c>
      <c r="E56" s="14">
        <f t="shared" si="35"/>
        <v>0</v>
      </c>
      <c r="F56" s="14">
        <f t="shared" si="35"/>
        <v>0</v>
      </c>
      <c r="G56" s="14">
        <f t="shared" si="35"/>
        <v>0</v>
      </c>
      <c r="H56" s="14">
        <f t="shared" si="35"/>
        <v>0</v>
      </c>
      <c r="I56" s="14">
        <f t="shared" si="35"/>
        <v>0</v>
      </c>
      <c r="J56" s="14">
        <f t="shared" si="35"/>
        <v>0</v>
      </c>
      <c r="K56" s="14">
        <f t="shared" si="35"/>
        <v>0</v>
      </c>
      <c r="L56" s="14">
        <f t="shared" si="35"/>
        <v>0</v>
      </c>
      <c r="M56" s="14">
        <f t="shared" si="35"/>
        <v>0</v>
      </c>
      <c r="N56" s="230">
        <f t="shared" si="35"/>
        <v>0</v>
      </c>
      <c r="O56" s="14">
        <f t="shared" si="35"/>
        <v>0</v>
      </c>
      <c r="P56" s="14">
        <f t="shared" si="35"/>
        <v>0</v>
      </c>
      <c r="Q56" s="14">
        <f t="shared" si="35"/>
        <v>0</v>
      </c>
      <c r="R56" s="14">
        <f t="shared" si="35"/>
        <v>0</v>
      </c>
      <c r="S56" s="14">
        <f t="shared" si="35"/>
        <v>0</v>
      </c>
      <c r="T56" s="14">
        <f t="shared" si="35"/>
        <v>0</v>
      </c>
      <c r="U56" s="14">
        <f t="shared" si="35"/>
        <v>0</v>
      </c>
      <c r="V56" s="14">
        <f t="shared" si="35"/>
        <v>0</v>
      </c>
      <c r="W56" s="39">
        <f t="shared" si="35"/>
        <v>0</v>
      </c>
      <c r="X56" s="14">
        <f t="shared" si="35"/>
        <v>0</v>
      </c>
      <c r="Y56" s="14">
        <f t="shared" si="35"/>
        <v>0</v>
      </c>
      <c r="Z56" s="14">
        <f t="shared" si="35"/>
        <v>0</v>
      </c>
      <c r="AA56" s="14">
        <f t="shared" si="35"/>
        <v>0</v>
      </c>
      <c r="AB56" s="14">
        <f t="shared" si="35"/>
        <v>0</v>
      </c>
      <c r="AC56" s="14">
        <f t="shared" si="35"/>
        <v>0</v>
      </c>
      <c r="AD56" s="14">
        <f t="shared" si="35"/>
        <v>0</v>
      </c>
      <c r="AE56" s="14">
        <f t="shared" si="35"/>
        <v>0</v>
      </c>
      <c r="AF56" s="230">
        <f t="shared" si="35"/>
        <v>0</v>
      </c>
      <c r="AG56" s="14">
        <f t="shared" si="35"/>
        <v>0</v>
      </c>
      <c r="AH56" s="14">
        <f t="shared" si="35"/>
        <v>0</v>
      </c>
      <c r="AI56" s="14">
        <f t="shared" si="35"/>
        <v>0</v>
      </c>
      <c r="AJ56" s="14">
        <f t="shared" ref="AJ56:BO56" si="36">+AI56</f>
        <v>0</v>
      </c>
      <c r="AK56" s="14">
        <f t="shared" si="36"/>
        <v>0</v>
      </c>
      <c r="AL56" s="14">
        <f t="shared" si="36"/>
        <v>0</v>
      </c>
      <c r="AM56" s="14">
        <f t="shared" si="36"/>
        <v>0</v>
      </c>
      <c r="AN56" s="14">
        <f t="shared" si="36"/>
        <v>0</v>
      </c>
      <c r="AO56" s="14">
        <f t="shared" si="36"/>
        <v>0</v>
      </c>
      <c r="AP56" s="14">
        <f t="shared" si="36"/>
        <v>0</v>
      </c>
      <c r="AQ56" s="14">
        <f t="shared" si="36"/>
        <v>0</v>
      </c>
      <c r="AR56" s="39">
        <f t="shared" si="36"/>
        <v>0</v>
      </c>
      <c r="AS56" s="14">
        <f t="shared" si="36"/>
        <v>0</v>
      </c>
      <c r="AT56" s="14">
        <f t="shared" si="36"/>
        <v>0</v>
      </c>
      <c r="AU56" s="14">
        <f t="shared" si="36"/>
        <v>0</v>
      </c>
      <c r="AV56" s="230">
        <f t="shared" si="36"/>
        <v>0</v>
      </c>
      <c r="AW56" s="14">
        <f t="shared" si="36"/>
        <v>0</v>
      </c>
      <c r="AX56" s="14">
        <f t="shared" si="36"/>
        <v>0</v>
      </c>
      <c r="AY56" s="14">
        <f t="shared" si="36"/>
        <v>0</v>
      </c>
      <c r="AZ56" s="14">
        <f t="shared" si="36"/>
        <v>0</v>
      </c>
      <c r="BA56" s="14">
        <f t="shared" si="36"/>
        <v>0</v>
      </c>
      <c r="BB56" s="14">
        <f t="shared" si="36"/>
        <v>0</v>
      </c>
      <c r="BC56" s="14">
        <f t="shared" si="36"/>
        <v>0</v>
      </c>
      <c r="BD56" s="14">
        <f t="shared" si="36"/>
        <v>0</v>
      </c>
      <c r="BE56" s="14">
        <f t="shared" si="36"/>
        <v>0</v>
      </c>
      <c r="BF56" s="14">
        <f t="shared" si="36"/>
        <v>0</v>
      </c>
      <c r="BG56" s="14">
        <f t="shared" si="36"/>
        <v>0</v>
      </c>
      <c r="BH56" s="14">
        <f t="shared" si="36"/>
        <v>0</v>
      </c>
      <c r="BI56" s="14">
        <f t="shared" si="36"/>
        <v>0</v>
      </c>
      <c r="BJ56" s="14">
        <f t="shared" si="36"/>
        <v>0</v>
      </c>
      <c r="BK56" s="14">
        <f t="shared" si="36"/>
        <v>0</v>
      </c>
      <c r="BL56" s="14">
        <f t="shared" si="36"/>
        <v>0</v>
      </c>
      <c r="BM56" s="14">
        <f t="shared" si="36"/>
        <v>0</v>
      </c>
      <c r="BN56" s="39">
        <f t="shared" si="36"/>
        <v>0</v>
      </c>
      <c r="BO56" s="14">
        <f t="shared" si="36"/>
        <v>0</v>
      </c>
      <c r="BP56" s="14">
        <f t="shared" ref="BP56:CU56" si="37">+BO56</f>
        <v>0</v>
      </c>
      <c r="BQ56" s="14">
        <f t="shared" si="37"/>
        <v>0</v>
      </c>
      <c r="BR56" s="14">
        <f t="shared" si="37"/>
        <v>0</v>
      </c>
      <c r="BS56" s="14">
        <f t="shared" si="37"/>
        <v>0</v>
      </c>
      <c r="BT56" s="14">
        <f t="shared" si="37"/>
        <v>0</v>
      </c>
      <c r="BU56" s="14">
        <f t="shared" si="37"/>
        <v>0</v>
      </c>
      <c r="BV56" s="14">
        <f t="shared" si="37"/>
        <v>0</v>
      </c>
      <c r="BW56" s="14">
        <f t="shared" si="37"/>
        <v>0</v>
      </c>
      <c r="BX56" s="14">
        <f t="shared" si="37"/>
        <v>0</v>
      </c>
      <c r="BY56" s="14">
        <f t="shared" si="37"/>
        <v>0</v>
      </c>
      <c r="BZ56" s="14">
        <f t="shared" si="37"/>
        <v>0</v>
      </c>
      <c r="CA56" s="14">
        <f t="shared" si="37"/>
        <v>0</v>
      </c>
      <c r="CB56" s="14">
        <f t="shared" si="37"/>
        <v>0</v>
      </c>
      <c r="CC56" s="14">
        <f t="shared" si="37"/>
        <v>0</v>
      </c>
      <c r="CD56" s="14">
        <f t="shared" si="37"/>
        <v>0</v>
      </c>
      <c r="CE56" s="14">
        <f t="shared" si="37"/>
        <v>0</v>
      </c>
      <c r="CF56" s="14">
        <f t="shared" si="37"/>
        <v>0</v>
      </c>
      <c r="CG56" s="14">
        <f t="shared" si="37"/>
        <v>0</v>
      </c>
      <c r="CH56" s="14">
        <f t="shared" si="37"/>
        <v>0</v>
      </c>
      <c r="CI56" s="39">
        <f t="shared" si="37"/>
        <v>0</v>
      </c>
      <c r="CJ56" s="14">
        <f t="shared" si="37"/>
        <v>0</v>
      </c>
      <c r="CK56" s="14">
        <f t="shared" si="37"/>
        <v>0</v>
      </c>
      <c r="CL56" s="14">
        <f t="shared" si="37"/>
        <v>0</v>
      </c>
      <c r="CM56" s="14">
        <f t="shared" si="37"/>
        <v>0</v>
      </c>
      <c r="CN56" s="14">
        <f t="shared" si="37"/>
        <v>0</v>
      </c>
      <c r="CO56" s="14">
        <f t="shared" si="37"/>
        <v>0</v>
      </c>
      <c r="CP56" s="14">
        <f t="shared" si="37"/>
        <v>0</v>
      </c>
      <c r="CQ56" s="14">
        <f t="shared" si="37"/>
        <v>0</v>
      </c>
      <c r="CR56" s="14">
        <f t="shared" si="37"/>
        <v>0</v>
      </c>
      <c r="CS56" s="14">
        <f t="shared" si="37"/>
        <v>0</v>
      </c>
      <c r="CT56" s="14">
        <f t="shared" si="37"/>
        <v>0</v>
      </c>
      <c r="CU56" s="14">
        <f t="shared" si="37"/>
        <v>0</v>
      </c>
      <c r="CV56" s="14">
        <f t="shared" ref="CV56:EA56" si="38">+CU56</f>
        <v>0</v>
      </c>
      <c r="CW56" s="14">
        <f t="shared" si="38"/>
        <v>0</v>
      </c>
      <c r="CX56" s="14">
        <f t="shared" si="38"/>
        <v>0</v>
      </c>
      <c r="CY56" s="14">
        <f t="shared" si="38"/>
        <v>0</v>
      </c>
      <c r="CZ56" s="14">
        <f t="shared" si="38"/>
        <v>0</v>
      </c>
      <c r="DA56" s="14">
        <f t="shared" si="38"/>
        <v>0</v>
      </c>
      <c r="DB56" s="14">
        <f t="shared" si="38"/>
        <v>0</v>
      </c>
      <c r="DC56" s="14">
        <f t="shared" si="38"/>
        <v>0</v>
      </c>
      <c r="DD56" s="39">
        <f t="shared" si="38"/>
        <v>0</v>
      </c>
      <c r="DE56" s="93">
        <f t="shared" si="38"/>
        <v>0</v>
      </c>
      <c r="DF56" s="14">
        <f t="shared" si="38"/>
        <v>0</v>
      </c>
      <c r="DG56" s="14">
        <f t="shared" si="38"/>
        <v>0</v>
      </c>
      <c r="DH56" s="14">
        <f t="shared" si="38"/>
        <v>0</v>
      </c>
      <c r="DI56" s="14">
        <f t="shared" si="38"/>
        <v>0</v>
      </c>
      <c r="DJ56" s="14">
        <f t="shared" si="38"/>
        <v>0</v>
      </c>
      <c r="DK56" s="14">
        <f t="shared" si="38"/>
        <v>0</v>
      </c>
      <c r="DL56" s="14">
        <f t="shared" si="38"/>
        <v>0</v>
      </c>
      <c r="DM56" s="14">
        <f t="shared" si="38"/>
        <v>0</v>
      </c>
      <c r="DN56" s="14">
        <f t="shared" si="38"/>
        <v>0</v>
      </c>
      <c r="DO56" s="14">
        <f t="shared" si="38"/>
        <v>0</v>
      </c>
      <c r="DP56" s="14">
        <f t="shared" si="38"/>
        <v>0</v>
      </c>
      <c r="DQ56" s="14">
        <f t="shared" si="38"/>
        <v>0</v>
      </c>
      <c r="DR56" s="93">
        <f t="shared" si="38"/>
        <v>0</v>
      </c>
      <c r="DS56" s="14">
        <f t="shared" si="38"/>
        <v>0</v>
      </c>
      <c r="DT56" s="14">
        <f t="shared" si="38"/>
        <v>0</v>
      </c>
      <c r="DU56" s="14">
        <f t="shared" si="38"/>
        <v>0</v>
      </c>
      <c r="DV56" s="14">
        <f t="shared" si="38"/>
        <v>0</v>
      </c>
      <c r="DW56" s="14">
        <f t="shared" si="38"/>
        <v>0</v>
      </c>
      <c r="DX56" s="14">
        <f t="shared" si="38"/>
        <v>0</v>
      </c>
      <c r="DY56" s="14">
        <f t="shared" si="38"/>
        <v>0</v>
      </c>
      <c r="DZ56" s="39">
        <f t="shared" si="38"/>
        <v>0</v>
      </c>
      <c r="EA56" s="14">
        <f t="shared" si="38"/>
        <v>0</v>
      </c>
      <c r="EB56" s="14">
        <f t="shared" ref="EB56:EJ56" si="39">+EA56</f>
        <v>0</v>
      </c>
      <c r="EC56" s="14">
        <f t="shared" si="39"/>
        <v>0</v>
      </c>
      <c r="ED56" s="14">
        <f t="shared" si="39"/>
        <v>0</v>
      </c>
      <c r="EE56" s="14">
        <f t="shared" si="39"/>
        <v>0</v>
      </c>
      <c r="EF56" s="14">
        <f t="shared" si="39"/>
        <v>0</v>
      </c>
      <c r="EG56" s="27">
        <f t="shared" si="39"/>
        <v>0</v>
      </c>
      <c r="EH56" s="14">
        <f t="shared" si="39"/>
        <v>0</v>
      </c>
      <c r="EI56" s="14">
        <f t="shared" si="39"/>
        <v>0</v>
      </c>
      <c r="EJ56" s="14">
        <f t="shared" si="39"/>
        <v>0</v>
      </c>
      <c r="EK56" s="243">
        <f>+EK66</f>
        <v>75000000</v>
      </c>
      <c r="EL56" s="14">
        <f t="shared" ref="EL56:FD56" si="40">+EK56</f>
        <v>75000000</v>
      </c>
      <c r="EM56" s="14">
        <f t="shared" si="40"/>
        <v>75000000</v>
      </c>
      <c r="EN56" s="14">
        <f t="shared" si="40"/>
        <v>75000000</v>
      </c>
      <c r="EO56" s="14">
        <f t="shared" si="40"/>
        <v>75000000</v>
      </c>
      <c r="EP56" s="14">
        <f t="shared" si="40"/>
        <v>75000000</v>
      </c>
      <c r="EQ56" s="14">
        <f t="shared" si="40"/>
        <v>75000000</v>
      </c>
      <c r="ER56" s="14">
        <f t="shared" si="40"/>
        <v>75000000</v>
      </c>
      <c r="ES56" s="14">
        <f t="shared" si="40"/>
        <v>75000000</v>
      </c>
      <c r="ET56" s="14">
        <f t="shared" si="40"/>
        <v>75000000</v>
      </c>
      <c r="EU56" s="39">
        <f t="shared" si="40"/>
        <v>75000000</v>
      </c>
      <c r="EV56" s="14">
        <f t="shared" si="40"/>
        <v>75000000</v>
      </c>
      <c r="EW56" s="14">
        <f t="shared" si="40"/>
        <v>75000000</v>
      </c>
      <c r="EX56" s="14">
        <f t="shared" si="40"/>
        <v>75000000</v>
      </c>
      <c r="EY56" s="14">
        <f t="shared" si="40"/>
        <v>75000000</v>
      </c>
      <c r="EZ56" s="14">
        <f t="shared" si="40"/>
        <v>75000000</v>
      </c>
      <c r="FA56" s="14">
        <f t="shared" si="40"/>
        <v>75000000</v>
      </c>
      <c r="FB56" s="14">
        <f t="shared" si="40"/>
        <v>75000000</v>
      </c>
      <c r="FC56" s="14">
        <f t="shared" si="40"/>
        <v>75000000</v>
      </c>
      <c r="FD56" s="14">
        <f t="shared" si="40"/>
        <v>75000000</v>
      </c>
      <c r="FE56" s="243">
        <f>+FD56+FE66</f>
        <v>125000000</v>
      </c>
      <c r="FF56" s="14">
        <f t="shared" ref="FF56:FY56" si="41">+FE56</f>
        <v>125000000</v>
      </c>
      <c r="FG56" s="14">
        <f t="shared" si="41"/>
        <v>125000000</v>
      </c>
      <c r="FH56" s="14">
        <f t="shared" si="41"/>
        <v>125000000</v>
      </c>
      <c r="FI56" s="230">
        <f t="shared" si="41"/>
        <v>125000000</v>
      </c>
      <c r="FJ56" s="14">
        <f t="shared" si="41"/>
        <v>125000000</v>
      </c>
      <c r="FK56" s="14">
        <f t="shared" si="41"/>
        <v>125000000</v>
      </c>
      <c r="FL56" s="80">
        <f t="shared" si="41"/>
        <v>125000000</v>
      </c>
      <c r="FM56" s="14">
        <f t="shared" si="41"/>
        <v>125000000</v>
      </c>
      <c r="FN56" s="14">
        <f t="shared" si="41"/>
        <v>125000000</v>
      </c>
      <c r="FO56" s="14">
        <f t="shared" si="41"/>
        <v>125000000</v>
      </c>
      <c r="FP56" s="39">
        <f t="shared" si="41"/>
        <v>125000000</v>
      </c>
      <c r="FQ56" s="14">
        <f t="shared" si="41"/>
        <v>125000000</v>
      </c>
      <c r="FR56" s="14">
        <f t="shared" si="41"/>
        <v>125000000</v>
      </c>
      <c r="FS56" s="14">
        <f t="shared" si="41"/>
        <v>125000000</v>
      </c>
      <c r="FT56" s="14">
        <f t="shared" si="41"/>
        <v>125000000</v>
      </c>
      <c r="FU56" s="14">
        <f t="shared" si="41"/>
        <v>125000000</v>
      </c>
      <c r="FV56" s="14">
        <f t="shared" si="41"/>
        <v>125000000</v>
      </c>
      <c r="FW56" s="14">
        <f t="shared" si="41"/>
        <v>125000000</v>
      </c>
      <c r="FX56" s="14">
        <f t="shared" si="41"/>
        <v>125000000</v>
      </c>
      <c r="FY56" s="14">
        <f t="shared" si="41"/>
        <v>125000000</v>
      </c>
      <c r="FZ56" s="230">
        <f>+FX56+75000000</f>
        <v>200000000</v>
      </c>
      <c r="GA56" s="14">
        <f t="shared" ref="GA56:GT56" si="42">+FZ56</f>
        <v>200000000</v>
      </c>
      <c r="GB56" s="14">
        <f t="shared" si="42"/>
        <v>200000000</v>
      </c>
      <c r="GC56" s="14">
        <f t="shared" si="42"/>
        <v>200000000</v>
      </c>
      <c r="GD56" s="14">
        <f t="shared" si="42"/>
        <v>200000000</v>
      </c>
      <c r="GE56" s="14">
        <f t="shared" si="42"/>
        <v>200000000</v>
      </c>
      <c r="GF56" s="14">
        <f t="shared" si="42"/>
        <v>200000000</v>
      </c>
      <c r="GG56" s="14">
        <f t="shared" si="42"/>
        <v>200000000</v>
      </c>
      <c r="GH56" s="14">
        <f t="shared" si="42"/>
        <v>200000000</v>
      </c>
      <c r="GI56" s="14">
        <f t="shared" si="42"/>
        <v>200000000</v>
      </c>
      <c r="GJ56" s="14">
        <f t="shared" si="42"/>
        <v>200000000</v>
      </c>
      <c r="GK56" s="14">
        <f t="shared" si="42"/>
        <v>200000000</v>
      </c>
      <c r="GL56" s="39">
        <f t="shared" si="42"/>
        <v>200000000</v>
      </c>
      <c r="GM56" s="14">
        <f t="shared" si="42"/>
        <v>200000000</v>
      </c>
      <c r="GN56" s="14">
        <f t="shared" si="42"/>
        <v>200000000</v>
      </c>
      <c r="GO56" s="14">
        <f t="shared" si="42"/>
        <v>200000000</v>
      </c>
      <c r="GP56" s="14">
        <f t="shared" si="42"/>
        <v>200000000</v>
      </c>
      <c r="GQ56" s="14">
        <f t="shared" si="42"/>
        <v>200000000</v>
      </c>
      <c r="GR56" s="14">
        <f t="shared" si="42"/>
        <v>200000000</v>
      </c>
      <c r="GS56" s="14">
        <f t="shared" si="42"/>
        <v>200000000</v>
      </c>
      <c r="GT56" s="14">
        <f t="shared" si="42"/>
        <v>200000000</v>
      </c>
      <c r="GU56" s="243">
        <f>+GS56</f>
        <v>200000000</v>
      </c>
      <c r="GV56" s="14">
        <f t="shared" ref="GV56:IA56" si="43">+GU56</f>
        <v>200000000</v>
      </c>
      <c r="GW56" s="14">
        <f t="shared" si="43"/>
        <v>200000000</v>
      </c>
      <c r="GX56" s="14">
        <f t="shared" si="43"/>
        <v>200000000</v>
      </c>
      <c r="GY56" s="14">
        <f t="shared" si="43"/>
        <v>200000000</v>
      </c>
      <c r="GZ56" s="14">
        <f t="shared" si="43"/>
        <v>200000000</v>
      </c>
      <c r="HA56" s="14">
        <f t="shared" si="43"/>
        <v>200000000</v>
      </c>
      <c r="HB56" s="14">
        <f t="shared" si="43"/>
        <v>200000000</v>
      </c>
      <c r="HC56" s="14">
        <f t="shared" si="43"/>
        <v>200000000</v>
      </c>
      <c r="HD56" s="39">
        <f t="shared" si="43"/>
        <v>200000000</v>
      </c>
      <c r="HE56" s="14">
        <f t="shared" si="43"/>
        <v>200000000</v>
      </c>
      <c r="HF56" s="14">
        <f t="shared" si="43"/>
        <v>200000000</v>
      </c>
      <c r="HG56" s="14">
        <f t="shared" si="43"/>
        <v>200000000</v>
      </c>
      <c r="HH56" s="14">
        <f t="shared" si="43"/>
        <v>200000000</v>
      </c>
      <c r="HI56" s="14">
        <f t="shared" si="43"/>
        <v>200000000</v>
      </c>
      <c r="HJ56" s="14">
        <f t="shared" si="43"/>
        <v>200000000</v>
      </c>
      <c r="HK56" s="14">
        <f t="shared" si="43"/>
        <v>200000000</v>
      </c>
      <c r="HL56" s="14">
        <f t="shared" si="43"/>
        <v>200000000</v>
      </c>
      <c r="HM56" s="14">
        <f t="shared" si="43"/>
        <v>200000000</v>
      </c>
      <c r="HN56" s="136">
        <f t="shared" si="43"/>
        <v>200000000</v>
      </c>
      <c r="HO56" s="80">
        <f t="shared" si="43"/>
        <v>200000000</v>
      </c>
      <c r="HP56" s="14">
        <f t="shared" si="43"/>
        <v>200000000</v>
      </c>
      <c r="HQ56" s="14">
        <f t="shared" si="43"/>
        <v>200000000</v>
      </c>
      <c r="HR56" s="14">
        <f t="shared" si="43"/>
        <v>200000000</v>
      </c>
      <c r="HS56" s="14">
        <f t="shared" si="43"/>
        <v>200000000</v>
      </c>
      <c r="HT56" s="14">
        <f t="shared" si="43"/>
        <v>200000000</v>
      </c>
      <c r="HU56" s="14">
        <f t="shared" si="43"/>
        <v>200000000</v>
      </c>
      <c r="HV56" s="14">
        <f t="shared" si="43"/>
        <v>200000000</v>
      </c>
      <c r="HW56" s="14">
        <f t="shared" si="43"/>
        <v>200000000</v>
      </c>
      <c r="HX56" s="14">
        <f t="shared" si="43"/>
        <v>200000000</v>
      </c>
      <c r="HY56" s="14">
        <f t="shared" si="43"/>
        <v>200000000</v>
      </c>
      <c r="HZ56" s="39">
        <f t="shared" si="43"/>
        <v>200000000</v>
      </c>
      <c r="IA56" s="14">
        <f t="shared" si="43"/>
        <v>200000000</v>
      </c>
      <c r="IB56" s="14">
        <f t="shared" ref="IB56:IT56" si="44">+IA56</f>
        <v>200000000</v>
      </c>
      <c r="IC56" s="14">
        <f t="shared" si="44"/>
        <v>200000000</v>
      </c>
      <c r="ID56" s="14">
        <f t="shared" si="44"/>
        <v>200000000</v>
      </c>
      <c r="IE56" s="14">
        <f t="shared" si="44"/>
        <v>200000000</v>
      </c>
      <c r="IF56" s="14">
        <f t="shared" si="44"/>
        <v>200000000</v>
      </c>
      <c r="IG56" s="14">
        <f t="shared" si="44"/>
        <v>200000000</v>
      </c>
      <c r="IH56" s="112">
        <f t="shared" si="44"/>
        <v>200000000</v>
      </c>
      <c r="II56" s="14">
        <f t="shared" si="44"/>
        <v>200000000</v>
      </c>
      <c r="IJ56" s="14">
        <f t="shared" si="44"/>
        <v>200000000</v>
      </c>
      <c r="IK56" s="14">
        <f t="shared" si="44"/>
        <v>200000000</v>
      </c>
      <c r="IL56" s="14">
        <f t="shared" si="44"/>
        <v>200000000</v>
      </c>
      <c r="IM56" s="14">
        <f t="shared" si="44"/>
        <v>200000000</v>
      </c>
      <c r="IN56" s="14">
        <f t="shared" si="44"/>
        <v>200000000</v>
      </c>
      <c r="IO56" s="14">
        <f t="shared" si="44"/>
        <v>200000000</v>
      </c>
      <c r="IP56" s="14">
        <f t="shared" si="44"/>
        <v>200000000</v>
      </c>
      <c r="IQ56" s="14">
        <f t="shared" si="44"/>
        <v>200000000</v>
      </c>
      <c r="IR56" s="14">
        <f t="shared" si="44"/>
        <v>200000000</v>
      </c>
      <c r="IS56" s="14">
        <f t="shared" si="44"/>
        <v>200000000</v>
      </c>
      <c r="IT56" s="39">
        <f t="shared" si="44"/>
        <v>200000000</v>
      </c>
      <c r="IU56" s="14"/>
    </row>
    <row r="57" spans="1:256" s="8" customFormat="1" ht="14.1" customHeight="1">
      <c r="A57" s="14" t="s">
        <v>22</v>
      </c>
      <c r="B57" s="14"/>
      <c r="C57" s="39">
        <v>31708.12</v>
      </c>
      <c r="D57" s="14">
        <f t="shared" ref="D57:G59" si="45">C57-D22</f>
        <v>31708.12</v>
      </c>
      <c r="E57" s="14">
        <f t="shared" si="45"/>
        <v>31708.12</v>
      </c>
      <c r="F57" s="14">
        <f t="shared" si="45"/>
        <v>31708.12</v>
      </c>
      <c r="G57" s="14">
        <f t="shared" si="45"/>
        <v>31708.12</v>
      </c>
      <c r="H57" s="14">
        <f>G57-H22+50000000</f>
        <v>50031708.119999997</v>
      </c>
      <c r="I57" s="14">
        <f t="shared" ref="I57:V57" si="46">H57-I22</f>
        <v>50031708.119999997</v>
      </c>
      <c r="J57" s="14">
        <f t="shared" si="46"/>
        <v>50031708.119999997</v>
      </c>
      <c r="K57" s="14">
        <f t="shared" si="46"/>
        <v>50031708.119999997</v>
      </c>
      <c r="L57" s="14">
        <f t="shared" si="46"/>
        <v>50031708.119999997</v>
      </c>
      <c r="M57" s="14">
        <f t="shared" si="46"/>
        <v>50031708.119999997</v>
      </c>
      <c r="N57" s="230">
        <f t="shared" si="46"/>
        <v>50031708.119999997</v>
      </c>
      <c r="O57" s="14">
        <f t="shared" si="46"/>
        <v>50031708.119999997</v>
      </c>
      <c r="P57" s="14">
        <f t="shared" si="46"/>
        <v>50031708.119999997</v>
      </c>
      <c r="Q57" s="14">
        <f t="shared" si="46"/>
        <v>50031708.119999997</v>
      </c>
      <c r="R57" s="14">
        <f t="shared" si="46"/>
        <v>50031708.119999997</v>
      </c>
      <c r="S57" s="14">
        <f t="shared" si="46"/>
        <v>50031708.119999997</v>
      </c>
      <c r="T57" s="14">
        <f t="shared" si="46"/>
        <v>50031708.119999997</v>
      </c>
      <c r="U57" s="14">
        <f t="shared" si="46"/>
        <v>50031708.119999997</v>
      </c>
      <c r="V57" s="14">
        <f t="shared" si="46"/>
        <v>50031708.119999997</v>
      </c>
      <c r="W57" s="39">
        <f>V57-W22+107628.55</f>
        <v>50139336.669999994</v>
      </c>
      <c r="X57" s="14">
        <f t="shared" ref="X57:AQ57" si="47">W57-X22</f>
        <v>50139336.669999994</v>
      </c>
      <c r="Y57" s="14">
        <f t="shared" si="47"/>
        <v>50139336.669999994</v>
      </c>
      <c r="Z57" s="14">
        <f t="shared" si="47"/>
        <v>50139336.669999994</v>
      </c>
      <c r="AA57" s="14">
        <f t="shared" si="47"/>
        <v>50139336.669999994</v>
      </c>
      <c r="AB57" s="14">
        <f t="shared" si="47"/>
        <v>50139336.669999994</v>
      </c>
      <c r="AC57" s="14">
        <f t="shared" si="47"/>
        <v>50139336.669999994</v>
      </c>
      <c r="AD57" s="14">
        <f t="shared" si="47"/>
        <v>50139336.669999994</v>
      </c>
      <c r="AE57" s="14">
        <f t="shared" si="47"/>
        <v>50139336.669999994</v>
      </c>
      <c r="AF57" s="230">
        <f t="shared" si="47"/>
        <v>50139336.669999994</v>
      </c>
      <c r="AG57" s="14">
        <f t="shared" si="47"/>
        <v>50139336.669999994</v>
      </c>
      <c r="AH57" s="14">
        <f t="shared" si="47"/>
        <v>50139336.669999994</v>
      </c>
      <c r="AI57" s="14">
        <f t="shared" si="47"/>
        <v>50139336.669999994</v>
      </c>
      <c r="AJ57" s="14">
        <f t="shared" si="47"/>
        <v>50139336.669999994</v>
      </c>
      <c r="AK57" s="14">
        <f t="shared" si="47"/>
        <v>50139336.669999994</v>
      </c>
      <c r="AL57" s="14">
        <f t="shared" si="47"/>
        <v>50139336.669999994</v>
      </c>
      <c r="AM57" s="14">
        <f t="shared" si="47"/>
        <v>50139336.669999994</v>
      </c>
      <c r="AN57" s="14">
        <f t="shared" si="47"/>
        <v>50139336.669999994</v>
      </c>
      <c r="AO57" s="14">
        <f t="shared" si="47"/>
        <v>50139336.669999994</v>
      </c>
      <c r="AP57" s="14">
        <f t="shared" si="47"/>
        <v>50139336.669999994</v>
      </c>
      <c r="AQ57" s="14">
        <f t="shared" si="47"/>
        <v>50139336.669999994</v>
      </c>
      <c r="AR57" s="39">
        <f>AQ57-AR22+126570.62</f>
        <v>50265907.289999992</v>
      </c>
      <c r="AS57" s="14">
        <f t="shared" ref="AS57:BM57" si="48">AR57-AS22</f>
        <v>50265907.289999992</v>
      </c>
      <c r="AT57" s="14">
        <f t="shared" si="48"/>
        <v>50265907.289999992</v>
      </c>
      <c r="AU57" s="14">
        <f t="shared" si="48"/>
        <v>50265907.289999992</v>
      </c>
      <c r="AV57" s="230">
        <f t="shared" si="48"/>
        <v>50265907.289999992</v>
      </c>
      <c r="AW57" s="14">
        <f t="shared" si="48"/>
        <v>50265907.289999992</v>
      </c>
      <c r="AX57" s="14">
        <f t="shared" si="48"/>
        <v>50265907.289999992</v>
      </c>
      <c r="AY57" s="14">
        <f t="shared" si="48"/>
        <v>50265907.289999992</v>
      </c>
      <c r="AZ57" s="14">
        <f t="shared" si="48"/>
        <v>50265907.289999992</v>
      </c>
      <c r="BA57" s="14">
        <f t="shared" si="48"/>
        <v>50265907.289999992</v>
      </c>
      <c r="BB57" s="14">
        <f t="shared" si="48"/>
        <v>50265907.289999992</v>
      </c>
      <c r="BC57" s="14">
        <f t="shared" si="48"/>
        <v>50265907.289999992</v>
      </c>
      <c r="BD57" s="14">
        <f t="shared" si="48"/>
        <v>50265907.289999992</v>
      </c>
      <c r="BE57" s="14">
        <f t="shared" si="48"/>
        <v>50265907.289999992</v>
      </c>
      <c r="BF57" s="14">
        <f t="shared" si="48"/>
        <v>50265907.289999992</v>
      </c>
      <c r="BG57" s="14">
        <f t="shared" si="48"/>
        <v>50265907.289999992</v>
      </c>
      <c r="BH57" s="14">
        <f t="shared" si="48"/>
        <v>50265907.289999992</v>
      </c>
      <c r="BI57" s="14">
        <f t="shared" si="48"/>
        <v>50265907.289999992</v>
      </c>
      <c r="BJ57" s="14">
        <f t="shared" si="48"/>
        <v>50265907.289999992</v>
      </c>
      <c r="BK57" s="14">
        <f t="shared" si="48"/>
        <v>50265907.289999992</v>
      </c>
      <c r="BL57" s="14">
        <f t="shared" si="48"/>
        <v>50265907.289999992</v>
      </c>
      <c r="BM57" s="14">
        <f t="shared" si="48"/>
        <v>50265907.289999992</v>
      </c>
      <c r="BN57" s="39">
        <f>BM57-BN22+101099.21</f>
        <v>50367006.499999993</v>
      </c>
      <c r="BO57" s="14">
        <f t="shared" ref="BO57:CH57" si="49">BN57-BO22</f>
        <v>50367006.499999993</v>
      </c>
      <c r="BP57" s="14">
        <f t="shared" si="49"/>
        <v>50367006.499999993</v>
      </c>
      <c r="BQ57" s="14">
        <f t="shared" si="49"/>
        <v>50367006.499999993</v>
      </c>
      <c r="BR57" s="14">
        <f t="shared" si="49"/>
        <v>50367006.499999993</v>
      </c>
      <c r="BS57" s="14">
        <f t="shared" si="49"/>
        <v>50367006.499999993</v>
      </c>
      <c r="BT57" s="14">
        <f t="shared" si="49"/>
        <v>50367006.499999993</v>
      </c>
      <c r="BU57" s="14">
        <f t="shared" si="49"/>
        <v>50367006.499999993</v>
      </c>
      <c r="BV57" s="14">
        <f t="shared" si="49"/>
        <v>50367006.499999993</v>
      </c>
      <c r="BW57" s="14">
        <f t="shared" si="49"/>
        <v>25367006.499999993</v>
      </c>
      <c r="BX57" s="14">
        <f t="shared" si="49"/>
        <v>25367006.499999993</v>
      </c>
      <c r="BY57" s="14">
        <f t="shared" si="49"/>
        <v>25367006.499999993</v>
      </c>
      <c r="BZ57" s="14">
        <f t="shared" si="49"/>
        <v>25367006.499999993</v>
      </c>
      <c r="CA57" s="14">
        <f t="shared" si="49"/>
        <v>25367006.499999993</v>
      </c>
      <c r="CB57" s="14">
        <f t="shared" si="49"/>
        <v>25367006.499999993</v>
      </c>
      <c r="CC57" s="14">
        <f t="shared" si="49"/>
        <v>25367006.499999993</v>
      </c>
      <c r="CD57" s="14">
        <f t="shared" si="49"/>
        <v>25367006.499999993</v>
      </c>
      <c r="CE57" s="14">
        <f t="shared" si="49"/>
        <v>25367006.499999993</v>
      </c>
      <c r="CF57" s="14">
        <f t="shared" si="49"/>
        <v>25367006.499999993</v>
      </c>
      <c r="CG57" s="14">
        <f t="shared" si="49"/>
        <v>25367006.499999993</v>
      </c>
      <c r="CH57" s="14">
        <f t="shared" si="49"/>
        <v>25367006.499999993</v>
      </c>
      <c r="CI57" s="39">
        <f>CH57-CI22+67546.4</f>
        <v>25434552.899999991</v>
      </c>
      <c r="CJ57" s="14">
        <f t="shared" ref="CJ57:DC57" si="50">CI57-CJ22</f>
        <v>25434552.899999991</v>
      </c>
      <c r="CK57" s="14">
        <f t="shared" si="50"/>
        <v>25434552.899999991</v>
      </c>
      <c r="CL57" s="14">
        <f t="shared" si="50"/>
        <v>25434552.899999991</v>
      </c>
      <c r="CM57" s="14">
        <f t="shared" si="50"/>
        <v>25434552.899999991</v>
      </c>
      <c r="CN57" s="14">
        <f t="shared" si="50"/>
        <v>25434552.899999991</v>
      </c>
      <c r="CO57" s="14">
        <f t="shared" si="50"/>
        <v>15434552.899999991</v>
      </c>
      <c r="CP57" s="14">
        <f t="shared" si="50"/>
        <v>15434552.899999991</v>
      </c>
      <c r="CQ57" s="14">
        <f t="shared" si="50"/>
        <v>15434552.899999991</v>
      </c>
      <c r="CR57" s="14">
        <f t="shared" si="50"/>
        <v>15434552.899999991</v>
      </c>
      <c r="CS57" s="14">
        <f t="shared" si="50"/>
        <v>10434552.899999991</v>
      </c>
      <c r="CT57" s="14">
        <f t="shared" si="50"/>
        <v>10434552.899999991</v>
      </c>
      <c r="CU57" s="14">
        <f t="shared" si="50"/>
        <v>10434552.899999991</v>
      </c>
      <c r="CV57" s="14">
        <f t="shared" si="50"/>
        <v>10434552.899999991</v>
      </c>
      <c r="CW57" s="14">
        <f t="shared" si="50"/>
        <v>10434552.899999991</v>
      </c>
      <c r="CX57" s="14">
        <f t="shared" si="50"/>
        <v>10434552.899999991</v>
      </c>
      <c r="CY57" s="14">
        <f t="shared" si="50"/>
        <v>10434552.899999991</v>
      </c>
      <c r="CZ57" s="14">
        <f t="shared" si="50"/>
        <v>10434552.899999991</v>
      </c>
      <c r="DA57" s="14">
        <f t="shared" si="50"/>
        <v>10434552.899999991</v>
      </c>
      <c r="DB57" s="14">
        <f t="shared" si="50"/>
        <v>10434552.899999991</v>
      </c>
      <c r="DC57" s="14">
        <f t="shared" si="50"/>
        <v>10434552.899999991</v>
      </c>
      <c r="DD57" s="39">
        <f>DC57-DD22+28119.44</f>
        <v>10462672.339999991</v>
      </c>
      <c r="DE57" s="93">
        <f t="shared" ref="DE57:DY57" si="51">DD57-DE22</f>
        <v>10462672.339999991</v>
      </c>
      <c r="DF57" s="14">
        <f t="shared" si="51"/>
        <v>10462672.339999991</v>
      </c>
      <c r="DG57" s="14">
        <f t="shared" si="51"/>
        <v>10462672.339999991</v>
      </c>
      <c r="DH57" s="14">
        <f t="shared" si="51"/>
        <v>10462672.339999991</v>
      </c>
      <c r="DI57" s="14">
        <f t="shared" si="51"/>
        <v>10462672.339999991</v>
      </c>
      <c r="DJ57" s="14">
        <f t="shared" si="51"/>
        <v>10462672.339999991</v>
      </c>
      <c r="DK57" s="14">
        <f t="shared" si="51"/>
        <v>10462672.339999991</v>
      </c>
      <c r="DL57" s="14">
        <f t="shared" si="51"/>
        <v>10462672.339999991</v>
      </c>
      <c r="DM57" s="14">
        <f t="shared" si="51"/>
        <v>462672.33999999054</v>
      </c>
      <c r="DN57" s="14">
        <f t="shared" si="51"/>
        <v>462672.33999999054</v>
      </c>
      <c r="DO57" s="14">
        <f t="shared" si="51"/>
        <v>462672.33999999054</v>
      </c>
      <c r="DP57" s="14">
        <f t="shared" si="51"/>
        <v>462672.33999999054</v>
      </c>
      <c r="DQ57" s="14">
        <f t="shared" si="51"/>
        <v>462672.33999999054</v>
      </c>
      <c r="DR57" s="93">
        <f t="shared" si="51"/>
        <v>462672.33999999054</v>
      </c>
      <c r="DS57" s="14">
        <f t="shared" si="51"/>
        <v>462672.33999999054</v>
      </c>
      <c r="DT57" s="14">
        <f t="shared" si="51"/>
        <v>462672.33999999054</v>
      </c>
      <c r="DU57" s="14">
        <f t="shared" si="51"/>
        <v>462672.33999999054</v>
      </c>
      <c r="DV57" s="14">
        <f t="shared" si="51"/>
        <v>462672.33999999054</v>
      </c>
      <c r="DW57" s="14">
        <f t="shared" si="51"/>
        <v>462672.33999999054</v>
      </c>
      <c r="DX57" s="14">
        <f t="shared" si="51"/>
        <v>462672.33999999054</v>
      </c>
      <c r="DY57" s="14">
        <f t="shared" si="51"/>
        <v>462672.33999999054</v>
      </c>
      <c r="DZ57" s="39">
        <f>DY57-DZ22+8851.48</f>
        <v>471523.81999999052</v>
      </c>
      <c r="EA57" s="14">
        <f t="shared" ref="EA57:ET57" si="52">DZ57-EA22</f>
        <v>471523.81999999052</v>
      </c>
      <c r="EB57" s="14">
        <f t="shared" si="52"/>
        <v>471523.81999999052</v>
      </c>
      <c r="EC57" s="14">
        <f t="shared" si="52"/>
        <v>471523.81999999052</v>
      </c>
      <c r="ED57" s="14">
        <f t="shared" si="52"/>
        <v>471523.81999999052</v>
      </c>
      <c r="EE57" s="14">
        <f t="shared" si="52"/>
        <v>471523.81999999052</v>
      </c>
      <c r="EF57" s="14">
        <f t="shared" si="52"/>
        <v>471523.81999999052</v>
      </c>
      <c r="EG57" s="27">
        <f t="shared" si="52"/>
        <v>471523.81999999052</v>
      </c>
      <c r="EH57" s="14">
        <f t="shared" si="52"/>
        <v>471523.81999999052</v>
      </c>
      <c r="EI57" s="14">
        <f t="shared" si="52"/>
        <v>471523.81999999052</v>
      </c>
      <c r="EJ57" s="14">
        <f t="shared" si="52"/>
        <v>471523.81999999052</v>
      </c>
      <c r="EK57" s="80">
        <f t="shared" si="52"/>
        <v>471523.81999999052</v>
      </c>
      <c r="EL57" s="14">
        <f t="shared" si="52"/>
        <v>471523.81999999052</v>
      </c>
      <c r="EM57" s="14">
        <f t="shared" si="52"/>
        <v>471523.81999999052</v>
      </c>
      <c r="EN57" s="14">
        <f t="shared" si="52"/>
        <v>471523.81999999052</v>
      </c>
      <c r="EO57" s="14">
        <f t="shared" si="52"/>
        <v>471523.81999999052</v>
      </c>
      <c r="EP57" s="14">
        <f t="shared" si="52"/>
        <v>471523.81999999052</v>
      </c>
      <c r="EQ57" s="14">
        <f t="shared" si="52"/>
        <v>471523.81999999052</v>
      </c>
      <c r="ER57" s="14">
        <f t="shared" si="52"/>
        <v>471523.81999999052</v>
      </c>
      <c r="ES57" s="14">
        <f t="shared" si="52"/>
        <v>471523.81999999052</v>
      </c>
      <c r="ET57" s="14">
        <f t="shared" si="52"/>
        <v>471523.81999999052</v>
      </c>
      <c r="EU57" s="39">
        <f>ET57-EU22+916.19</f>
        <v>472440.00999999052</v>
      </c>
      <c r="EV57" s="14">
        <f t="shared" ref="EV57:FO57" si="53">EU57-EV22</f>
        <v>472440.00999999052</v>
      </c>
      <c r="EW57" s="14">
        <f t="shared" si="53"/>
        <v>472440.00999999052</v>
      </c>
      <c r="EX57" s="14">
        <f t="shared" si="53"/>
        <v>472440.00999999052</v>
      </c>
      <c r="EY57" s="14">
        <f t="shared" si="53"/>
        <v>472440.00999999052</v>
      </c>
      <c r="EZ57" s="14">
        <f t="shared" si="53"/>
        <v>472440.00999999052</v>
      </c>
      <c r="FA57" s="14">
        <f t="shared" si="53"/>
        <v>472440.00999999052</v>
      </c>
      <c r="FB57" s="14">
        <f t="shared" si="53"/>
        <v>472440.00999999052</v>
      </c>
      <c r="FC57" s="14">
        <f t="shared" si="53"/>
        <v>472440.00999999052</v>
      </c>
      <c r="FD57" s="14">
        <f t="shared" si="53"/>
        <v>472440.00999999052</v>
      </c>
      <c r="FE57" s="230">
        <f t="shared" si="53"/>
        <v>472440.00999999052</v>
      </c>
      <c r="FF57" s="14">
        <f t="shared" si="53"/>
        <v>9.9999905214644969E-3</v>
      </c>
      <c r="FG57" s="14">
        <f t="shared" si="53"/>
        <v>9.9999905214644969E-3</v>
      </c>
      <c r="FH57" s="14">
        <f t="shared" si="53"/>
        <v>9.9999905214644969E-3</v>
      </c>
      <c r="FI57" s="230">
        <f t="shared" si="53"/>
        <v>9.9999905214644969E-3</v>
      </c>
      <c r="FJ57" s="14">
        <f t="shared" si="53"/>
        <v>9.9999905214644969E-3</v>
      </c>
      <c r="FK57" s="14">
        <f t="shared" si="53"/>
        <v>9.9999905214644969E-3</v>
      </c>
      <c r="FL57" s="80">
        <f t="shared" si="53"/>
        <v>9.9999905214644969E-3</v>
      </c>
      <c r="FM57" s="14">
        <f t="shared" si="53"/>
        <v>9.9999905214644969E-3</v>
      </c>
      <c r="FN57" s="14">
        <f t="shared" si="53"/>
        <v>9.9999905214644969E-3</v>
      </c>
      <c r="FO57" s="14">
        <f t="shared" si="53"/>
        <v>9.9999905214644969E-3</v>
      </c>
      <c r="FP57" s="39">
        <f>FO57-FP22+461.78</f>
        <v>461.78999999052144</v>
      </c>
      <c r="FQ57" s="14">
        <f t="shared" ref="FQ57:GK57" si="54">FP57-FQ22</f>
        <v>461.78999999052144</v>
      </c>
      <c r="FR57" s="14">
        <f t="shared" si="54"/>
        <v>461.78999999052144</v>
      </c>
      <c r="FS57" s="14">
        <f t="shared" si="54"/>
        <v>461.78999999052144</v>
      </c>
      <c r="FT57" s="14">
        <f t="shared" si="54"/>
        <v>461.78999999052144</v>
      </c>
      <c r="FU57" s="14">
        <f t="shared" si="54"/>
        <v>461.78999999052144</v>
      </c>
      <c r="FV57" s="14">
        <f t="shared" si="54"/>
        <v>461.78999999052144</v>
      </c>
      <c r="FW57" s="14">
        <f t="shared" si="54"/>
        <v>461.78999999052144</v>
      </c>
      <c r="FX57" s="14">
        <f t="shared" si="54"/>
        <v>461.78999999052144</v>
      </c>
      <c r="FY57" s="14">
        <f t="shared" si="54"/>
        <v>461.78999999052144</v>
      </c>
      <c r="FZ57" s="230">
        <f t="shared" si="54"/>
        <v>461.78999999052144</v>
      </c>
      <c r="GA57" s="14">
        <f t="shared" si="54"/>
        <v>461.78999999052144</v>
      </c>
      <c r="GB57" s="14">
        <f t="shared" si="54"/>
        <v>461.78999999052144</v>
      </c>
      <c r="GC57" s="14">
        <f t="shared" si="54"/>
        <v>461.78999999052144</v>
      </c>
      <c r="GD57" s="14">
        <f t="shared" si="54"/>
        <v>461.78999999052144</v>
      </c>
      <c r="GE57" s="14">
        <f t="shared" si="54"/>
        <v>461.78999999052144</v>
      </c>
      <c r="GF57" s="14">
        <f t="shared" si="54"/>
        <v>461.78999999052144</v>
      </c>
      <c r="GG57" s="14">
        <f t="shared" si="54"/>
        <v>461.78999999052144</v>
      </c>
      <c r="GH57" s="14">
        <f t="shared" si="54"/>
        <v>461.78999999052144</v>
      </c>
      <c r="GI57" s="14">
        <f t="shared" si="54"/>
        <v>461.78999999052144</v>
      </c>
      <c r="GJ57" s="14">
        <f t="shared" si="54"/>
        <v>461.78999999052144</v>
      </c>
      <c r="GK57" s="14">
        <f t="shared" si="54"/>
        <v>461.78999999052144</v>
      </c>
      <c r="GL57" s="39">
        <f>GK57-GL22+0.77</f>
        <v>462.55999999052142</v>
      </c>
      <c r="GM57" s="14">
        <f t="shared" ref="GM57:HC57" si="55">GL57-GM22</f>
        <v>462.55999999052142</v>
      </c>
      <c r="GN57" s="14">
        <f t="shared" si="55"/>
        <v>462.55999999052142</v>
      </c>
      <c r="GO57" s="14">
        <f t="shared" si="55"/>
        <v>462.55999999052142</v>
      </c>
      <c r="GP57" s="14">
        <f t="shared" si="55"/>
        <v>462.55999999052142</v>
      </c>
      <c r="GQ57" s="14">
        <f t="shared" si="55"/>
        <v>462.55999999052142</v>
      </c>
      <c r="GR57" s="14">
        <f t="shared" si="55"/>
        <v>462.55999999052142</v>
      </c>
      <c r="GS57" s="14">
        <f t="shared" si="55"/>
        <v>462.55999999052142</v>
      </c>
      <c r="GT57" s="14">
        <f t="shared" si="55"/>
        <v>462.55999999052142</v>
      </c>
      <c r="GU57" s="243">
        <f t="shared" si="55"/>
        <v>462.55999999052142</v>
      </c>
      <c r="GV57" s="14">
        <f t="shared" si="55"/>
        <v>462.55999999052142</v>
      </c>
      <c r="GW57" s="14">
        <f t="shared" si="55"/>
        <v>462.55999999052142</v>
      </c>
      <c r="GX57" s="14">
        <f t="shared" si="55"/>
        <v>462.55999999052142</v>
      </c>
      <c r="GY57" s="14">
        <f t="shared" si="55"/>
        <v>462.55999999052142</v>
      </c>
      <c r="GZ57" s="14">
        <f t="shared" si="55"/>
        <v>462.55999999052142</v>
      </c>
      <c r="HA57" s="14">
        <f t="shared" si="55"/>
        <v>462.55999999052142</v>
      </c>
      <c r="HB57" s="14">
        <f t="shared" si="55"/>
        <v>462.55999999052142</v>
      </c>
      <c r="HC57" s="14">
        <f t="shared" si="55"/>
        <v>462.55999999052142</v>
      </c>
      <c r="HD57" s="39">
        <f>HC57-HD22+0.65</f>
        <v>463.2099999905214</v>
      </c>
      <c r="HE57" s="14">
        <f t="shared" ref="HE57:HY57" si="56">HD57-HE22</f>
        <v>463.2099999905214</v>
      </c>
      <c r="HF57" s="14">
        <f t="shared" si="56"/>
        <v>463.2099999905214</v>
      </c>
      <c r="HG57" s="14">
        <f t="shared" si="56"/>
        <v>463.2099999905214</v>
      </c>
      <c r="HH57" s="14">
        <f t="shared" si="56"/>
        <v>463.2099999905214</v>
      </c>
      <c r="HI57" s="14">
        <f t="shared" si="56"/>
        <v>463.2099999905214</v>
      </c>
      <c r="HJ57" s="14">
        <f t="shared" si="56"/>
        <v>463.2099999905214</v>
      </c>
      <c r="HK57" s="14">
        <f t="shared" si="56"/>
        <v>463.2099999905214</v>
      </c>
      <c r="HL57" s="14">
        <f t="shared" si="56"/>
        <v>463.2099999905214</v>
      </c>
      <c r="HM57" s="14">
        <f t="shared" si="56"/>
        <v>463.2099999905214</v>
      </c>
      <c r="HN57" s="136">
        <f t="shared" si="56"/>
        <v>463.2099999905214</v>
      </c>
      <c r="HO57" s="80">
        <f t="shared" si="56"/>
        <v>463.2099999905214</v>
      </c>
      <c r="HP57" s="14">
        <f t="shared" si="56"/>
        <v>463.2099999905214</v>
      </c>
      <c r="HQ57" s="14">
        <f t="shared" si="56"/>
        <v>463.2099999905214</v>
      </c>
      <c r="HR57" s="14">
        <f t="shared" si="56"/>
        <v>463.2099999905214</v>
      </c>
      <c r="HS57" s="14">
        <f t="shared" si="56"/>
        <v>463.2099999905214</v>
      </c>
      <c r="HT57" s="14">
        <f t="shared" si="56"/>
        <v>463.2099999905214</v>
      </c>
      <c r="HU57" s="14">
        <f t="shared" si="56"/>
        <v>463.2099999905214</v>
      </c>
      <c r="HV57" s="14">
        <f t="shared" si="56"/>
        <v>463.2099999905214</v>
      </c>
      <c r="HW57" s="14">
        <f t="shared" si="56"/>
        <v>463.2099999905214</v>
      </c>
      <c r="HX57" s="14">
        <f t="shared" si="56"/>
        <v>463.2099999905214</v>
      </c>
      <c r="HY57" s="14">
        <f t="shared" si="56"/>
        <v>463.2099999905214</v>
      </c>
      <c r="HZ57" s="39">
        <f>HY57-HZ22+0.61</f>
        <v>463.81999999052141</v>
      </c>
      <c r="IA57" s="14">
        <f t="shared" ref="IA57:IF59" si="57">HZ57-IA22</f>
        <v>463.81999999052141</v>
      </c>
      <c r="IB57" s="14">
        <f t="shared" si="57"/>
        <v>463.81999999052141</v>
      </c>
      <c r="IC57" s="14">
        <f t="shared" si="57"/>
        <v>463.81999999052141</v>
      </c>
      <c r="ID57" s="14">
        <f t="shared" si="57"/>
        <v>463.81999999052141</v>
      </c>
      <c r="IE57" s="14">
        <f t="shared" si="57"/>
        <v>463.81999999052141</v>
      </c>
      <c r="IF57" s="14">
        <f t="shared" si="57"/>
        <v>463.81999999052141</v>
      </c>
      <c r="IG57" s="14">
        <f>IF57-IG22+20000000</f>
        <v>20000463.819999989</v>
      </c>
      <c r="IH57" s="112">
        <f t="shared" ref="IH57:IK59" si="58">IG57-IH22</f>
        <v>20000463.819999989</v>
      </c>
      <c r="II57" s="14">
        <f t="shared" si="58"/>
        <v>20000463.819999989</v>
      </c>
      <c r="IJ57" s="14">
        <f t="shared" si="58"/>
        <v>20000463.819999989</v>
      </c>
      <c r="IK57" s="14">
        <f t="shared" si="58"/>
        <v>20000463.819999989</v>
      </c>
      <c r="IL57" s="14">
        <f>IK57-IL22+10000000</f>
        <v>30000463.819999989</v>
      </c>
      <c r="IM57" s="14">
        <f t="shared" ref="IM57:IT59" si="59">IL57-IM22</f>
        <v>30000463.819999989</v>
      </c>
      <c r="IN57" s="14">
        <f t="shared" si="59"/>
        <v>30000463.819999989</v>
      </c>
      <c r="IO57" s="14">
        <f t="shared" si="59"/>
        <v>30000463.819999989</v>
      </c>
      <c r="IP57" s="14">
        <f t="shared" si="59"/>
        <v>30000463.819999989</v>
      </c>
      <c r="IQ57" s="14">
        <f t="shared" si="59"/>
        <v>30000463.819999989</v>
      </c>
      <c r="IR57" s="14">
        <f t="shared" si="59"/>
        <v>30000463.819999989</v>
      </c>
      <c r="IS57" s="14">
        <f t="shared" si="59"/>
        <v>30000463.819999989</v>
      </c>
      <c r="IT57" s="39">
        <f t="shared" si="59"/>
        <v>30000463.819999989</v>
      </c>
      <c r="IU57" s="14"/>
    </row>
    <row r="58" spans="1:256" s="8" customFormat="1" ht="14.1" customHeight="1">
      <c r="A58" s="14" t="s">
        <v>18</v>
      </c>
      <c r="B58" s="14"/>
      <c r="C58" s="39">
        <v>5177236.1900000004</v>
      </c>
      <c r="D58" s="14">
        <f t="shared" si="45"/>
        <v>5177236.1900000004</v>
      </c>
      <c r="E58" s="14">
        <f t="shared" si="45"/>
        <v>5177236.1900000004</v>
      </c>
      <c r="F58" s="14">
        <f t="shared" si="45"/>
        <v>5177236.1900000004</v>
      </c>
      <c r="G58" s="14">
        <f t="shared" si="45"/>
        <v>5177236.1900000004</v>
      </c>
      <c r="H58" s="14">
        <f>G58-H23+75000000</f>
        <v>80177236.189999998</v>
      </c>
      <c r="I58" s="14">
        <f t="shared" ref="I58:V58" si="60">H58-I23</f>
        <v>80177236.189999998</v>
      </c>
      <c r="J58" s="14">
        <f t="shared" si="60"/>
        <v>80177236.189999998</v>
      </c>
      <c r="K58" s="14">
        <f t="shared" si="60"/>
        <v>80177236.189999998</v>
      </c>
      <c r="L58" s="14">
        <f t="shared" si="60"/>
        <v>80177236.189999998</v>
      </c>
      <c r="M58" s="14">
        <f t="shared" si="60"/>
        <v>80177236.189999998</v>
      </c>
      <c r="N58" s="230">
        <f t="shared" si="60"/>
        <v>80177236.189999998</v>
      </c>
      <c r="O58" s="14">
        <f t="shared" si="60"/>
        <v>80177236.189999998</v>
      </c>
      <c r="P58" s="14">
        <f t="shared" si="60"/>
        <v>80177236.189999998</v>
      </c>
      <c r="Q58" s="14">
        <f t="shared" si="60"/>
        <v>80177236.189999998</v>
      </c>
      <c r="R58" s="14">
        <f t="shared" si="60"/>
        <v>80177236.189999998</v>
      </c>
      <c r="S58" s="14">
        <f t="shared" si="60"/>
        <v>80177236.189999998</v>
      </c>
      <c r="T58" s="14">
        <f t="shared" si="60"/>
        <v>80177236.189999998</v>
      </c>
      <c r="U58" s="14">
        <f t="shared" si="60"/>
        <v>80177236.189999998</v>
      </c>
      <c r="V58" s="14">
        <f t="shared" si="60"/>
        <v>80177236.189999998</v>
      </c>
      <c r="W58" s="39">
        <f>V58-W23+181345.92</f>
        <v>80358582.109999999</v>
      </c>
      <c r="X58" s="14">
        <f t="shared" ref="X58:AQ58" si="61">W58-X23</f>
        <v>80358582.109999999</v>
      </c>
      <c r="Y58" s="14">
        <f t="shared" si="61"/>
        <v>80358582.109999999</v>
      </c>
      <c r="Z58" s="14">
        <f t="shared" si="61"/>
        <v>80358582.109999999</v>
      </c>
      <c r="AA58" s="14">
        <f t="shared" si="61"/>
        <v>80358582.109999999</v>
      </c>
      <c r="AB58" s="14">
        <f t="shared" si="61"/>
        <v>80358582.109999999</v>
      </c>
      <c r="AC58" s="14">
        <f t="shared" si="61"/>
        <v>80358582.109999999</v>
      </c>
      <c r="AD58" s="14">
        <f t="shared" si="61"/>
        <v>80358582.109999999</v>
      </c>
      <c r="AE58" s="14">
        <f t="shared" si="61"/>
        <v>80358582.109999999</v>
      </c>
      <c r="AF58" s="230">
        <f t="shared" si="61"/>
        <v>80358582.109999999</v>
      </c>
      <c r="AG58" s="14">
        <f t="shared" si="61"/>
        <v>80358582.109999999</v>
      </c>
      <c r="AH58" s="14">
        <f t="shared" si="61"/>
        <v>80358582.109999999</v>
      </c>
      <c r="AI58" s="14">
        <f t="shared" si="61"/>
        <v>80358582.109999999</v>
      </c>
      <c r="AJ58" s="14">
        <f t="shared" si="61"/>
        <v>80358582.109999999</v>
      </c>
      <c r="AK58" s="14">
        <f t="shared" si="61"/>
        <v>80358582.109999999</v>
      </c>
      <c r="AL58" s="14">
        <f t="shared" si="61"/>
        <v>80358582.109999999</v>
      </c>
      <c r="AM58" s="14">
        <f t="shared" si="61"/>
        <v>80358582.109999999</v>
      </c>
      <c r="AN58" s="14">
        <f t="shared" si="61"/>
        <v>80358582.109999999</v>
      </c>
      <c r="AO58" s="14">
        <f t="shared" si="61"/>
        <v>80358582.109999999</v>
      </c>
      <c r="AP58" s="14">
        <f t="shared" si="61"/>
        <v>80358582.109999999</v>
      </c>
      <c r="AQ58" s="14">
        <f t="shared" si="61"/>
        <v>80358582.109999999</v>
      </c>
      <c r="AR58" s="39">
        <f>AQ58-AR23+212485.43</f>
        <v>80571067.540000007</v>
      </c>
      <c r="AS58" s="14">
        <f t="shared" ref="AS58:BM58" si="62">AR58-AS23</f>
        <v>80571067.540000007</v>
      </c>
      <c r="AT58" s="14">
        <f t="shared" si="62"/>
        <v>80571067.540000007</v>
      </c>
      <c r="AU58" s="14">
        <f t="shared" si="62"/>
        <v>80571067.540000007</v>
      </c>
      <c r="AV58" s="230">
        <f t="shared" si="62"/>
        <v>80571067.540000007</v>
      </c>
      <c r="AW58" s="14">
        <f t="shared" si="62"/>
        <v>80571067.540000007</v>
      </c>
      <c r="AX58" s="14">
        <f t="shared" si="62"/>
        <v>80571067.540000007</v>
      </c>
      <c r="AY58" s="14">
        <f t="shared" si="62"/>
        <v>80571067.540000007</v>
      </c>
      <c r="AZ58" s="14">
        <f t="shared" si="62"/>
        <v>80571067.540000007</v>
      </c>
      <c r="BA58" s="14">
        <f t="shared" si="62"/>
        <v>80571067.540000007</v>
      </c>
      <c r="BB58" s="14">
        <f t="shared" si="62"/>
        <v>80571067.540000007</v>
      </c>
      <c r="BC58" s="14">
        <f t="shared" si="62"/>
        <v>80571067.540000007</v>
      </c>
      <c r="BD58" s="14">
        <f t="shared" si="62"/>
        <v>80571067.540000007</v>
      </c>
      <c r="BE58" s="14">
        <f t="shared" si="62"/>
        <v>80571067.540000007</v>
      </c>
      <c r="BF58" s="14">
        <f t="shared" si="62"/>
        <v>80571067.540000007</v>
      </c>
      <c r="BG58" s="14">
        <f t="shared" si="62"/>
        <v>80571067.540000007</v>
      </c>
      <c r="BH58" s="14">
        <f t="shared" si="62"/>
        <v>80571067.540000007</v>
      </c>
      <c r="BI58" s="14">
        <f t="shared" si="62"/>
        <v>80571067.540000007</v>
      </c>
      <c r="BJ58" s="14">
        <f t="shared" si="62"/>
        <v>80571067.540000007</v>
      </c>
      <c r="BK58" s="14">
        <f t="shared" si="62"/>
        <v>80571067.540000007</v>
      </c>
      <c r="BL58" s="14">
        <f t="shared" si="62"/>
        <v>80571067.540000007</v>
      </c>
      <c r="BM58" s="14">
        <f t="shared" si="62"/>
        <v>80571067.540000007</v>
      </c>
      <c r="BN58" s="39">
        <f>BM58-BN23+181374.13</f>
        <v>80752441.670000002</v>
      </c>
      <c r="BO58" s="14">
        <f t="shared" ref="BO58:CH58" si="63">BN58-BO23</f>
        <v>80752441.670000002</v>
      </c>
      <c r="BP58" s="14">
        <f t="shared" si="63"/>
        <v>80752441.670000002</v>
      </c>
      <c r="BQ58" s="14">
        <f t="shared" si="63"/>
        <v>80752441.670000002</v>
      </c>
      <c r="BR58" s="14">
        <f t="shared" si="63"/>
        <v>80752441.670000002</v>
      </c>
      <c r="BS58" s="14">
        <f t="shared" si="63"/>
        <v>80752441.670000002</v>
      </c>
      <c r="BT58" s="14">
        <f t="shared" si="63"/>
        <v>80752441.670000002</v>
      </c>
      <c r="BU58" s="14">
        <f t="shared" si="63"/>
        <v>80752441.670000002</v>
      </c>
      <c r="BV58" s="14">
        <f t="shared" si="63"/>
        <v>80752441.670000002</v>
      </c>
      <c r="BW58" s="14">
        <f t="shared" si="63"/>
        <v>70752441.670000002</v>
      </c>
      <c r="BX58" s="14">
        <f t="shared" si="63"/>
        <v>70752441.670000002</v>
      </c>
      <c r="BY58" s="14">
        <f t="shared" si="63"/>
        <v>70752441.670000002</v>
      </c>
      <c r="BZ58" s="14">
        <f t="shared" si="63"/>
        <v>70752441.670000002</v>
      </c>
      <c r="CA58" s="14">
        <f t="shared" si="63"/>
        <v>70752441.670000002</v>
      </c>
      <c r="CB58" s="14">
        <f t="shared" si="63"/>
        <v>70752441.670000002</v>
      </c>
      <c r="CC58" s="14">
        <f t="shared" si="63"/>
        <v>70752441.670000002</v>
      </c>
      <c r="CD58" s="14">
        <f t="shared" si="63"/>
        <v>70752441.670000002</v>
      </c>
      <c r="CE58" s="14">
        <f t="shared" si="63"/>
        <v>70752441.670000002</v>
      </c>
      <c r="CF58" s="14">
        <f t="shared" si="63"/>
        <v>70752441.670000002</v>
      </c>
      <c r="CG58" s="14">
        <f t="shared" si="63"/>
        <v>70752441.670000002</v>
      </c>
      <c r="CH58" s="14">
        <f t="shared" si="63"/>
        <v>70752441.670000002</v>
      </c>
      <c r="CI58" s="39">
        <f>CH58-CI23+160440.27</f>
        <v>70912881.939999998</v>
      </c>
      <c r="CJ58" s="14">
        <f t="shared" ref="CJ58:DC58" si="64">CI58-CJ23</f>
        <v>70912881.939999998</v>
      </c>
      <c r="CK58" s="14">
        <f t="shared" si="64"/>
        <v>70912881.939999998</v>
      </c>
      <c r="CL58" s="14">
        <f t="shared" si="64"/>
        <v>70912881.939999998</v>
      </c>
      <c r="CM58" s="14">
        <f t="shared" si="64"/>
        <v>70912881.939999998</v>
      </c>
      <c r="CN58" s="14">
        <f t="shared" si="64"/>
        <v>70912881.939999998</v>
      </c>
      <c r="CO58" s="14">
        <f t="shared" si="64"/>
        <v>60912881.939999998</v>
      </c>
      <c r="CP58" s="14">
        <f t="shared" si="64"/>
        <v>60912881.939999998</v>
      </c>
      <c r="CQ58" s="14">
        <f t="shared" si="64"/>
        <v>60912881.939999998</v>
      </c>
      <c r="CR58" s="14">
        <f t="shared" si="64"/>
        <v>60912881.939999998</v>
      </c>
      <c r="CS58" s="14">
        <f t="shared" si="64"/>
        <v>20912881.939999998</v>
      </c>
      <c r="CT58" s="14">
        <f t="shared" si="64"/>
        <v>20912881.939999998</v>
      </c>
      <c r="CU58" s="14">
        <f t="shared" si="64"/>
        <v>20912881.939999998</v>
      </c>
      <c r="CV58" s="14">
        <f t="shared" si="64"/>
        <v>20912881.939999998</v>
      </c>
      <c r="CW58" s="14">
        <f t="shared" si="64"/>
        <v>20912881.939999998</v>
      </c>
      <c r="CX58" s="14">
        <f t="shared" si="64"/>
        <v>20912881.939999998</v>
      </c>
      <c r="CY58" s="14">
        <f t="shared" si="64"/>
        <v>20912881.939999998</v>
      </c>
      <c r="CZ58" s="14">
        <f t="shared" si="64"/>
        <v>20912881.939999998</v>
      </c>
      <c r="DA58" s="14">
        <f t="shared" si="64"/>
        <v>20912881.939999998</v>
      </c>
      <c r="DB58" s="14">
        <f t="shared" si="64"/>
        <v>20912881.939999998</v>
      </c>
      <c r="DC58" s="14">
        <f t="shared" si="64"/>
        <v>20912881.939999998</v>
      </c>
      <c r="DD58" s="39">
        <f>DC58-DD23+80110.68</f>
        <v>20992992.619999997</v>
      </c>
      <c r="DE58" s="93">
        <f t="shared" ref="DE58:DY58" si="65">DD58-DE23</f>
        <v>20992992.619999997</v>
      </c>
      <c r="DF58" s="14">
        <f t="shared" si="65"/>
        <v>20992992.619999997</v>
      </c>
      <c r="DG58" s="14">
        <f t="shared" si="65"/>
        <v>20992992.619999997</v>
      </c>
      <c r="DH58" s="14">
        <f t="shared" si="65"/>
        <v>20992992.619999997</v>
      </c>
      <c r="DI58" s="14">
        <f t="shared" si="65"/>
        <v>20992992.619999997</v>
      </c>
      <c r="DJ58" s="14">
        <f t="shared" si="65"/>
        <v>20992992.619999997</v>
      </c>
      <c r="DK58" s="14">
        <f t="shared" si="65"/>
        <v>20992992.619999997</v>
      </c>
      <c r="DL58" s="14">
        <f t="shared" si="65"/>
        <v>20992992.619999997</v>
      </c>
      <c r="DM58" s="14">
        <f t="shared" si="65"/>
        <v>10992992.619999997</v>
      </c>
      <c r="DN58" s="14">
        <f t="shared" si="65"/>
        <v>10992992.619999997</v>
      </c>
      <c r="DO58" s="14">
        <f t="shared" si="65"/>
        <v>992992.61999999732</v>
      </c>
      <c r="DP58" s="14">
        <f t="shared" si="65"/>
        <v>992992.61999999732</v>
      </c>
      <c r="DQ58" s="14">
        <f t="shared" si="65"/>
        <v>992992.61999999732</v>
      </c>
      <c r="DR58" s="93">
        <f t="shared" si="65"/>
        <v>992992.61999999732</v>
      </c>
      <c r="DS58" s="14">
        <f t="shared" si="65"/>
        <v>992992.61999999732</v>
      </c>
      <c r="DT58" s="14">
        <f t="shared" si="65"/>
        <v>992992.61999999732</v>
      </c>
      <c r="DU58" s="14">
        <f t="shared" si="65"/>
        <v>992992.61999999732</v>
      </c>
      <c r="DV58" s="14">
        <f t="shared" si="65"/>
        <v>992992.61999999732</v>
      </c>
      <c r="DW58" s="14">
        <f t="shared" si="65"/>
        <v>992992.61999999732</v>
      </c>
      <c r="DX58" s="14">
        <f t="shared" si="65"/>
        <v>992992.61999999732</v>
      </c>
      <c r="DY58" s="14">
        <f t="shared" si="65"/>
        <v>992992.61999999732</v>
      </c>
      <c r="DZ58" s="39">
        <f>DY58-DZ23+21081.47</f>
        <v>1014074.0899999973</v>
      </c>
      <c r="EA58" s="14">
        <f t="shared" ref="EA58:ET58" si="66">DZ58-EA23</f>
        <v>1014074.0899999973</v>
      </c>
      <c r="EB58" s="14">
        <f t="shared" si="66"/>
        <v>1014074.0899999973</v>
      </c>
      <c r="EC58" s="14">
        <f t="shared" si="66"/>
        <v>1014074.0899999973</v>
      </c>
      <c r="ED58" s="14">
        <f t="shared" si="66"/>
        <v>1014074.0899999973</v>
      </c>
      <c r="EE58" s="14">
        <f t="shared" si="66"/>
        <v>1014074.0899999973</v>
      </c>
      <c r="EF58" s="14">
        <f t="shared" si="66"/>
        <v>1014074.0899999973</v>
      </c>
      <c r="EG58" s="27">
        <f t="shared" si="66"/>
        <v>1014074.0899999973</v>
      </c>
      <c r="EH58" s="14">
        <f t="shared" si="66"/>
        <v>1014074.0899999973</v>
      </c>
      <c r="EI58" s="14">
        <f t="shared" si="66"/>
        <v>1014074.0899999973</v>
      </c>
      <c r="EJ58" s="14">
        <f t="shared" si="66"/>
        <v>1014074.0899999973</v>
      </c>
      <c r="EK58" s="80">
        <f t="shared" si="66"/>
        <v>1014074.0899999973</v>
      </c>
      <c r="EL58" s="14">
        <f t="shared" si="66"/>
        <v>1014074.0899999973</v>
      </c>
      <c r="EM58" s="14">
        <f t="shared" si="66"/>
        <v>1014074.0899999973</v>
      </c>
      <c r="EN58" s="14">
        <f t="shared" si="66"/>
        <v>1014074.0899999973</v>
      </c>
      <c r="EO58" s="14">
        <f t="shared" si="66"/>
        <v>1014074.0899999973</v>
      </c>
      <c r="EP58" s="14">
        <f t="shared" si="66"/>
        <v>1014074.0899999973</v>
      </c>
      <c r="EQ58" s="14">
        <f t="shared" si="66"/>
        <v>1014074.0899999973</v>
      </c>
      <c r="ER58" s="14">
        <f t="shared" si="66"/>
        <v>1014074.0899999973</v>
      </c>
      <c r="ES58" s="14">
        <f t="shared" si="66"/>
        <v>1014074.0899999973</v>
      </c>
      <c r="ET58" s="14">
        <f t="shared" si="66"/>
        <v>1014074.0899999973</v>
      </c>
      <c r="EU58" s="39">
        <f>ET58-EU23+2128.3</f>
        <v>1016202.3899999973</v>
      </c>
      <c r="EV58" s="14">
        <f t="shared" ref="EV58:FO58" si="67">EU58-EV23</f>
        <v>1016202.3899999973</v>
      </c>
      <c r="EW58" s="14">
        <f t="shared" si="67"/>
        <v>1016202.3899999973</v>
      </c>
      <c r="EX58" s="14">
        <f t="shared" si="67"/>
        <v>1016202.3899999973</v>
      </c>
      <c r="EY58" s="14">
        <f t="shared" si="67"/>
        <v>1016202.3899999973</v>
      </c>
      <c r="EZ58" s="14">
        <f t="shared" si="67"/>
        <v>1016202.3899999973</v>
      </c>
      <c r="FA58" s="14">
        <f t="shared" si="67"/>
        <v>1016202.3899999973</v>
      </c>
      <c r="FB58" s="14">
        <f t="shared" si="67"/>
        <v>1016202.3899999973</v>
      </c>
      <c r="FC58" s="14">
        <f t="shared" si="67"/>
        <v>1016202.3899999973</v>
      </c>
      <c r="FD58" s="14">
        <f t="shared" si="67"/>
        <v>1016202.3899999973</v>
      </c>
      <c r="FE58" s="230">
        <f t="shared" si="67"/>
        <v>1016202.3899999973</v>
      </c>
      <c r="FF58" s="14">
        <f t="shared" si="67"/>
        <v>1016202.3899999973</v>
      </c>
      <c r="FG58" s="14">
        <f t="shared" si="67"/>
        <v>1016202.3899999973</v>
      </c>
      <c r="FH58" s="14">
        <f t="shared" si="67"/>
        <v>1016202.3899999973</v>
      </c>
      <c r="FI58" s="230">
        <f t="shared" si="67"/>
        <v>1016202.3899999973</v>
      </c>
      <c r="FJ58" s="14">
        <f t="shared" si="67"/>
        <v>1016202.3899999973</v>
      </c>
      <c r="FK58" s="14">
        <f t="shared" si="67"/>
        <v>1016202.3899999973</v>
      </c>
      <c r="FL58" s="80">
        <f t="shared" si="67"/>
        <v>1016202.3899999973</v>
      </c>
      <c r="FM58" s="14">
        <f t="shared" si="67"/>
        <v>1016202.3899999973</v>
      </c>
      <c r="FN58" s="14">
        <f t="shared" si="67"/>
        <v>1016202.3899999973</v>
      </c>
      <c r="FO58" s="14">
        <f t="shared" si="67"/>
        <v>1016202.3899999973</v>
      </c>
      <c r="FP58" s="39">
        <f>FO58-FP23+2035.26</f>
        <v>1018237.6499999973</v>
      </c>
      <c r="FQ58" s="14">
        <f t="shared" ref="FQ58:GK58" si="68">FP58-FQ23</f>
        <v>1018237.6499999973</v>
      </c>
      <c r="FR58" s="14">
        <f t="shared" si="68"/>
        <v>1018237.6499999973</v>
      </c>
      <c r="FS58" s="14">
        <f t="shared" si="68"/>
        <v>1018237.6499999973</v>
      </c>
      <c r="FT58" s="14">
        <f t="shared" si="68"/>
        <v>1018237.6499999973</v>
      </c>
      <c r="FU58" s="14">
        <f t="shared" si="68"/>
        <v>1018237.6499999973</v>
      </c>
      <c r="FV58" s="14">
        <f t="shared" si="68"/>
        <v>1018237.6499999973</v>
      </c>
      <c r="FW58" s="14">
        <f t="shared" si="68"/>
        <v>1018237.6499999973</v>
      </c>
      <c r="FX58" s="14">
        <f t="shared" si="68"/>
        <v>1018237.6499999973</v>
      </c>
      <c r="FY58" s="14">
        <f t="shared" si="68"/>
        <v>1018237.6499999973</v>
      </c>
      <c r="FZ58" s="230">
        <f t="shared" si="68"/>
        <v>1018237.6499999973</v>
      </c>
      <c r="GA58" s="14">
        <f t="shared" si="68"/>
        <v>1018237.6499999973</v>
      </c>
      <c r="GB58" s="14">
        <f t="shared" si="68"/>
        <v>1018237.6499999973</v>
      </c>
      <c r="GC58" s="14">
        <f t="shared" si="68"/>
        <v>1018237.6499999973</v>
      </c>
      <c r="GD58" s="14">
        <f t="shared" si="68"/>
        <v>1018237.6499999973</v>
      </c>
      <c r="GE58" s="14">
        <f t="shared" si="68"/>
        <v>1018237.6499999973</v>
      </c>
      <c r="GF58" s="14">
        <f t="shared" si="68"/>
        <v>1018237.6499999973</v>
      </c>
      <c r="GG58" s="14">
        <f t="shared" si="68"/>
        <v>1018237.6499999973</v>
      </c>
      <c r="GH58" s="14">
        <f t="shared" si="68"/>
        <v>1018237.6499999973</v>
      </c>
      <c r="GI58" s="14">
        <f t="shared" si="68"/>
        <v>1018237.6499999973</v>
      </c>
      <c r="GJ58" s="14">
        <f t="shared" si="68"/>
        <v>1018237.6499999973</v>
      </c>
      <c r="GK58" s="14">
        <f t="shared" si="68"/>
        <v>1018237.6499999973</v>
      </c>
      <c r="GL58" s="39">
        <f>GK58-GL23+1766.69</f>
        <v>1020004.3399999973</v>
      </c>
      <c r="GM58" s="14">
        <f t="shared" ref="GM58:HC58" si="69">GL58-GM23</f>
        <v>1020004.3399999973</v>
      </c>
      <c r="GN58" s="14">
        <f t="shared" si="69"/>
        <v>1020004.3399999973</v>
      </c>
      <c r="GO58" s="14">
        <f t="shared" si="69"/>
        <v>1020004.3399999973</v>
      </c>
      <c r="GP58" s="14">
        <f t="shared" si="69"/>
        <v>1020004.3399999973</v>
      </c>
      <c r="GQ58" s="14">
        <f t="shared" si="69"/>
        <v>1020004.3399999973</v>
      </c>
      <c r="GR58" s="14">
        <f t="shared" si="69"/>
        <v>1020004.3399999973</v>
      </c>
      <c r="GS58" s="14">
        <f t="shared" si="69"/>
        <v>1020004.3399999973</v>
      </c>
      <c r="GT58" s="14">
        <f t="shared" si="69"/>
        <v>1020004.3399999973</v>
      </c>
      <c r="GU58" s="243">
        <f t="shared" si="69"/>
        <v>1020004.3399999973</v>
      </c>
      <c r="GV58" s="14">
        <f t="shared" si="69"/>
        <v>1020004.3399999973</v>
      </c>
      <c r="GW58" s="14">
        <f t="shared" si="69"/>
        <v>1020004.3399999973</v>
      </c>
      <c r="GX58" s="14">
        <f t="shared" si="69"/>
        <v>1020004.3399999973</v>
      </c>
      <c r="GY58" s="14">
        <f t="shared" si="69"/>
        <v>1020004.3399999973</v>
      </c>
      <c r="GZ58" s="14">
        <f t="shared" si="69"/>
        <v>1020004.3399999973</v>
      </c>
      <c r="HA58" s="14">
        <f t="shared" si="69"/>
        <v>1020004.3399999973</v>
      </c>
      <c r="HB58" s="14">
        <f t="shared" si="69"/>
        <v>1020004.3399999973</v>
      </c>
      <c r="HC58" s="14">
        <f t="shared" si="69"/>
        <v>1020004.3399999973</v>
      </c>
      <c r="HD58" s="39">
        <f>HC58-HD23+1395.84</f>
        <v>1021400.1799999973</v>
      </c>
      <c r="HE58" s="14">
        <f t="shared" ref="HE58:HY58" si="70">HD58-HE23</f>
        <v>1021400.1799999973</v>
      </c>
      <c r="HF58" s="14">
        <f t="shared" si="70"/>
        <v>1021400.1799999973</v>
      </c>
      <c r="HG58" s="14">
        <f t="shared" si="70"/>
        <v>1021400.1799999973</v>
      </c>
      <c r="HH58" s="14">
        <f t="shared" si="70"/>
        <v>1021400.1799999973</v>
      </c>
      <c r="HI58" s="14">
        <f t="shared" si="70"/>
        <v>1021400.1799999973</v>
      </c>
      <c r="HJ58" s="14">
        <f t="shared" si="70"/>
        <v>1021400.1799999973</v>
      </c>
      <c r="HK58" s="14">
        <f t="shared" si="70"/>
        <v>1021400.1799999973</v>
      </c>
      <c r="HL58" s="14">
        <f t="shared" si="70"/>
        <v>1021400.1799999973</v>
      </c>
      <c r="HM58" s="14">
        <f t="shared" si="70"/>
        <v>1021400.1799999973</v>
      </c>
      <c r="HN58" s="136">
        <f t="shared" si="70"/>
        <v>1021400.1799999973</v>
      </c>
      <c r="HO58" s="80">
        <f t="shared" si="70"/>
        <v>1021400.1799999973</v>
      </c>
      <c r="HP58" s="14">
        <f t="shared" si="70"/>
        <v>1021400.1799999973</v>
      </c>
      <c r="HQ58" s="14">
        <f t="shared" si="70"/>
        <v>1021400.1799999973</v>
      </c>
      <c r="HR58" s="14">
        <f t="shared" si="70"/>
        <v>1021400.1799999973</v>
      </c>
      <c r="HS58" s="14">
        <f t="shared" si="70"/>
        <v>1021400.1799999973</v>
      </c>
      <c r="HT58" s="14">
        <f t="shared" si="70"/>
        <v>1021400.1799999973</v>
      </c>
      <c r="HU58" s="14">
        <f t="shared" si="70"/>
        <v>1021400.1799999973</v>
      </c>
      <c r="HV58" s="14">
        <f t="shared" si="70"/>
        <v>1021400.1799999973</v>
      </c>
      <c r="HW58" s="14">
        <f t="shared" si="70"/>
        <v>1021400.1799999973</v>
      </c>
      <c r="HX58" s="14">
        <f t="shared" si="70"/>
        <v>1021400.1799999973</v>
      </c>
      <c r="HY58" s="14">
        <f t="shared" si="70"/>
        <v>1021400.1799999973</v>
      </c>
      <c r="HZ58" s="39">
        <f>HY58-HZ23+1285.16</f>
        <v>1022685.3399999973</v>
      </c>
      <c r="IA58" s="14">
        <f t="shared" si="57"/>
        <v>1022685.3399999973</v>
      </c>
      <c r="IB58" s="14">
        <f t="shared" si="57"/>
        <v>1022685.3399999973</v>
      </c>
      <c r="IC58" s="14">
        <f t="shared" si="57"/>
        <v>1022685.3399999973</v>
      </c>
      <c r="ID58" s="14">
        <f t="shared" si="57"/>
        <v>1022685.3399999973</v>
      </c>
      <c r="IE58" s="14">
        <f t="shared" si="57"/>
        <v>1022685.3399999973</v>
      </c>
      <c r="IF58" s="14">
        <f t="shared" si="57"/>
        <v>1022685.3399999973</v>
      </c>
      <c r="IG58" s="14">
        <f>IF58-IG23+20000000</f>
        <v>21022685.339999996</v>
      </c>
      <c r="IH58" s="112">
        <f t="shared" si="58"/>
        <v>21022685.339999996</v>
      </c>
      <c r="II58" s="14">
        <f t="shared" si="58"/>
        <v>21022685.339999996</v>
      </c>
      <c r="IJ58" s="14">
        <f t="shared" si="58"/>
        <v>21022685.339999996</v>
      </c>
      <c r="IK58" s="14">
        <f t="shared" si="58"/>
        <v>21022685.339999996</v>
      </c>
      <c r="IL58" s="14">
        <f>IK58-IL23+5000000</f>
        <v>26022685.339999996</v>
      </c>
      <c r="IM58" s="14">
        <f t="shared" si="59"/>
        <v>26022685.339999996</v>
      </c>
      <c r="IN58" s="14">
        <f t="shared" si="59"/>
        <v>26022685.339999996</v>
      </c>
      <c r="IO58" s="14">
        <f t="shared" si="59"/>
        <v>26022685.339999996</v>
      </c>
      <c r="IP58" s="14">
        <f t="shared" si="59"/>
        <v>26022685.339999996</v>
      </c>
      <c r="IQ58" s="14">
        <f t="shared" si="59"/>
        <v>26022685.339999996</v>
      </c>
      <c r="IR58" s="14">
        <f t="shared" si="59"/>
        <v>26022685.339999996</v>
      </c>
      <c r="IS58" s="14">
        <f t="shared" si="59"/>
        <v>26022685.339999996</v>
      </c>
      <c r="IT58" s="39">
        <f t="shared" si="59"/>
        <v>26022685.339999996</v>
      </c>
      <c r="IU58" s="14"/>
    </row>
    <row r="59" spans="1:256" s="8" customFormat="1" ht="14.1" customHeight="1">
      <c r="A59" s="14" t="s">
        <v>19</v>
      </c>
      <c r="B59" s="14"/>
      <c r="C59" s="39">
        <v>5144751.42</v>
      </c>
      <c r="D59" s="14">
        <f t="shared" si="45"/>
        <v>5144751.42</v>
      </c>
      <c r="E59" s="14">
        <f t="shared" si="45"/>
        <v>5144751.42</v>
      </c>
      <c r="F59" s="14">
        <f t="shared" si="45"/>
        <v>5144751.42</v>
      </c>
      <c r="G59" s="14">
        <f t="shared" si="45"/>
        <v>5144751.42</v>
      </c>
      <c r="H59" s="14">
        <f>G59-H24+75000000</f>
        <v>80144751.420000002</v>
      </c>
      <c r="I59" s="14">
        <f t="shared" ref="I59:V59" si="71">H59-I24</f>
        <v>80144751.420000002</v>
      </c>
      <c r="J59" s="14">
        <f t="shared" si="71"/>
        <v>80144751.420000002</v>
      </c>
      <c r="K59" s="14">
        <f t="shared" si="71"/>
        <v>80144751.420000002</v>
      </c>
      <c r="L59" s="14">
        <f t="shared" si="71"/>
        <v>80144751.420000002</v>
      </c>
      <c r="M59" s="14">
        <f t="shared" si="71"/>
        <v>80144751.420000002</v>
      </c>
      <c r="N59" s="230">
        <f t="shared" si="71"/>
        <v>80144751.420000002</v>
      </c>
      <c r="O59" s="14">
        <f t="shared" si="71"/>
        <v>80144751.420000002</v>
      </c>
      <c r="P59" s="14">
        <f t="shared" si="71"/>
        <v>80144751.420000002</v>
      </c>
      <c r="Q59" s="14">
        <f t="shared" si="71"/>
        <v>80144751.420000002</v>
      </c>
      <c r="R59" s="14">
        <f t="shared" si="71"/>
        <v>80144751.420000002</v>
      </c>
      <c r="S59" s="14">
        <f t="shared" si="71"/>
        <v>80144751.420000002</v>
      </c>
      <c r="T59" s="14">
        <f t="shared" si="71"/>
        <v>80144751.420000002</v>
      </c>
      <c r="U59" s="14">
        <f t="shared" si="71"/>
        <v>80144751.420000002</v>
      </c>
      <c r="V59" s="14">
        <f t="shared" si="71"/>
        <v>80144751.420000002</v>
      </c>
      <c r="W59" s="39">
        <f>V59-W24+184822.89</f>
        <v>80329574.310000002</v>
      </c>
      <c r="X59" s="14">
        <f t="shared" ref="X59:AQ59" si="72">W59-X24</f>
        <v>80329574.310000002</v>
      </c>
      <c r="Y59" s="14">
        <f t="shared" si="72"/>
        <v>80329574.310000002</v>
      </c>
      <c r="Z59" s="14">
        <f t="shared" si="72"/>
        <v>80329574.310000002</v>
      </c>
      <c r="AA59" s="14">
        <f t="shared" si="72"/>
        <v>80329574.310000002</v>
      </c>
      <c r="AB59" s="14">
        <f t="shared" si="72"/>
        <v>80329574.310000002</v>
      </c>
      <c r="AC59" s="14">
        <f t="shared" si="72"/>
        <v>80329574.310000002</v>
      </c>
      <c r="AD59" s="14">
        <f t="shared" si="72"/>
        <v>80329574.310000002</v>
      </c>
      <c r="AE59" s="14">
        <f t="shared" si="72"/>
        <v>80329574.310000002</v>
      </c>
      <c r="AF59" s="230">
        <f t="shared" si="72"/>
        <v>80329574.310000002</v>
      </c>
      <c r="AG59" s="14">
        <f t="shared" si="72"/>
        <v>80329574.310000002</v>
      </c>
      <c r="AH59" s="14">
        <f t="shared" si="72"/>
        <v>80329574.310000002</v>
      </c>
      <c r="AI59" s="14">
        <f t="shared" si="72"/>
        <v>80329574.310000002</v>
      </c>
      <c r="AJ59" s="14">
        <f t="shared" si="72"/>
        <v>80329574.310000002</v>
      </c>
      <c r="AK59" s="14">
        <f t="shared" si="72"/>
        <v>80329574.310000002</v>
      </c>
      <c r="AL59" s="14">
        <f t="shared" si="72"/>
        <v>80329574.310000002</v>
      </c>
      <c r="AM59" s="14">
        <f t="shared" si="72"/>
        <v>80329574.310000002</v>
      </c>
      <c r="AN59" s="14">
        <f t="shared" si="72"/>
        <v>80329574.310000002</v>
      </c>
      <c r="AO59" s="14">
        <f t="shared" si="72"/>
        <v>80329574.310000002</v>
      </c>
      <c r="AP59" s="14">
        <f t="shared" si="72"/>
        <v>80329574.310000002</v>
      </c>
      <c r="AQ59" s="14">
        <f t="shared" si="72"/>
        <v>80329574.310000002</v>
      </c>
      <c r="AR59" s="39">
        <f>AQ59-AR24+217437.38</f>
        <v>80547011.689999998</v>
      </c>
      <c r="AS59" s="14">
        <f t="shared" ref="AS59:BM59" si="73">AR59-AS24</f>
        <v>80547011.689999998</v>
      </c>
      <c r="AT59" s="14">
        <f t="shared" si="73"/>
        <v>80547011.689999998</v>
      </c>
      <c r="AU59" s="14">
        <f t="shared" si="73"/>
        <v>80547011.689999998</v>
      </c>
      <c r="AV59" s="230">
        <f t="shared" si="73"/>
        <v>80547011.689999998</v>
      </c>
      <c r="AW59" s="14">
        <f t="shared" si="73"/>
        <v>80547011.689999998</v>
      </c>
      <c r="AX59" s="14">
        <f t="shared" si="73"/>
        <v>80547011.689999998</v>
      </c>
      <c r="AY59" s="14">
        <f t="shared" si="73"/>
        <v>80547011.689999998</v>
      </c>
      <c r="AZ59" s="14">
        <f t="shared" si="73"/>
        <v>80547011.689999998</v>
      </c>
      <c r="BA59" s="14">
        <f t="shared" si="73"/>
        <v>80547011.689999998</v>
      </c>
      <c r="BB59" s="14">
        <f t="shared" si="73"/>
        <v>80547011.689999998</v>
      </c>
      <c r="BC59" s="14">
        <f t="shared" si="73"/>
        <v>80547011.689999998</v>
      </c>
      <c r="BD59" s="14">
        <f t="shared" si="73"/>
        <v>80547011.689999998</v>
      </c>
      <c r="BE59" s="14">
        <f t="shared" si="73"/>
        <v>80547011.689999998</v>
      </c>
      <c r="BF59" s="14">
        <f t="shared" si="73"/>
        <v>80547011.689999998</v>
      </c>
      <c r="BG59" s="14">
        <f t="shared" si="73"/>
        <v>80547011.689999998</v>
      </c>
      <c r="BH59" s="14">
        <f t="shared" si="73"/>
        <v>80547011.689999998</v>
      </c>
      <c r="BI59" s="14">
        <f t="shared" si="73"/>
        <v>80547011.689999998</v>
      </c>
      <c r="BJ59" s="14">
        <f t="shared" si="73"/>
        <v>80547011.689999998</v>
      </c>
      <c r="BK59" s="14">
        <f t="shared" si="73"/>
        <v>80547011.689999998</v>
      </c>
      <c r="BL59" s="14">
        <f t="shared" si="73"/>
        <v>80547011.689999998</v>
      </c>
      <c r="BM59" s="14">
        <f t="shared" si="73"/>
        <v>80547011.689999998</v>
      </c>
      <c r="BN59" s="39">
        <f>BM59-BN24+182260.33</f>
        <v>80729272.019999996</v>
      </c>
      <c r="BO59" s="14">
        <f t="shared" ref="BO59:CH59" si="74">BN59-BO24</f>
        <v>80729272.019999996</v>
      </c>
      <c r="BP59" s="14">
        <f t="shared" si="74"/>
        <v>80729272.019999996</v>
      </c>
      <c r="BQ59" s="14">
        <f t="shared" si="74"/>
        <v>80729272.019999996</v>
      </c>
      <c r="BR59" s="14">
        <f t="shared" si="74"/>
        <v>80729272.019999996</v>
      </c>
      <c r="BS59" s="14">
        <f t="shared" si="74"/>
        <v>80729272.019999996</v>
      </c>
      <c r="BT59" s="14">
        <f t="shared" si="74"/>
        <v>80729272.019999996</v>
      </c>
      <c r="BU59" s="14">
        <f t="shared" si="74"/>
        <v>80729272.019999996</v>
      </c>
      <c r="BV59" s="14">
        <f t="shared" si="74"/>
        <v>55729272.019999996</v>
      </c>
      <c r="BW59" s="14">
        <f t="shared" si="74"/>
        <v>55729272.019999996</v>
      </c>
      <c r="BX59" s="14">
        <f t="shared" si="74"/>
        <v>55729272.019999996</v>
      </c>
      <c r="BY59" s="14">
        <f t="shared" si="74"/>
        <v>55729272.019999996</v>
      </c>
      <c r="BZ59" s="14">
        <f t="shared" si="74"/>
        <v>55729272.019999996</v>
      </c>
      <c r="CA59" s="14">
        <f t="shared" si="74"/>
        <v>55729272.019999996</v>
      </c>
      <c r="CB59" s="14">
        <f t="shared" si="74"/>
        <v>55729272.019999996</v>
      </c>
      <c r="CC59" s="14">
        <f t="shared" si="74"/>
        <v>55729272.019999996</v>
      </c>
      <c r="CD59" s="14">
        <f t="shared" si="74"/>
        <v>55729272.019999996</v>
      </c>
      <c r="CE59" s="14">
        <f t="shared" si="74"/>
        <v>55729272.019999996</v>
      </c>
      <c r="CF59" s="14">
        <f t="shared" si="74"/>
        <v>55729272.019999996</v>
      </c>
      <c r="CG59" s="14">
        <f t="shared" si="74"/>
        <v>55729272.019999996</v>
      </c>
      <c r="CH59" s="14">
        <f t="shared" si="74"/>
        <v>55729272.019999996</v>
      </c>
      <c r="CI59" s="39">
        <f>CH59-CI24+140344.7</f>
        <v>55869616.719999999</v>
      </c>
      <c r="CJ59" s="14">
        <f t="shared" ref="CJ59:DC59" si="75">CI59-CJ24</f>
        <v>55869616.719999999</v>
      </c>
      <c r="CK59" s="14">
        <f t="shared" si="75"/>
        <v>55869616.719999999</v>
      </c>
      <c r="CL59" s="14">
        <f t="shared" si="75"/>
        <v>55869616.719999999</v>
      </c>
      <c r="CM59" s="14">
        <f t="shared" si="75"/>
        <v>55869616.719999999</v>
      </c>
      <c r="CN59" s="14">
        <f t="shared" si="75"/>
        <v>45869616.719999999</v>
      </c>
      <c r="CO59" s="14">
        <f t="shared" si="75"/>
        <v>45869616.719999999</v>
      </c>
      <c r="CP59" s="14">
        <f t="shared" si="75"/>
        <v>45869616.719999999</v>
      </c>
      <c r="CQ59" s="14">
        <f t="shared" si="75"/>
        <v>45869616.719999999</v>
      </c>
      <c r="CR59" s="14">
        <f t="shared" si="75"/>
        <v>45869616.719999999</v>
      </c>
      <c r="CS59" s="14">
        <f t="shared" si="75"/>
        <v>25869616.719999999</v>
      </c>
      <c r="CT59" s="14">
        <f t="shared" si="75"/>
        <v>25869616.719999999</v>
      </c>
      <c r="CU59" s="14">
        <f t="shared" si="75"/>
        <v>25869616.719999999</v>
      </c>
      <c r="CV59" s="14">
        <f t="shared" si="75"/>
        <v>25869616.719999999</v>
      </c>
      <c r="CW59" s="14">
        <f t="shared" si="75"/>
        <v>25869616.719999999</v>
      </c>
      <c r="CX59" s="14">
        <f t="shared" si="75"/>
        <v>25869616.719999999</v>
      </c>
      <c r="CY59" s="14">
        <f t="shared" si="75"/>
        <v>25869616.719999999</v>
      </c>
      <c r="CZ59" s="14">
        <f t="shared" si="75"/>
        <v>25869616.719999999</v>
      </c>
      <c r="DA59" s="14">
        <f t="shared" si="75"/>
        <v>25869616.719999999</v>
      </c>
      <c r="DB59" s="14">
        <f t="shared" si="75"/>
        <v>25869616.719999999</v>
      </c>
      <c r="DC59" s="14">
        <f t="shared" si="75"/>
        <v>25869616.719999999</v>
      </c>
      <c r="DD59" s="39">
        <f>DC59-DD24+74187.92</f>
        <v>25943804.640000001</v>
      </c>
      <c r="DE59" s="93">
        <f t="shared" ref="DE59:DY59" si="76">DD59-DE24</f>
        <v>25943804.640000001</v>
      </c>
      <c r="DF59" s="14">
        <f t="shared" si="76"/>
        <v>25943804.640000001</v>
      </c>
      <c r="DG59" s="14">
        <f t="shared" si="76"/>
        <v>25943804.640000001</v>
      </c>
      <c r="DH59" s="14">
        <f t="shared" si="76"/>
        <v>25943804.640000001</v>
      </c>
      <c r="DI59" s="14">
        <f t="shared" si="76"/>
        <v>25943804.640000001</v>
      </c>
      <c r="DJ59" s="14">
        <f t="shared" si="76"/>
        <v>25943804.640000001</v>
      </c>
      <c r="DK59" s="14">
        <f t="shared" si="76"/>
        <v>25943804.640000001</v>
      </c>
      <c r="DL59" s="14">
        <f t="shared" si="76"/>
        <v>25943804.640000001</v>
      </c>
      <c r="DM59" s="14">
        <f t="shared" si="76"/>
        <v>15943804.640000001</v>
      </c>
      <c r="DN59" s="14">
        <f t="shared" si="76"/>
        <v>15943804.640000001</v>
      </c>
      <c r="DO59" s="14">
        <f t="shared" si="76"/>
        <v>5943804.6400000006</v>
      </c>
      <c r="DP59" s="14">
        <f t="shared" si="76"/>
        <v>5943804.6400000006</v>
      </c>
      <c r="DQ59" s="14">
        <f t="shared" si="76"/>
        <v>5943804.6400000006</v>
      </c>
      <c r="DR59" s="93">
        <f t="shared" si="76"/>
        <v>5943804.6400000006</v>
      </c>
      <c r="DS59" s="14">
        <f t="shared" si="76"/>
        <v>5943804.6400000006</v>
      </c>
      <c r="DT59" s="14">
        <f t="shared" si="76"/>
        <v>5943804.6400000006</v>
      </c>
      <c r="DU59" s="14">
        <f t="shared" si="76"/>
        <v>5943804.6400000006</v>
      </c>
      <c r="DV59" s="14">
        <f t="shared" si="76"/>
        <v>5943804.6400000006</v>
      </c>
      <c r="DW59" s="14">
        <f t="shared" si="76"/>
        <v>5943804.6400000006</v>
      </c>
      <c r="DX59" s="14">
        <f t="shared" si="76"/>
        <v>5943804.6400000006</v>
      </c>
      <c r="DY59" s="14">
        <f t="shared" si="76"/>
        <v>5943804.6400000006</v>
      </c>
      <c r="DZ59" s="39">
        <f>DY59-DZ24+32620.5</f>
        <v>5976425.1400000006</v>
      </c>
      <c r="EA59" s="14">
        <f t="shared" ref="EA59:ET59" si="77">DZ59-EA24</f>
        <v>5976425.1400000006</v>
      </c>
      <c r="EB59" s="14">
        <f t="shared" si="77"/>
        <v>5976425.1400000006</v>
      </c>
      <c r="EC59" s="14">
        <f t="shared" si="77"/>
        <v>5976425.1400000006</v>
      </c>
      <c r="ED59" s="14">
        <f t="shared" si="77"/>
        <v>5976425.1400000006</v>
      </c>
      <c r="EE59" s="14">
        <f t="shared" si="77"/>
        <v>5976425.1400000006</v>
      </c>
      <c r="EF59" s="14">
        <f t="shared" si="77"/>
        <v>5976425.1400000006</v>
      </c>
      <c r="EG59" s="27">
        <f t="shared" si="77"/>
        <v>5976425.1400000006</v>
      </c>
      <c r="EH59" s="14">
        <f t="shared" si="77"/>
        <v>5976425.1400000006</v>
      </c>
      <c r="EI59" s="14">
        <f t="shared" si="77"/>
        <v>5976425.1400000006</v>
      </c>
      <c r="EJ59" s="14">
        <f t="shared" si="77"/>
        <v>5976425.1400000006</v>
      </c>
      <c r="EK59" s="80">
        <f t="shared" si="77"/>
        <v>5976425.1400000006</v>
      </c>
      <c r="EL59" s="14">
        <f t="shared" si="77"/>
        <v>5976425.1400000006</v>
      </c>
      <c r="EM59" s="14">
        <f t="shared" si="77"/>
        <v>5976425.1400000006</v>
      </c>
      <c r="EN59" s="14">
        <f t="shared" si="77"/>
        <v>5976425.1400000006</v>
      </c>
      <c r="EO59" s="14">
        <f t="shared" si="77"/>
        <v>5976425.1400000006</v>
      </c>
      <c r="EP59" s="14">
        <f t="shared" si="77"/>
        <v>5976425.1400000006</v>
      </c>
      <c r="EQ59" s="14">
        <f t="shared" si="77"/>
        <v>5976425.1400000006</v>
      </c>
      <c r="ER59" s="14">
        <f t="shared" si="77"/>
        <v>5976425.1400000006</v>
      </c>
      <c r="ES59" s="14">
        <f t="shared" si="77"/>
        <v>5976425.1400000006</v>
      </c>
      <c r="ET59" s="14">
        <f t="shared" si="77"/>
        <v>5976425.1400000006</v>
      </c>
      <c r="EU59" s="39">
        <f>ET59-EU24+13092.98</f>
        <v>5989518.120000001</v>
      </c>
      <c r="EV59" s="14">
        <f t="shared" ref="EV59:FO59" si="78">EU59-EV24</f>
        <v>5989518.120000001</v>
      </c>
      <c r="EW59" s="14">
        <f t="shared" si="78"/>
        <v>5989518.120000001</v>
      </c>
      <c r="EX59" s="14">
        <f t="shared" si="78"/>
        <v>5989518.120000001</v>
      </c>
      <c r="EY59" s="14">
        <f t="shared" si="78"/>
        <v>5989518.120000001</v>
      </c>
      <c r="EZ59" s="14">
        <f t="shared" si="78"/>
        <v>5989518.120000001</v>
      </c>
      <c r="FA59" s="14">
        <f t="shared" si="78"/>
        <v>5989518.120000001</v>
      </c>
      <c r="FB59" s="14">
        <f t="shared" si="78"/>
        <v>5989518.120000001</v>
      </c>
      <c r="FC59" s="14">
        <f t="shared" si="78"/>
        <v>5989518.120000001</v>
      </c>
      <c r="FD59" s="14">
        <f t="shared" si="78"/>
        <v>5989518.120000001</v>
      </c>
      <c r="FE59" s="230">
        <f t="shared" si="78"/>
        <v>5989518.120000001</v>
      </c>
      <c r="FF59" s="14">
        <f t="shared" si="78"/>
        <v>5989518.120000001</v>
      </c>
      <c r="FG59" s="14">
        <f t="shared" si="78"/>
        <v>5989518.120000001</v>
      </c>
      <c r="FH59" s="14">
        <f t="shared" si="78"/>
        <v>5989518.120000001</v>
      </c>
      <c r="FI59" s="230">
        <f t="shared" si="78"/>
        <v>5989518.120000001</v>
      </c>
      <c r="FJ59" s="14">
        <f t="shared" si="78"/>
        <v>5989518.120000001</v>
      </c>
      <c r="FK59" s="14">
        <f t="shared" si="78"/>
        <v>5989518.120000001</v>
      </c>
      <c r="FL59" s="80">
        <f t="shared" si="78"/>
        <v>5989518.120000001</v>
      </c>
      <c r="FM59" s="14">
        <f t="shared" si="78"/>
        <v>5989518.120000001</v>
      </c>
      <c r="FN59" s="14">
        <f t="shared" si="78"/>
        <v>5989518.120000001</v>
      </c>
      <c r="FO59" s="14">
        <f t="shared" si="78"/>
        <v>5989518.120000001</v>
      </c>
      <c r="FP59" s="39">
        <f>FO59-FP24+13257.77</f>
        <v>6002775.8900000006</v>
      </c>
      <c r="FQ59" s="14">
        <f t="shared" ref="FQ59:GK59" si="79">FP59-FQ24</f>
        <v>6002775.8900000006</v>
      </c>
      <c r="FR59" s="14">
        <f t="shared" si="79"/>
        <v>6002775.8900000006</v>
      </c>
      <c r="FS59" s="14">
        <f t="shared" si="79"/>
        <v>6002775.8900000006</v>
      </c>
      <c r="FT59" s="14">
        <f t="shared" si="79"/>
        <v>6002775.8900000006</v>
      </c>
      <c r="FU59" s="14">
        <f t="shared" si="79"/>
        <v>6002775.8900000006</v>
      </c>
      <c r="FV59" s="14">
        <f t="shared" si="79"/>
        <v>6002775.8900000006</v>
      </c>
      <c r="FW59" s="14">
        <f t="shared" si="79"/>
        <v>6002775.8900000006</v>
      </c>
      <c r="FX59" s="14">
        <f t="shared" si="79"/>
        <v>6002775.8900000006</v>
      </c>
      <c r="FY59" s="14">
        <f t="shared" si="79"/>
        <v>6002775.8900000006</v>
      </c>
      <c r="FZ59" s="230">
        <f t="shared" si="79"/>
        <v>6002775.8900000006</v>
      </c>
      <c r="GA59" s="14">
        <f t="shared" si="79"/>
        <v>6002775.8900000006</v>
      </c>
      <c r="GB59" s="14">
        <f t="shared" si="79"/>
        <v>6002775.8900000006</v>
      </c>
      <c r="GC59" s="14">
        <f t="shared" si="79"/>
        <v>6002775.8900000006</v>
      </c>
      <c r="GD59" s="14">
        <f t="shared" si="79"/>
        <v>6002775.8900000006</v>
      </c>
      <c r="GE59" s="14">
        <f t="shared" si="79"/>
        <v>6002775.8900000006</v>
      </c>
      <c r="GF59" s="14">
        <f t="shared" si="79"/>
        <v>6002775.8900000006</v>
      </c>
      <c r="GG59" s="14">
        <f t="shared" si="79"/>
        <v>6002775.8900000006</v>
      </c>
      <c r="GH59" s="14">
        <f t="shared" si="79"/>
        <v>6002775.8900000006</v>
      </c>
      <c r="GI59" s="14">
        <f t="shared" si="79"/>
        <v>6002775.8900000006</v>
      </c>
      <c r="GJ59" s="14">
        <f t="shared" si="79"/>
        <v>6002775.8900000006</v>
      </c>
      <c r="GK59" s="14">
        <f t="shared" si="79"/>
        <v>6002775.8900000006</v>
      </c>
      <c r="GL59" s="39">
        <f>GK59-GL24+13211.95</f>
        <v>6015987.8400000008</v>
      </c>
      <c r="GM59" s="14">
        <f t="shared" ref="GM59:HC59" si="80">GL59-GM24</f>
        <v>6015987.8400000008</v>
      </c>
      <c r="GN59" s="14">
        <f t="shared" si="80"/>
        <v>6015987.8400000008</v>
      </c>
      <c r="GO59" s="14">
        <f t="shared" si="80"/>
        <v>6015987.8400000008</v>
      </c>
      <c r="GP59" s="14">
        <f t="shared" si="80"/>
        <v>6015987.8400000008</v>
      </c>
      <c r="GQ59" s="14">
        <f t="shared" si="80"/>
        <v>6015987.8400000008</v>
      </c>
      <c r="GR59" s="14">
        <f t="shared" si="80"/>
        <v>6015987.8400000008</v>
      </c>
      <c r="GS59" s="14">
        <f t="shared" si="80"/>
        <v>6015987.8400000008</v>
      </c>
      <c r="GT59" s="14">
        <f t="shared" si="80"/>
        <v>6015987.8400000008</v>
      </c>
      <c r="GU59" s="243">
        <f t="shared" si="80"/>
        <v>6015987.8400000008</v>
      </c>
      <c r="GV59" s="14">
        <f t="shared" si="80"/>
        <v>6015987.8400000008</v>
      </c>
      <c r="GW59" s="14">
        <f t="shared" si="80"/>
        <v>6015987.8400000008</v>
      </c>
      <c r="GX59" s="14">
        <f t="shared" si="80"/>
        <v>6015987.8400000008</v>
      </c>
      <c r="GY59" s="14">
        <f t="shared" si="80"/>
        <v>6015987.8400000008</v>
      </c>
      <c r="GZ59" s="14">
        <f t="shared" si="80"/>
        <v>6015987.8400000008</v>
      </c>
      <c r="HA59" s="14">
        <f t="shared" si="80"/>
        <v>6015987.8400000008</v>
      </c>
      <c r="HB59" s="14">
        <f t="shared" si="80"/>
        <v>6015987.8400000008</v>
      </c>
      <c r="HC59" s="14">
        <f t="shared" si="80"/>
        <v>6015987.8400000008</v>
      </c>
      <c r="HD59" s="39">
        <f>HC59-HD24+10877</f>
        <v>6026864.8400000008</v>
      </c>
      <c r="HE59" s="14">
        <f t="shared" ref="HE59:HY59" si="81">HD59-HE24</f>
        <v>6026864.8400000008</v>
      </c>
      <c r="HF59" s="14">
        <f t="shared" si="81"/>
        <v>6026864.8400000008</v>
      </c>
      <c r="HG59" s="14">
        <f t="shared" si="81"/>
        <v>6026864.8400000008</v>
      </c>
      <c r="HH59" s="14">
        <f t="shared" si="81"/>
        <v>6026864.8400000008</v>
      </c>
      <c r="HI59" s="14">
        <f t="shared" si="81"/>
        <v>6026864.8400000008</v>
      </c>
      <c r="HJ59" s="14">
        <f t="shared" si="81"/>
        <v>6026864.8400000008</v>
      </c>
      <c r="HK59" s="14">
        <f t="shared" si="81"/>
        <v>6026864.8400000008</v>
      </c>
      <c r="HL59" s="14">
        <f t="shared" si="81"/>
        <v>6026864.8400000008</v>
      </c>
      <c r="HM59" s="14">
        <f t="shared" si="81"/>
        <v>6026864.8400000008</v>
      </c>
      <c r="HN59" s="136">
        <f t="shared" si="81"/>
        <v>6026864.8400000008</v>
      </c>
      <c r="HO59" s="80">
        <f t="shared" si="81"/>
        <v>6026864.8400000008</v>
      </c>
      <c r="HP59" s="14">
        <f t="shared" si="81"/>
        <v>6026864.8400000008</v>
      </c>
      <c r="HQ59" s="14">
        <f t="shared" si="81"/>
        <v>6026864.8400000008</v>
      </c>
      <c r="HR59" s="14">
        <f t="shared" si="81"/>
        <v>6026864.8400000008</v>
      </c>
      <c r="HS59" s="14">
        <f t="shared" si="81"/>
        <v>6026864.8400000008</v>
      </c>
      <c r="HT59" s="14">
        <f t="shared" si="81"/>
        <v>6026864.8400000008</v>
      </c>
      <c r="HU59" s="14">
        <f t="shared" si="81"/>
        <v>6026864.8400000008</v>
      </c>
      <c r="HV59" s="14">
        <f t="shared" si="81"/>
        <v>6026864.8400000008</v>
      </c>
      <c r="HW59" s="14">
        <f t="shared" si="81"/>
        <v>6026864.8400000008</v>
      </c>
      <c r="HX59" s="14">
        <f t="shared" si="81"/>
        <v>6026864.8400000008</v>
      </c>
      <c r="HY59" s="14">
        <f t="shared" si="81"/>
        <v>6026864.8400000008</v>
      </c>
      <c r="HZ59" s="39">
        <f>HY59-HZ24+9972.26</f>
        <v>6036837.1000000006</v>
      </c>
      <c r="IA59" s="14">
        <f t="shared" si="57"/>
        <v>6036837.1000000006</v>
      </c>
      <c r="IB59" s="14">
        <f t="shared" si="57"/>
        <v>6036837.1000000006</v>
      </c>
      <c r="IC59" s="14">
        <f t="shared" si="57"/>
        <v>6036837.1000000006</v>
      </c>
      <c r="ID59" s="14">
        <f t="shared" si="57"/>
        <v>6036837.1000000006</v>
      </c>
      <c r="IE59" s="14">
        <f t="shared" si="57"/>
        <v>6036837.1000000006</v>
      </c>
      <c r="IF59" s="14">
        <f t="shared" si="57"/>
        <v>6036837.1000000006</v>
      </c>
      <c r="IG59" s="14">
        <f>IF59-IG24+10000000</f>
        <v>16036837.100000001</v>
      </c>
      <c r="IH59" s="112">
        <f t="shared" si="58"/>
        <v>16036837.100000001</v>
      </c>
      <c r="II59" s="14">
        <f t="shared" si="58"/>
        <v>16036837.100000001</v>
      </c>
      <c r="IJ59" s="14">
        <f t="shared" si="58"/>
        <v>16036837.100000001</v>
      </c>
      <c r="IK59" s="14">
        <f t="shared" si="58"/>
        <v>16036837.100000001</v>
      </c>
      <c r="IL59" s="14">
        <f>IK59-IL24+10000000</f>
        <v>26036837.100000001</v>
      </c>
      <c r="IM59" s="14">
        <f t="shared" si="59"/>
        <v>26036837.100000001</v>
      </c>
      <c r="IN59" s="14">
        <f t="shared" si="59"/>
        <v>26036837.100000001</v>
      </c>
      <c r="IO59" s="14">
        <f t="shared" si="59"/>
        <v>26036837.100000001</v>
      </c>
      <c r="IP59" s="14">
        <f t="shared" si="59"/>
        <v>26036837.100000001</v>
      </c>
      <c r="IQ59" s="14">
        <f t="shared" si="59"/>
        <v>26036837.100000001</v>
      </c>
      <c r="IR59" s="14">
        <f t="shared" si="59"/>
        <v>26036837.100000001</v>
      </c>
      <c r="IS59" s="14">
        <f t="shared" si="59"/>
        <v>26036837.100000001</v>
      </c>
      <c r="IT59" s="39">
        <f t="shared" si="59"/>
        <v>26036837.100000001</v>
      </c>
      <c r="IU59" s="14"/>
    </row>
    <row r="60" spans="1:256" s="8" customFormat="1" ht="14.1" customHeight="1">
      <c r="A60" s="14" t="s">
        <v>56</v>
      </c>
      <c r="B60" s="14"/>
      <c r="C60" s="39">
        <v>57542.9</v>
      </c>
      <c r="D60" s="14">
        <f>+C60</f>
        <v>57542.9</v>
      </c>
      <c r="E60" s="14">
        <f>+D60</f>
        <v>57542.9</v>
      </c>
      <c r="F60" s="14">
        <f>+E60</f>
        <v>57542.9</v>
      </c>
      <c r="G60" s="14">
        <f>+F60</f>
        <v>57542.9</v>
      </c>
      <c r="H60" s="14">
        <f>+G60+100000000</f>
        <v>100057542.90000001</v>
      </c>
      <c r="I60" s="14">
        <f t="shared" ref="I60:V60" si="82">+H60</f>
        <v>100057542.90000001</v>
      </c>
      <c r="J60" s="14">
        <f t="shared" si="82"/>
        <v>100057542.90000001</v>
      </c>
      <c r="K60" s="14">
        <f t="shared" si="82"/>
        <v>100057542.90000001</v>
      </c>
      <c r="L60" s="14">
        <f t="shared" si="82"/>
        <v>100057542.90000001</v>
      </c>
      <c r="M60" s="14">
        <f t="shared" si="82"/>
        <v>100057542.90000001</v>
      </c>
      <c r="N60" s="230">
        <f t="shared" si="82"/>
        <v>100057542.90000001</v>
      </c>
      <c r="O60" s="14">
        <f t="shared" si="82"/>
        <v>100057542.90000001</v>
      </c>
      <c r="P60" s="14">
        <f t="shared" si="82"/>
        <v>100057542.90000001</v>
      </c>
      <c r="Q60" s="14">
        <f t="shared" si="82"/>
        <v>100057542.90000001</v>
      </c>
      <c r="R60" s="14">
        <f t="shared" si="82"/>
        <v>100057542.90000001</v>
      </c>
      <c r="S60" s="14">
        <f t="shared" si="82"/>
        <v>100057542.90000001</v>
      </c>
      <c r="T60" s="14">
        <f t="shared" si="82"/>
        <v>100057542.90000001</v>
      </c>
      <c r="U60" s="14">
        <f t="shared" si="82"/>
        <v>100057542.90000001</v>
      </c>
      <c r="V60" s="14">
        <f t="shared" si="82"/>
        <v>100057542.90000001</v>
      </c>
      <c r="W60" s="39">
        <f>+V60+220040.6</f>
        <v>100277583.5</v>
      </c>
      <c r="X60" s="14">
        <f t="shared" ref="X60:AQ60" si="83">+W60</f>
        <v>100277583.5</v>
      </c>
      <c r="Y60" s="14">
        <f t="shared" si="83"/>
        <v>100277583.5</v>
      </c>
      <c r="Z60" s="14">
        <f t="shared" si="83"/>
        <v>100277583.5</v>
      </c>
      <c r="AA60" s="14">
        <f t="shared" si="83"/>
        <v>100277583.5</v>
      </c>
      <c r="AB60" s="14">
        <f t="shared" si="83"/>
        <v>100277583.5</v>
      </c>
      <c r="AC60" s="14">
        <f t="shared" si="83"/>
        <v>100277583.5</v>
      </c>
      <c r="AD60" s="14">
        <f t="shared" si="83"/>
        <v>100277583.5</v>
      </c>
      <c r="AE60" s="14">
        <f t="shared" si="83"/>
        <v>100277583.5</v>
      </c>
      <c r="AF60" s="230">
        <f t="shared" si="83"/>
        <v>100277583.5</v>
      </c>
      <c r="AG60" s="14">
        <f t="shared" si="83"/>
        <v>100277583.5</v>
      </c>
      <c r="AH60" s="14">
        <f t="shared" si="83"/>
        <v>100277583.5</v>
      </c>
      <c r="AI60" s="14">
        <f t="shared" si="83"/>
        <v>100277583.5</v>
      </c>
      <c r="AJ60" s="14">
        <f t="shared" si="83"/>
        <v>100277583.5</v>
      </c>
      <c r="AK60" s="14">
        <f t="shared" si="83"/>
        <v>100277583.5</v>
      </c>
      <c r="AL60" s="14">
        <f t="shared" si="83"/>
        <v>100277583.5</v>
      </c>
      <c r="AM60" s="14">
        <f t="shared" si="83"/>
        <v>100277583.5</v>
      </c>
      <c r="AN60" s="14">
        <f t="shared" si="83"/>
        <v>100277583.5</v>
      </c>
      <c r="AO60" s="14">
        <f t="shared" si="83"/>
        <v>100277583.5</v>
      </c>
      <c r="AP60" s="14">
        <f t="shared" si="83"/>
        <v>100277583.5</v>
      </c>
      <c r="AQ60" s="14">
        <f t="shared" si="83"/>
        <v>100277583.5</v>
      </c>
      <c r="AR60" s="39">
        <f>+AQ60+252832.32</f>
        <v>100530415.81999999</v>
      </c>
      <c r="AS60" s="14">
        <f t="shared" ref="AS60:BB60" si="84">+AR60</f>
        <v>100530415.81999999</v>
      </c>
      <c r="AT60" s="14">
        <f t="shared" si="84"/>
        <v>100530415.81999999</v>
      </c>
      <c r="AU60" s="14">
        <f t="shared" si="84"/>
        <v>100530415.81999999</v>
      </c>
      <c r="AV60" s="230">
        <f t="shared" si="84"/>
        <v>100530415.81999999</v>
      </c>
      <c r="AW60" s="14">
        <f t="shared" si="84"/>
        <v>100530415.81999999</v>
      </c>
      <c r="AX60" s="14">
        <f t="shared" si="84"/>
        <v>100530415.81999999</v>
      </c>
      <c r="AY60" s="14">
        <f t="shared" si="84"/>
        <v>100530415.81999999</v>
      </c>
      <c r="AZ60" s="14">
        <f t="shared" si="84"/>
        <v>100530415.81999999</v>
      </c>
      <c r="BA60" s="14">
        <f t="shared" si="84"/>
        <v>100530415.81999999</v>
      </c>
      <c r="BB60" s="14">
        <f t="shared" si="84"/>
        <v>100530415.81999999</v>
      </c>
      <c r="BC60" s="14">
        <f>+BB60-BC21</f>
        <v>50530415.819999993</v>
      </c>
      <c r="BD60" s="14">
        <f t="shared" ref="BD60:BM60" si="85">+BC60</f>
        <v>50530415.819999993</v>
      </c>
      <c r="BE60" s="14">
        <f t="shared" si="85"/>
        <v>50530415.819999993</v>
      </c>
      <c r="BF60" s="14">
        <f t="shared" si="85"/>
        <v>50530415.819999993</v>
      </c>
      <c r="BG60" s="14">
        <f t="shared" si="85"/>
        <v>50530415.819999993</v>
      </c>
      <c r="BH60" s="14">
        <f t="shared" si="85"/>
        <v>50530415.819999993</v>
      </c>
      <c r="BI60" s="14">
        <f t="shared" si="85"/>
        <v>50530415.819999993</v>
      </c>
      <c r="BJ60" s="14">
        <f t="shared" si="85"/>
        <v>50530415.819999993</v>
      </c>
      <c r="BK60" s="14">
        <f t="shared" si="85"/>
        <v>50530415.819999993</v>
      </c>
      <c r="BL60" s="14">
        <f t="shared" si="85"/>
        <v>50530415.819999993</v>
      </c>
      <c r="BM60" s="14">
        <f t="shared" si="85"/>
        <v>50530415.819999993</v>
      </c>
      <c r="BN60" s="39">
        <f>+BM60+152036.84</f>
        <v>50682452.659999996</v>
      </c>
      <c r="BO60" s="14">
        <f t="shared" ref="BO60:BU60" si="86">+BN60</f>
        <v>50682452.659999996</v>
      </c>
      <c r="BP60" s="14">
        <f t="shared" si="86"/>
        <v>50682452.659999996</v>
      </c>
      <c r="BQ60" s="14">
        <f t="shared" si="86"/>
        <v>50682452.659999996</v>
      </c>
      <c r="BR60" s="14">
        <f t="shared" si="86"/>
        <v>50682452.659999996</v>
      </c>
      <c r="BS60" s="14">
        <f t="shared" si="86"/>
        <v>50682452.659999996</v>
      </c>
      <c r="BT60" s="14">
        <f t="shared" si="86"/>
        <v>50682452.659999996</v>
      </c>
      <c r="BU60" s="14">
        <f t="shared" si="86"/>
        <v>50682452.659999996</v>
      </c>
      <c r="BV60" s="14">
        <f>+BU60-BV21</f>
        <v>25682452.659999996</v>
      </c>
      <c r="BW60" s="14">
        <f t="shared" ref="BW60:CH60" si="87">+BV60</f>
        <v>25682452.659999996</v>
      </c>
      <c r="BX60" s="14">
        <f t="shared" si="87"/>
        <v>25682452.659999996</v>
      </c>
      <c r="BY60" s="14">
        <f t="shared" si="87"/>
        <v>25682452.659999996</v>
      </c>
      <c r="BZ60" s="14">
        <f t="shared" si="87"/>
        <v>25682452.659999996</v>
      </c>
      <c r="CA60" s="14">
        <f t="shared" si="87"/>
        <v>25682452.659999996</v>
      </c>
      <c r="CB60" s="14">
        <f t="shared" si="87"/>
        <v>25682452.659999996</v>
      </c>
      <c r="CC60" s="14">
        <f t="shared" si="87"/>
        <v>25682452.659999996</v>
      </c>
      <c r="CD60" s="14">
        <f t="shared" si="87"/>
        <v>25682452.659999996</v>
      </c>
      <c r="CE60" s="14">
        <f t="shared" si="87"/>
        <v>25682452.659999996</v>
      </c>
      <c r="CF60" s="14">
        <f t="shared" si="87"/>
        <v>25682452.659999996</v>
      </c>
      <c r="CG60" s="14">
        <f t="shared" si="87"/>
        <v>25682452.659999996</v>
      </c>
      <c r="CH60" s="14">
        <f t="shared" si="87"/>
        <v>25682452.659999996</v>
      </c>
      <c r="CI60" s="39">
        <f>+CH60+68962.72</f>
        <v>25751415.379999995</v>
      </c>
      <c r="CJ60" s="14">
        <f>+CI60</f>
        <v>25751415.379999995</v>
      </c>
      <c r="CK60" s="14">
        <f>+CJ60</f>
        <v>25751415.379999995</v>
      </c>
      <c r="CL60" s="14">
        <f>+CK60</f>
        <v>25751415.379999995</v>
      </c>
      <c r="CM60" s="14">
        <f>+CL60</f>
        <v>25751415.379999995</v>
      </c>
      <c r="CN60" s="14">
        <f>+CM60</f>
        <v>25751415.379999995</v>
      </c>
      <c r="CO60" s="14">
        <f>+CN60-CO21</f>
        <v>15751415.379999995</v>
      </c>
      <c r="CP60" s="14">
        <f>+CO60</f>
        <v>15751415.379999995</v>
      </c>
      <c r="CQ60" s="14">
        <f>+CP60</f>
        <v>15751415.379999995</v>
      </c>
      <c r="CR60" s="14">
        <f>+CQ60</f>
        <v>15751415.379999995</v>
      </c>
      <c r="CS60" s="14">
        <f>+CR60-CS21</f>
        <v>10751415.379999995</v>
      </c>
      <c r="CT60" s="14">
        <f t="shared" ref="CT60:DC60" si="88">+CS60</f>
        <v>10751415.379999995</v>
      </c>
      <c r="CU60" s="14">
        <f t="shared" si="88"/>
        <v>10751415.379999995</v>
      </c>
      <c r="CV60" s="14">
        <f t="shared" si="88"/>
        <v>10751415.379999995</v>
      </c>
      <c r="CW60" s="14">
        <f t="shared" si="88"/>
        <v>10751415.379999995</v>
      </c>
      <c r="CX60" s="14">
        <f t="shared" si="88"/>
        <v>10751415.379999995</v>
      </c>
      <c r="CY60" s="14">
        <f t="shared" si="88"/>
        <v>10751415.379999995</v>
      </c>
      <c r="CZ60" s="14">
        <f t="shared" si="88"/>
        <v>10751415.379999995</v>
      </c>
      <c r="DA60" s="14">
        <f t="shared" si="88"/>
        <v>10751415.379999995</v>
      </c>
      <c r="DB60" s="14">
        <f t="shared" si="88"/>
        <v>10751415.379999995</v>
      </c>
      <c r="DC60" s="14">
        <f t="shared" si="88"/>
        <v>10751415.379999995</v>
      </c>
      <c r="DD60" s="39">
        <f>+DC60+28565.51</f>
        <v>10779980.889999995</v>
      </c>
      <c r="DE60" s="93">
        <f t="shared" ref="DE60:DL60" si="89">+DD60</f>
        <v>10779980.889999995</v>
      </c>
      <c r="DF60" s="14">
        <f t="shared" si="89"/>
        <v>10779980.889999995</v>
      </c>
      <c r="DG60" s="14">
        <f t="shared" si="89"/>
        <v>10779980.889999995</v>
      </c>
      <c r="DH60" s="14">
        <f t="shared" si="89"/>
        <v>10779980.889999995</v>
      </c>
      <c r="DI60" s="14">
        <f t="shared" si="89"/>
        <v>10779980.889999995</v>
      </c>
      <c r="DJ60" s="14">
        <f t="shared" si="89"/>
        <v>10779980.889999995</v>
      </c>
      <c r="DK60" s="14">
        <f t="shared" si="89"/>
        <v>10779980.889999995</v>
      </c>
      <c r="DL60" s="14">
        <f t="shared" si="89"/>
        <v>10779980.889999995</v>
      </c>
      <c r="DM60" s="14">
        <f>+DL60-DM21</f>
        <v>779980.88999999501</v>
      </c>
      <c r="DN60" s="14">
        <f t="shared" ref="DN60:DY60" si="90">+DM60</f>
        <v>779980.88999999501</v>
      </c>
      <c r="DO60" s="14">
        <f t="shared" si="90"/>
        <v>779980.88999999501</v>
      </c>
      <c r="DP60" s="14">
        <f t="shared" si="90"/>
        <v>779980.88999999501</v>
      </c>
      <c r="DQ60" s="14">
        <f t="shared" si="90"/>
        <v>779980.88999999501</v>
      </c>
      <c r="DR60" s="93">
        <f t="shared" si="90"/>
        <v>779980.88999999501</v>
      </c>
      <c r="DS60" s="14">
        <f t="shared" si="90"/>
        <v>779980.88999999501</v>
      </c>
      <c r="DT60" s="14">
        <f t="shared" si="90"/>
        <v>779980.88999999501</v>
      </c>
      <c r="DU60" s="14">
        <f t="shared" si="90"/>
        <v>779980.88999999501</v>
      </c>
      <c r="DV60" s="14">
        <f t="shared" si="90"/>
        <v>779980.88999999501</v>
      </c>
      <c r="DW60" s="14">
        <f t="shared" si="90"/>
        <v>779980.88999999501</v>
      </c>
      <c r="DX60" s="14">
        <f t="shared" si="90"/>
        <v>779980.88999999501</v>
      </c>
      <c r="DY60" s="14">
        <f t="shared" si="90"/>
        <v>779980.88999999501</v>
      </c>
      <c r="DZ60" s="39">
        <f>+DY60+9628.85</f>
        <v>789609.73999999498</v>
      </c>
      <c r="EA60" s="14">
        <f t="shared" ref="EA60:ET60" si="91">+DZ60</f>
        <v>789609.73999999498</v>
      </c>
      <c r="EB60" s="14">
        <f t="shared" si="91"/>
        <v>789609.73999999498</v>
      </c>
      <c r="EC60" s="14">
        <f t="shared" si="91"/>
        <v>789609.73999999498</v>
      </c>
      <c r="ED60" s="14">
        <f t="shared" si="91"/>
        <v>789609.73999999498</v>
      </c>
      <c r="EE60" s="14">
        <f t="shared" si="91"/>
        <v>789609.73999999498</v>
      </c>
      <c r="EF60" s="14">
        <f t="shared" si="91"/>
        <v>789609.73999999498</v>
      </c>
      <c r="EG60" s="27">
        <f t="shared" si="91"/>
        <v>789609.73999999498</v>
      </c>
      <c r="EH60" s="14">
        <f t="shared" si="91"/>
        <v>789609.73999999498</v>
      </c>
      <c r="EI60" s="14">
        <f t="shared" si="91"/>
        <v>789609.73999999498</v>
      </c>
      <c r="EJ60" s="14">
        <f t="shared" si="91"/>
        <v>789609.73999999498</v>
      </c>
      <c r="EK60" s="80">
        <f t="shared" si="91"/>
        <v>789609.73999999498</v>
      </c>
      <c r="EL60" s="14">
        <f t="shared" si="91"/>
        <v>789609.73999999498</v>
      </c>
      <c r="EM60" s="14">
        <f t="shared" si="91"/>
        <v>789609.73999999498</v>
      </c>
      <c r="EN60" s="14">
        <f t="shared" si="91"/>
        <v>789609.73999999498</v>
      </c>
      <c r="EO60" s="14">
        <f t="shared" si="91"/>
        <v>789609.73999999498</v>
      </c>
      <c r="EP60" s="14">
        <f t="shared" si="91"/>
        <v>789609.73999999498</v>
      </c>
      <c r="EQ60" s="14">
        <f t="shared" si="91"/>
        <v>789609.73999999498</v>
      </c>
      <c r="ER60" s="14">
        <f t="shared" si="91"/>
        <v>789609.73999999498</v>
      </c>
      <c r="ES60" s="14">
        <f t="shared" si="91"/>
        <v>789609.73999999498</v>
      </c>
      <c r="ET60" s="14">
        <f t="shared" si="91"/>
        <v>789609.73999999498</v>
      </c>
      <c r="EU60" s="39">
        <f>+ET60+1597.73</f>
        <v>791207.46999999497</v>
      </c>
      <c r="EV60" s="14">
        <f t="shared" ref="EV60:FO60" si="92">+EU60</f>
        <v>791207.46999999497</v>
      </c>
      <c r="EW60" s="14">
        <f t="shared" si="92"/>
        <v>791207.46999999497</v>
      </c>
      <c r="EX60" s="14">
        <f t="shared" si="92"/>
        <v>791207.46999999497</v>
      </c>
      <c r="EY60" s="14">
        <f t="shared" si="92"/>
        <v>791207.46999999497</v>
      </c>
      <c r="EZ60" s="14">
        <f t="shared" si="92"/>
        <v>791207.46999999497</v>
      </c>
      <c r="FA60" s="14">
        <f t="shared" si="92"/>
        <v>791207.46999999497</v>
      </c>
      <c r="FB60" s="14">
        <f t="shared" si="92"/>
        <v>791207.46999999497</v>
      </c>
      <c r="FC60" s="14">
        <f t="shared" si="92"/>
        <v>791207.46999999497</v>
      </c>
      <c r="FD60" s="14">
        <f t="shared" si="92"/>
        <v>791207.46999999497</v>
      </c>
      <c r="FE60" s="230">
        <f t="shared" si="92"/>
        <v>791207.46999999497</v>
      </c>
      <c r="FF60" s="14">
        <f t="shared" si="92"/>
        <v>791207.46999999497</v>
      </c>
      <c r="FG60" s="14">
        <f t="shared" si="92"/>
        <v>791207.46999999497</v>
      </c>
      <c r="FH60" s="14">
        <f t="shared" si="92"/>
        <v>791207.46999999497</v>
      </c>
      <c r="FI60" s="230">
        <f t="shared" si="92"/>
        <v>791207.46999999497</v>
      </c>
      <c r="FJ60" s="14">
        <f t="shared" si="92"/>
        <v>791207.46999999497</v>
      </c>
      <c r="FK60" s="14">
        <f t="shared" si="92"/>
        <v>791207.46999999497</v>
      </c>
      <c r="FL60" s="80">
        <f t="shared" si="92"/>
        <v>791207.46999999497</v>
      </c>
      <c r="FM60" s="14">
        <f t="shared" si="92"/>
        <v>791207.46999999497</v>
      </c>
      <c r="FN60" s="14">
        <f t="shared" si="92"/>
        <v>791207.46999999497</v>
      </c>
      <c r="FO60" s="14">
        <f t="shared" si="92"/>
        <v>791207.46999999497</v>
      </c>
      <c r="FP60" s="39">
        <f>+FO60+1540.88</f>
        <v>792748.34999999497</v>
      </c>
      <c r="FQ60" s="14">
        <f t="shared" ref="FQ60:GK60" si="93">+FP60</f>
        <v>792748.34999999497</v>
      </c>
      <c r="FR60" s="14">
        <f t="shared" si="93"/>
        <v>792748.34999999497</v>
      </c>
      <c r="FS60" s="14">
        <f t="shared" si="93"/>
        <v>792748.34999999497</v>
      </c>
      <c r="FT60" s="14">
        <f t="shared" si="93"/>
        <v>792748.34999999497</v>
      </c>
      <c r="FU60" s="14">
        <f t="shared" si="93"/>
        <v>792748.34999999497</v>
      </c>
      <c r="FV60" s="14">
        <f t="shared" si="93"/>
        <v>792748.34999999497</v>
      </c>
      <c r="FW60" s="14">
        <f t="shared" si="93"/>
        <v>792748.34999999497</v>
      </c>
      <c r="FX60" s="14">
        <f t="shared" si="93"/>
        <v>792748.34999999497</v>
      </c>
      <c r="FY60" s="14">
        <f t="shared" si="93"/>
        <v>792748.34999999497</v>
      </c>
      <c r="FZ60" s="230">
        <f t="shared" si="93"/>
        <v>792748.34999999497</v>
      </c>
      <c r="GA60" s="14">
        <f t="shared" si="93"/>
        <v>792748.34999999497</v>
      </c>
      <c r="GB60" s="14">
        <f t="shared" si="93"/>
        <v>792748.34999999497</v>
      </c>
      <c r="GC60" s="14">
        <f t="shared" si="93"/>
        <v>792748.34999999497</v>
      </c>
      <c r="GD60" s="14">
        <f t="shared" si="93"/>
        <v>792748.34999999497</v>
      </c>
      <c r="GE60" s="14">
        <f t="shared" si="93"/>
        <v>792748.34999999497</v>
      </c>
      <c r="GF60" s="14">
        <f t="shared" si="93"/>
        <v>792748.34999999497</v>
      </c>
      <c r="GG60" s="14">
        <f t="shared" si="93"/>
        <v>792748.34999999497</v>
      </c>
      <c r="GH60" s="14">
        <f t="shared" si="93"/>
        <v>792748.34999999497</v>
      </c>
      <c r="GI60" s="14">
        <f t="shared" si="93"/>
        <v>792748.34999999497</v>
      </c>
      <c r="GJ60" s="14">
        <f t="shared" si="93"/>
        <v>792748.34999999497</v>
      </c>
      <c r="GK60" s="14">
        <f t="shared" si="93"/>
        <v>792748.34999999497</v>
      </c>
      <c r="GL60" s="39">
        <f>+GK60+1780.5</f>
        <v>794528.84999999497</v>
      </c>
      <c r="GM60" s="14">
        <f t="shared" ref="GM60:HC60" si="94">+GL60</f>
        <v>794528.84999999497</v>
      </c>
      <c r="GN60" s="14">
        <f t="shared" si="94"/>
        <v>794528.84999999497</v>
      </c>
      <c r="GO60" s="14">
        <f t="shared" si="94"/>
        <v>794528.84999999497</v>
      </c>
      <c r="GP60" s="14">
        <f t="shared" si="94"/>
        <v>794528.84999999497</v>
      </c>
      <c r="GQ60" s="14">
        <f t="shared" si="94"/>
        <v>794528.84999999497</v>
      </c>
      <c r="GR60" s="14">
        <f t="shared" si="94"/>
        <v>794528.84999999497</v>
      </c>
      <c r="GS60" s="14">
        <f t="shared" si="94"/>
        <v>794528.84999999497</v>
      </c>
      <c r="GT60" s="14">
        <f t="shared" si="94"/>
        <v>794528.84999999497</v>
      </c>
      <c r="GU60" s="243">
        <f t="shared" si="94"/>
        <v>794528.84999999497</v>
      </c>
      <c r="GV60" s="14">
        <f t="shared" si="94"/>
        <v>794528.84999999497</v>
      </c>
      <c r="GW60" s="14">
        <f t="shared" si="94"/>
        <v>794528.84999999497</v>
      </c>
      <c r="GX60" s="14">
        <f t="shared" si="94"/>
        <v>794528.84999999497</v>
      </c>
      <c r="GY60" s="14">
        <f t="shared" si="94"/>
        <v>794528.84999999497</v>
      </c>
      <c r="GZ60" s="14">
        <f t="shared" si="94"/>
        <v>794528.84999999497</v>
      </c>
      <c r="HA60" s="14">
        <f t="shared" si="94"/>
        <v>794528.84999999497</v>
      </c>
      <c r="HB60" s="14">
        <f t="shared" si="94"/>
        <v>794528.84999999497</v>
      </c>
      <c r="HC60" s="14">
        <f t="shared" si="94"/>
        <v>794528.84999999497</v>
      </c>
      <c r="HD60" s="39">
        <f>+HC60+1386.8</f>
        <v>795915.64999999502</v>
      </c>
      <c r="HE60" s="14">
        <f t="shared" ref="HE60:HY60" si="95">+HD60</f>
        <v>795915.64999999502</v>
      </c>
      <c r="HF60" s="14">
        <f t="shared" si="95"/>
        <v>795915.64999999502</v>
      </c>
      <c r="HG60" s="14">
        <f t="shared" si="95"/>
        <v>795915.64999999502</v>
      </c>
      <c r="HH60" s="14">
        <f t="shared" si="95"/>
        <v>795915.64999999502</v>
      </c>
      <c r="HI60" s="14">
        <f t="shared" si="95"/>
        <v>795915.64999999502</v>
      </c>
      <c r="HJ60" s="14">
        <f t="shared" si="95"/>
        <v>795915.64999999502</v>
      </c>
      <c r="HK60" s="14">
        <f t="shared" si="95"/>
        <v>795915.64999999502</v>
      </c>
      <c r="HL60" s="14">
        <f t="shared" si="95"/>
        <v>795915.64999999502</v>
      </c>
      <c r="HM60" s="14">
        <f t="shared" si="95"/>
        <v>795915.64999999502</v>
      </c>
      <c r="HN60" s="136">
        <f t="shared" si="95"/>
        <v>795915.64999999502</v>
      </c>
      <c r="HO60" s="80">
        <f t="shared" si="95"/>
        <v>795915.64999999502</v>
      </c>
      <c r="HP60" s="14">
        <f t="shared" si="95"/>
        <v>795915.64999999502</v>
      </c>
      <c r="HQ60" s="14">
        <f t="shared" si="95"/>
        <v>795915.64999999502</v>
      </c>
      <c r="HR60" s="14">
        <f t="shared" si="95"/>
        <v>795915.64999999502</v>
      </c>
      <c r="HS60" s="14">
        <f t="shared" si="95"/>
        <v>795915.64999999502</v>
      </c>
      <c r="HT60" s="14">
        <f t="shared" si="95"/>
        <v>795915.64999999502</v>
      </c>
      <c r="HU60" s="14">
        <f t="shared" si="95"/>
        <v>795915.64999999502</v>
      </c>
      <c r="HV60" s="14">
        <f t="shared" si="95"/>
        <v>795915.64999999502</v>
      </c>
      <c r="HW60" s="14">
        <f t="shared" si="95"/>
        <v>795915.64999999502</v>
      </c>
      <c r="HX60" s="14">
        <f t="shared" si="95"/>
        <v>795915.64999999502</v>
      </c>
      <c r="HY60" s="14">
        <f t="shared" si="95"/>
        <v>795915.64999999502</v>
      </c>
      <c r="HZ60" s="39">
        <f>+HY60+1208.05</f>
        <v>797123.69999999506</v>
      </c>
      <c r="IA60" s="14">
        <f t="shared" ref="IA60:IF60" si="96">+HZ60</f>
        <v>797123.69999999506</v>
      </c>
      <c r="IB60" s="14">
        <f t="shared" si="96"/>
        <v>797123.69999999506</v>
      </c>
      <c r="IC60" s="14">
        <f t="shared" si="96"/>
        <v>797123.69999999506</v>
      </c>
      <c r="ID60" s="14">
        <f t="shared" si="96"/>
        <v>797123.69999999506</v>
      </c>
      <c r="IE60" s="14">
        <f t="shared" si="96"/>
        <v>797123.69999999506</v>
      </c>
      <c r="IF60" s="14">
        <f t="shared" si="96"/>
        <v>797123.69999999506</v>
      </c>
      <c r="IG60" s="14">
        <f>+IF60+25000000</f>
        <v>25797123.699999996</v>
      </c>
      <c r="IH60" s="112">
        <f>+IG60</f>
        <v>25797123.699999996</v>
      </c>
      <c r="II60" s="14">
        <f>+IH60</f>
        <v>25797123.699999996</v>
      </c>
      <c r="IJ60" s="14">
        <f>+II60</f>
        <v>25797123.699999996</v>
      </c>
      <c r="IK60" s="14">
        <f>+IJ60</f>
        <v>25797123.699999996</v>
      </c>
      <c r="IL60" s="14">
        <f>+IK60+15000000</f>
        <v>40797123.699999996</v>
      </c>
      <c r="IM60" s="14">
        <f t="shared" ref="IM60:IT60" si="97">+IL60</f>
        <v>40797123.699999996</v>
      </c>
      <c r="IN60" s="14">
        <f t="shared" si="97"/>
        <v>40797123.699999996</v>
      </c>
      <c r="IO60" s="14">
        <f t="shared" si="97"/>
        <v>40797123.699999996</v>
      </c>
      <c r="IP60" s="14">
        <f t="shared" si="97"/>
        <v>40797123.699999996</v>
      </c>
      <c r="IQ60" s="14">
        <f t="shared" si="97"/>
        <v>40797123.699999996</v>
      </c>
      <c r="IR60" s="14">
        <f t="shared" si="97"/>
        <v>40797123.699999996</v>
      </c>
      <c r="IS60" s="14">
        <f t="shared" si="97"/>
        <v>40797123.699999996</v>
      </c>
      <c r="IT60" s="39">
        <f t="shared" si="97"/>
        <v>40797123.699999996</v>
      </c>
      <c r="IU60" s="14"/>
    </row>
    <row r="61" spans="1:256" s="8" customFormat="1" ht="14.1" customHeight="1">
      <c r="A61" s="14" t="s">
        <v>20</v>
      </c>
      <c r="B61" s="22"/>
      <c r="C61" s="41">
        <v>30380.63</v>
      </c>
      <c r="D61" s="23">
        <f>C61-D25</f>
        <v>30380.63</v>
      </c>
      <c r="E61" s="23">
        <f>D61-E25</f>
        <v>30380.63</v>
      </c>
      <c r="F61" s="23">
        <f>E61-F25</f>
        <v>30380.63</v>
      </c>
      <c r="G61" s="23">
        <f>F61-G25</f>
        <v>30380.63</v>
      </c>
      <c r="H61" s="23">
        <f>G61-H25+50000000+50000000</f>
        <v>50030380.630000003</v>
      </c>
      <c r="I61" s="23">
        <f t="shared" ref="I61:V61" si="98">H61-I25</f>
        <v>50030380.630000003</v>
      </c>
      <c r="J61" s="23">
        <f t="shared" si="98"/>
        <v>50030380.630000003</v>
      </c>
      <c r="K61" s="23">
        <f t="shared" si="98"/>
        <v>50030380.630000003</v>
      </c>
      <c r="L61" s="23">
        <f t="shared" si="98"/>
        <v>50030380.630000003</v>
      </c>
      <c r="M61" s="23">
        <f t="shared" si="98"/>
        <v>50030380.630000003</v>
      </c>
      <c r="N61" s="231">
        <f t="shared" si="98"/>
        <v>50030380.630000003</v>
      </c>
      <c r="O61" s="23">
        <f t="shared" si="98"/>
        <v>50030380.630000003</v>
      </c>
      <c r="P61" s="23">
        <f t="shared" si="98"/>
        <v>50030380.630000003</v>
      </c>
      <c r="Q61" s="23">
        <f t="shared" si="98"/>
        <v>50030380.630000003</v>
      </c>
      <c r="R61" s="23">
        <f t="shared" si="98"/>
        <v>50030380.630000003</v>
      </c>
      <c r="S61" s="23">
        <f t="shared" si="98"/>
        <v>50030380.630000003</v>
      </c>
      <c r="T61" s="23">
        <f t="shared" si="98"/>
        <v>50030380.630000003</v>
      </c>
      <c r="U61" s="23">
        <f t="shared" si="98"/>
        <v>50030380.630000003</v>
      </c>
      <c r="V61" s="23">
        <f t="shared" si="98"/>
        <v>50030380.630000003</v>
      </c>
      <c r="W61" s="41">
        <f>V61-W25+109339.13</f>
        <v>50139719.760000005</v>
      </c>
      <c r="X61" s="23">
        <f t="shared" ref="X61:AQ61" si="99">W61-X25</f>
        <v>50139719.760000005</v>
      </c>
      <c r="Y61" s="23">
        <f t="shared" si="99"/>
        <v>50139719.760000005</v>
      </c>
      <c r="Z61" s="23">
        <f t="shared" si="99"/>
        <v>50139719.760000005</v>
      </c>
      <c r="AA61" s="23">
        <f t="shared" si="99"/>
        <v>50139719.760000005</v>
      </c>
      <c r="AB61" s="23">
        <f t="shared" si="99"/>
        <v>50139719.760000005</v>
      </c>
      <c r="AC61" s="23">
        <f t="shared" si="99"/>
        <v>50139719.760000005</v>
      </c>
      <c r="AD61" s="23">
        <f t="shared" si="99"/>
        <v>50139719.760000005</v>
      </c>
      <c r="AE61" s="23">
        <f t="shared" si="99"/>
        <v>50139719.760000005</v>
      </c>
      <c r="AF61" s="231">
        <f t="shared" si="99"/>
        <v>50139719.760000005</v>
      </c>
      <c r="AG61" s="23">
        <f t="shared" si="99"/>
        <v>50139719.760000005</v>
      </c>
      <c r="AH61" s="23">
        <f t="shared" si="99"/>
        <v>50139719.760000005</v>
      </c>
      <c r="AI61" s="23">
        <f t="shared" si="99"/>
        <v>50139719.760000005</v>
      </c>
      <c r="AJ61" s="23">
        <f t="shared" si="99"/>
        <v>50139719.760000005</v>
      </c>
      <c r="AK61" s="23">
        <f t="shared" si="99"/>
        <v>50139719.760000005</v>
      </c>
      <c r="AL61" s="23">
        <f t="shared" si="99"/>
        <v>50139719.760000005</v>
      </c>
      <c r="AM61" s="23">
        <f t="shared" si="99"/>
        <v>50139719.760000005</v>
      </c>
      <c r="AN61" s="23">
        <f t="shared" si="99"/>
        <v>50139719.760000005</v>
      </c>
      <c r="AO61" s="23">
        <f t="shared" si="99"/>
        <v>50139719.760000005</v>
      </c>
      <c r="AP61" s="23">
        <f t="shared" si="99"/>
        <v>50139719.760000005</v>
      </c>
      <c r="AQ61" s="23">
        <f t="shared" si="99"/>
        <v>50139719.760000005</v>
      </c>
      <c r="AR61" s="41">
        <f>AQ61-AR25+132757.7</f>
        <v>50272477.460000008</v>
      </c>
      <c r="AS61" s="23">
        <f t="shared" ref="AS61:BM61" si="100">AR61-AS25</f>
        <v>50272477.460000008</v>
      </c>
      <c r="AT61" s="23">
        <f t="shared" si="100"/>
        <v>50272477.460000008</v>
      </c>
      <c r="AU61" s="23">
        <f t="shared" si="100"/>
        <v>50272477.460000008</v>
      </c>
      <c r="AV61" s="231">
        <f t="shared" si="100"/>
        <v>50272477.460000008</v>
      </c>
      <c r="AW61" s="23">
        <f t="shared" si="100"/>
        <v>50272477.460000008</v>
      </c>
      <c r="AX61" s="23">
        <f t="shared" si="100"/>
        <v>50272477.460000008</v>
      </c>
      <c r="AY61" s="23">
        <f t="shared" si="100"/>
        <v>50272477.460000008</v>
      </c>
      <c r="AZ61" s="23">
        <f t="shared" si="100"/>
        <v>50272477.460000008</v>
      </c>
      <c r="BA61" s="23">
        <f t="shared" si="100"/>
        <v>50272477.460000008</v>
      </c>
      <c r="BB61" s="23">
        <f t="shared" si="100"/>
        <v>50272477.460000008</v>
      </c>
      <c r="BC61" s="23">
        <f t="shared" si="100"/>
        <v>50272477.460000008</v>
      </c>
      <c r="BD61" s="23">
        <f t="shared" si="100"/>
        <v>50272477.460000008</v>
      </c>
      <c r="BE61" s="23">
        <f t="shared" si="100"/>
        <v>50272477.460000008</v>
      </c>
      <c r="BF61" s="23">
        <f t="shared" si="100"/>
        <v>50272477.460000008</v>
      </c>
      <c r="BG61" s="23">
        <f t="shared" si="100"/>
        <v>50272477.460000008</v>
      </c>
      <c r="BH61" s="23">
        <f t="shared" si="100"/>
        <v>50272477.460000008</v>
      </c>
      <c r="BI61" s="23">
        <f t="shared" si="100"/>
        <v>50272477.460000008</v>
      </c>
      <c r="BJ61" s="23">
        <f t="shared" si="100"/>
        <v>50272477.460000008</v>
      </c>
      <c r="BK61" s="23">
        <f t="shared" si="100"/>
        <v>50272477.460000008</v>
      </c>
      <c r="BL61" s="23">
        <f t="shared" si="100"/>
        <v>50272477.460000008</v>
      </c>
      <c r="BM61" s="23">
        <f t="shared" si="100"/>
        <v>50272477.460000008</v>
      </c>
      <c r="BN61" s="41">
        <f>BM61-BN25+106957.05</f>
        <v>50379434.510000005</v>
      </c>
      <c r="BO61" s="23">
        <f t="shared" ref="BO61:CH61" si="101">BN61-BO25</f>
        <v>50379434.510000005</v>
      </c>
      <c r="BP61" s="23">
        <f t="shared" si="101"/>
        <v>50379434.510000005</v>
      </c>
      <c r="BQ61" s="23">
        <f t="shared" si="101"/>
        <v>50379434.510000005</v>
      </c>
      <c r="BR61" s="23">
        <f t="shared" si="101"/>
        <v>50379434.510000005</v>
      </c>
      <c r="BS61" s="23">
        <f t="shared" si="101"/>
        <v>50379434.510000005</v>
      </c>
      <c r="BT61" s="23">
        <f t="shared" si="101"/>
        <v>50379434.510000005</v>
      </c>
      <c r="BU61" s="23">
        <f t="shared" si="101"/>
        <v>50379434.510000005</v>
      </c>
      <c r="BV61" s="23">
        <f t="shared" si="101"/>
        <v>35379434.510000005</v>
      </c>
      <c r="BW61" s="23">
        <f t="shared" si="101"/>
        <v>35379434.510000005</v>
      </c>
      <c r="BX61" s="23">
        <f t="shared" si="101"/>
        <v>35379434.510000005</v>
      </c>
      <c r="BY61" s="23">
        <f t="shared" si="101"/>
        <v>35379434.510000005</v>
      </c>
      <c r="BZ61" s="23">
        <f t="shared" si="101"/>
        <v>35379434.510000005</v>
      </c>
      <c r="CA61" s="23">
        <f t="shared" si="101"/>
        <v>35379434.510000005</v>
      </c>
      <c r="CB61" s="23">
        <f t="shared" si="101"/>
        <v>35379434.510000005</v>
      </c>
      <c r="CC61" s="23">
        <f t="shared" si="101"/>
        <v>35379434.510000005</v>
      </c>
      <c r="CD61" s="23">
        <f t="shared" si="101"/>
        <v>35379434.510000005</v>
      </c>
      <c r="CE61" s="23">
        <f t="shared" si="101"/>
        <v>35379434.510000005</v>
      </c>
      <c r="CF61" s="23">
        <f t="shared" si="101"/>
        <v>35379434.510000005</v>
      </c>
      <c r="CG61" s="23">
        <f t="shared" si="101"/>
        <v>35379434.510000005</v>
      </c>
      <c r="CH61" s="23">
        <f t="shared" si="101"/>
        <v>35379434.510000005</v>
      </c>
      <c r="CI61" s="41">
        <f>CH61-CI25+82838.42</f>
        <v>35462272.930000007</v>
      </c>
      <c r="CJ61" s="23">
        <f t="shared" ref="CJ61:DC61" si="102">CI61-CJ25</f>
        <v>35462272.930000007</v>
      </c>
      <c r="CK61" s="23">
        <f t="shared" si="102"/>
        <v>35462272.930000007</v>
      </c>
      <c r="CL61" s="23">
        <f t="shared" si="102"/>
        <v>35462272.930000007</v>
      </c>
      <c r="CM61" s="23">
        <f t="shared" si="102"/>
        <v>35462272.930000007</v>
      </c>
      <c r="CN61" s="23">
        <f t="shared" si="102"/>
        <v>25462272.930000007</v>
      </c>
      <c r="CO61" s="23">
        <f t="shared" si="102"/>
        <v>25462272.930000007</v>
      </c>
      <c r="CP61" s="23">
        <f t="shared" si="102"/>
        <v>25462272.930000007</v>
      </c>
      <c r="CQ61" s="23">
        <f t="shared" si="102"/>
        <v>25462272.930000007</v>
      </c>
      <c r="CR61" s="23">
        <f t="shared" si="102"/>
        <v>25462272.930000007</v>
      </c>
      <c r="CS61" s="23">
        <f t="shared" si="102"/>
        <v>20462272.930000007</v>
      </c>
      <c r="CT61" s="23">
        <f t="shared" si="102"/>
        <v>20462272.930000007</v>
      </c>
      <c r="CU61" s="23">
        <f t="shared" si="102"/>
        <v>20462272.930000007</v>
      </c>
      <c r="CV61" s="23">
        <f t="shared" si="102"/>
        <v>20462272.930000007</v>
      </c>
      <c r="CW61" s="23">
        <f t="shared" si="102"/>
        <v>20462272.930000007</v>
      </c>
      <c r="CX61" s="23">
        <f t="shared" si="102"/>
        <v>20462272.930000007</v>
      </c>
      <c r="CY61" s="23">
        <f t="shared" si="102"/>
        <v>20462272.930000007</v>
      </c>
      <c r="CZ61" s="23">
        <f t="shared" si="102"/>
        <v>20462272.930000007</v>
      </c>
      <c r="DA61" s="23">
        <f t="shared" si="102"/>
        <v>20462272.930000007</v>
      </c>
      <c r="DB61" s="23">
        <f t="shared" si="102"/>
        <v>20462272.930000007</v>
      </c>
      <c r="DC61" s="23">
        <f t="shared" si="102"/>
        <v>20462272.930000007</v>
      </c>
      <c r="DD61" s="41">
        <f>DC61-DD25+46861.45</f>
        <v>20509134.380000006</v>
      </c>
      <c r="DE61" s="94">
        <f t="shared" ref="DE61:DY61" si="103">DD61-DE25</f>
        <v>20509134.380000006</v>
      </c>
      <c r="DF61" s="23">
        <f t="shared" si="103"/>
        <v>20509134.380000006</v>
      </c>
      <c r="DG61" s="23">
        <f t="shared" si="103"/>
        <v>20509134.380000006</v>
      </c>
      <c r="DH61" s="23">
        <f t="shared" si="103"/>
        <v>20509134.380000006</v>
      </c>
      <c r="DI61" s="23">
        <f t="shared" si="103"/>
        <v>20509134.380000006</v>
      </c>
      <c r="DJ61" s="23">
        <f t="shared" si="103"/>
        <v>20509134.380000006</v>
      </c>
      <c r="DK61" s="23">
        <f t="shared" si="103"/>
        <v>20509134.380000006</v>
      </c>
      <c r="DL61" s="23">
        <f t="shared" si="103"/>
        <v>20509134.380000006</v>
      </c>
      <c r="DM61" s="23">
        <f t="shared" si="103"/>
        <v>10509134.380000006</v>
      </c>
      <c r="DN61" s="23">
        <f t="shared" si="103"/>
        <v>10509134.380000006</v>
      </c>
      <c r="DO61" s="23">
        <f t="shared" si="103"/>
        <v>509134.38000000641</v>
      </c>
      <c r="DP61" s="23">
        <f t="shared" si="103"/>
        <v>509134.38000000641</v>
      </c>
      <c r="DQ61" s="23">
        <f t="shared" si="103"/>
        <v>509134.38000000641</v>
      </c>
      <c r="DR61" s="94">
        <f t="shared" si="103"/>
        <v>509134.38000000641</v>
      </c>
      <c r="DS61" s="23">
        <f t="shared" si="103"/>
        <v>509134.38000000641</v>
      </c>
      <c r="DT61" s="23">
        <f t="shared" si="103"/>
        <v>509134.38000000641</v>
      </c>
      <c r="DU61" s="23">
        <f t="shared" si="103"/>
        <v>509134.38000000641</v>
      </c>
      <c r="DV61" s="23">
        <f t="shared" si="103"/>
        <v>509134.38000000641</v>
      </c>
      <c r="DW61" s="23">
        <f t="shared" si="103"/>
        <v>509134.38000000641</v>
      </c>
      <c r="DX61" s="23">
        <f t="shared" si="103"/>
        <v>509134.38000000641</v>
      </c>
      <c r="DY61" s="23">
        <f t="shared" si="103"/>
        <v>509134.38000000641</v>
      </c>
      <c r="DZ61" s="41">
        <f>DY61-DZ25+19445.57</f>
        <v>528579.95000000636</v>
      </c>
      <c r="EA61" s="23">
        <f t="shared" ref="EA61:ET61" si="104">DZ61-EA25</f>
        <v>528579.95000000636</v>
      </c>
      <c r="EB61" s="23">
        <f t="shared" si="104"/>
        <v>528579.95000000636</v>
      </c>
      <c r="EC61" s="23">
        <f t="shared" si="104"/>
        <v>528579.95000000636</v>
      </c>
      <c r="ED61" s="23">
        <f t="shared" si="104"/>
        <v>528579.95000000636</v>
      </c>
      <c r="EE61" s="23">
        <f t="shared" si="104"/>
        <v>528579.95000000636</v>
      </c>
      <c r="EF61" s="23">
        <f t="shared" si="104"/>
        <v>528579.95000000636</v>
      </c>
      <c r="EG61" s="28">
        <f t="shared" si="104"/>
        <v>528579.95000000636</v>
      </c>
      <c r="EH61" s="23">
        <f t="shared" si="104"/>
        <v>528579.95000000636</v>
      </c>
      <c r="EI61" s="23">
        <f t="shared" si="104"/>
        <v>528579.95000000636</v>
      </c>
      <c r="EJ61" s="23">
        <f t="shared" si="104"/>
        <v>528579.95000000636</v>
      </c>
      <c r="EK61" s="81">
        <f t="shared" si="104"/>
        <v>528579.95000000636</v>
      </c>
      <c r="EL61" s="23">
        <f t="shared" si="104"/>
        <v>528579.95000000636</v>
      </c>
      <c r="EM61" s="23">
        <f t="shared" si="104"/>
        <v>528579.95000000636</v>
      </c>
      <c r="EN61" s="23">
        <f t="shared" si="104"/>
        <v>528579.95000000636</v>
      </c>
      <c r="EO61" s="23">
        <f t="shared" si="104"/>
        <v>528579.95000000636</v>
      </c>
      <c r="EP61" s="23">
        <f t="shared" si="104"/>
        <v>528579.95000000636</v>
      </c>
      <c r="EQ61" s="23">
        <f t="shared" si="104"/>
        <v>528579.95000000636</v>
      </c>
      <c r="ER61" s="23">
        <f t="shared" si="104"/>
        <v>528579.95000000636</v>
      </c>
      <c r="ES61" s="23">
        <f t="shared" si="104"/>
        <v>528579.95000000636</v>
      </c>
      <c r="ET61" s="23">
        <f t="shared" si="104"/>
        <v>528579.95000000636</v>
      </c>
      <c r="EU61" s="41">
        <f>ET61-EU25+1077.97</f>
        <v>529657.92000000633</v>
      </c>
      <c r="EV61" s="23">
        <f t="shared" ref="EV61:FE61" si="105">EU61-EV25</f>
        <v>529657.92000000633</v>
      </c>
      <c r="EW61" s="23">
        <f t="shared" si="105"/>
        <v>529657.92000000633</v>
      </c>
      <c r="EX61" s="23">
        <f t="shared" si="105"/>
        <v>529657.92000000633</v>
      </c>
      <c r="EY61" s="23">
        <f t="shared" si="105"/>
        <v>529657.92000000633</v>
      </c>
      <c r="EZ61" s="23">
        <f t="shared" si="105"/>
        <v>529657.92000000633</v>
      </c>
      <c r="FA61" s="23">
        <f t="shared" si="105"/>
        <v>529657.92000000633</v>
      </c>
      <c r="FB61" s="23">
        <f t="shared" si="105"/>
        <v>529657.92000000633</v>
      </c>
      <c r="FC61" s="23">
        <f t="shared" si="105"/>
        <v>529657.92000000633</v>
      </c>
      <c r="FD61" s="23">
        <f t="shared" si="105"/>
        <v>529657.92000000633</v>
      </c>
      <c r="FE61" s="231">
        <f t="shared" si="105"/>
        <v>529657.92000000633</v>
      </c>
      <c r="FF61" s="23">
        <f>FE61-FF25+686.05-3983.51</f>
        <v>526360.46000000637</v>
      </c>
      <c r="FG61" s="23">
        <f t="shared" ref="FG61:FO61" si="106">FF61-FG25</f>
        <v>526360.46000000637</v>
      </c>
      <c r="FH61" s="23">
        <f t="shared" si="106"/>
        <v>526360.46000000637</v>
      </c>
      <c r="FI61" s="231">
        <f t="shared" si="106"/>
        <v>526360.46000000637</v>
      </c>
      <c r="FJ61" s="23">
        <f t="shared" si="106"/>
        <v>526360.46000000637</v>
      </c>
      <c r="FK61" s="23">
        <f t="shared" si="106"/>
        <v>526360.46000000637</v>
      </c>
      <c r="FL61" s="81">
        <f t="shared" si="106"/>
        <v>526360.46000000637</v>
      </c>
      <c r="FM61" s="23">
        <f t="shared" si="106"/>
        <v>526360.46000000637</v>
      </c>
      <c r="FN61" s="23">
        <f t="shared" si="106"/>
        <v>526360.46000000637</v>
      </c>
      <c r="FO61" s="23">
        <f t="shared" si="106"/>
        <v>526360.46000000637</v>
      </c>
      <c r="FP61" s="41">
        <f>FO61-FP25+1036</f>
        <v>527396.46000000637</v>
      </c>
      <c r="FQ61" s="23">
        <f>FP61-FQ25</f>
        <v>527396.46000000637</v>
      </c>
      <c r="FR61" s="23">
        <f>FQ61-FR25</f>
        <v>527396.46000000637</v>
      </c>
      <c r="FS61" s="23">
        <f>FR61-FS25</f>
        <v>527396.46000000637</v>
      </c>
      <c r="FT61" s="23">
        <f>FS61-FT25</f>
        <v>527396.46000000637</v>
      </c>
      <c r="FU61" s="23">
        <f>FT61-FU25-686.05+3983.51</f>
        <v>530693.92000000633</v>
      </c>
      <c r="FV61" s="23">
        <f t="shared" ref="FV61:GK61" si="107">FU61-FV25</f>
        <v>530693.92000000633</v>
      </c>
      <c r="FW61" s="23">
        <f t="shared" si="107"/>
        <v>530693.92000000633</v>
      </c>
      <c r="FX61" s="23">
        <f t="shared" si="107"/>
        <v>530693.92000000633</v>
      </c>
      <c r="FY61" s="23">
        <f t="shared" si="107"/>
        <v>530693.92000000633</v>
      </c>
      <c r="FZ61" s="231">
        <f t="shared" si="107"/>
        <v>530693.92000000633</v>
      </c>
      <c r="GA61" s="23">
        <f t="shared" si="107"/>
        <v>530693.92000000633</v>
      </c>
      <c r="GB61" s="23">
        <f t="shared" si="107"/>
        <v>530693.92000000633</v>
      </c>
      <c r="GC61" s="23">
        <f t="shared" si="107"/>
        <v>530693.92000000633</v>
      </c>
      <c r="GD61" s="23">
        <f t="shared" si="107"/>
        <v>530693.92000000633</v>
      </c>
      <c r="GE61" s="23">
        <f t="shared" si="107"/>
        <v>530693.92000000633</v>
      </c>
      <c r="GF61" s="23">
        <f t="shared" si="107"/>
        <v>530693.92000000633</v>
      </c>
      <c r="GG61" s="23">
        <f t="shared" si="107"/>
        <v>530693.92000000633</v>
      </c>
      <c r="GH61" s="23">
        <f t="shared" si="107"/>
        <v>530693.92000000633</v>
      </c>
      <c r="GI61" s="23">
        <f t="shared" si="107"/>
        <v>530693.92000000633</v>
      </c>
      <c r="GJ61" s="23">
        <f t="shared" si="107"/>
        <v>530693.92000000633</v>
      </c>
      <c r="GK61" s="23">
        <f t="shared" si="107"/>
        <v>530693.92000000633</v>
      </c>
      <c r="GL61" s="41">
        <f>GK61-GL25+918.65</f>
        <v>531612.57000000635</v>
      </c>
      <c r="GM61" s="23">
        <f t="shared" ref="GM61:HC61" si="108">GL61-GM25</f>
        <v>531612.57000000635</v>
      </c>
      <c r="GN61" s="23">
        <f t="shared" si="108"/>
        <v>531612.57000000635</v>
      </c>
      <c r="GO61" s="23">
        <f t="shared" si="108"/>
        <v>531612.57000000635</v>
      </c>
      <c r="GP61" s="23">
        <f t="shared" si="108"/>
        <v>531612.57000000635</v>
      </c>
      <c r="GQ61" s="23">
        <f t="shared" si="108"/>
        <v>531612.57000000635</v>
      </c>
      <c r="GR61" s="23">
        <f t="shared" si="108"/>
        <v>531612.57000000635</v>
      </c>
      <c r="GS61" s="23">
        <f t="shared" si="108"/>
        <v>531612.57000000635</v>
      </c>
      <c r="GT61" s="23">
        <f t="shared" si="108"/>
        <v>531612.57000000635</v>
      </c>
      <c r="GU61" s="244">
        <f t="shared" si="108"/>
        <v>531612.57000000635</v>
      </c>
      <c r="GV61" s="23">
        <f t="shared" si="108"/>
        <v>531612.57000000635</v>
      </c>
      <c r="GW61" s="23">
        <f t="shared" si="108"/>
        <v>531612.57000000635</v>
      </c>
      <c r="GX61" s="23">
        <f t="shared" si="108"/>
        <v>531612.57000000635</v>
      </c>
      <c r="GY61" s="23">
        <f t="shared" si="108"/>
        <v>531612.57000000635</v>
      </c>
      <c r="GZ61" s="23">
        <f t="shared" si="108"/>
        <v>531612.57000000635</v>
      </c>
      <c r="HA61" s="23">
        <f t="shared" si="108"/>
        <v>531612.57000000635</v>
      </c>
      <c r="HB61" s="23">
        <f t="shared" si="108"/>
        <v>531612.57000000635</v>
      </c>
      <c r="HC61" s="23">
        <f t="shared" si="108"/>
        <v>531612.57000000635</v>
      </c>
      <c r="HD61" s="41">
        <f>HC61-HD25+739.44</f>
        <v>532352.0100000063</v>
      </c>
      <c r="HE61" s="23">
        <f t="shared" ref="HE61:HY61" si="109">HD61-HE25</f>
        <v>532352.0100000063</v>
      </c>
      <c r="HF61" s="23">
        <f t="shared" si="109"/>
        <v>532352.0100000063</v>
      </c>
      <c r="HG61" s="23">
        <f t="shared" si="109"/>
        <v>532352.0100000063</v>
      </c>
      <c r="HH61" s="23">
        <f t="shared" si="109"/>
        <v>532352.0100000063</v>
      </c>
      <c r="HI61" s="23">
        <f t="shared" si="109"/>
        <v>532352.0100000063</v>
      </c>
      <c r="HJ61" s="23">
        <f t="shared" si="109"/>
        <v>532352.0100000063</v>
      </c>
      <c r="HK61" s="23">
        <f t="shared" si="109"/>
        <v>532352.0100000063</v>
      </c>
      <c r="HL61" s="23">
        <f t="shared" si="109"/>
        <v>532352.0100000063</v>
      </c>
      <c r="HM61" s="23">
        <f t="shared" si="109"/>
        <v>532352.0100000063</v>
      </c>
      <c r="HN61" s="137">
        <f t="shared" si="109"/>
        <v>532352.0100000063</v>
      </c>
      <c r="HO61" s="81">
        <f t="shared" si="109"/>
        <v>532352.0100000063</v>
      </c>
      <c r="HP61" s="23">
        <f t="shared" si="109"/>
        <v>532352.0100000063</v>
      </c>
      <c r="HQ61" s="23">
        <f t="shared" si="109"/>
        <v>532352.0100000063</v>
      </c>
      <c r="HR61" s="23">
        <f t="shared" si="109"/>
        <v>532352.0100000063</v>
      </c>
      <c r="HS61" s="23">
        <f t="shared" si="109"/>
        <v>532352.0100000063</v>
      </c>
      <c r="HT61" s="23">
        <f t="shared" si="109"/>
        <v>532352.0100000063</v>
      </c>
      <c r="HU61" s="23">
        <f t="shared" si="109"/>
        <v>532352.0100000063</v>
      </c>
      <c r="HV61" s="23">
        <f t="shared" si="109"/>
        <v>532352.0100000063</v>
      </c>
      <c r="HW61" s="23">
        <f t="shared" si="109"/>
        <v>532352.0100000063</v>
      </c>
      <c r="HX61" s="23">
        <f t="shared" si="109"/>
        <v>532352.0100000063</v>
      </c>
      <c r="HY61" s="23">
        <f t="shared" si="109"/>
        <v>532352.0100000063</v>
      </c>
      <c r="HZ61" s="41">
        <f>HY61-HZ25+619.63</f>
        <v>532971.6400000063</v>
      </c>
      <c r="IA61" s="23">
        <f t="shared" ref="IA61:IF61" si="110">HZ61-IA25</f>
        <v>532971.6400000063</v>
      </c>
      <c r="IB61" s="23">
        <f t="shared" si="110"/>
        <v>532971.6400000063</v>
      </c>
      <c r="IC61" s="23">
        <f t="shared" si="110"/>
        <v>532971.6400000063</v>
      </c>
      <c r="ID61" s="23">
        <f t="shared" si="110"/>
        <v>532971.6400000063</v>
      </c>
      <c r="IE61" s="23">
        <f t="shared" si="110"/>
        <v>532971.6400000063</v>
      </c>
      <c r="IF61" s="23">
        <f t="shared" si="110"/>
        <v>532971.6400000063</v>
      </c>
      <c r="IG61" s="23">
        <f>IF61-IG25+25000000</f>
        <v>25532971.640000008</v>
      </c>
      <c r="IH61" s="113">
        <f>IG61-IH25</f>
        <v>25532971.640000008</v>
      </c>
      <c r="II61" s="23">
        <f>IH61-II25</f>
        <v>25532971.640000008</v>
      </c>
      <c r="IJ61" s="23">
        <f>II61-IJ25</f>
        <v>25532971.640000008</v>
      </c>
      <c r="IK61" s="23">
        <f>IJ61-IK25</f>
        <v>25532971.640000008</v>
      </c>
      <c r="IL61" s="23">
        <f>IK61-IL25+10000000</f>
        <v>35532971.640000008</v>
      </c>
      <c r="IM61" s="23">
        <f t="shared" ref="IM61:IT61" si="111">IL61-IM25</f>
        <v>35532971.640000008</v>
      </c>
      <c r="IN61" s="23">
        <f t="shared" si="111"/>
        <v>35532971.640000008</v>
      </c>
      <c r="IO61" s="23">
        <f t="shared" si="111"/>
        <v>35532971.640000008</v>
      </c>
      <c r="IP61" s="23">
        <f t="shared" si="111"/>
        <v>35532971.640000008</v>
      </c>
      <c r="IQ61" s="23">
        <f t="shared" si="111"/>
        <v>35532971.640000008</v>
      </c>
      <c r="IR61" s="23">
        <f t="shared" si="111"/>
        <v>35532971.640000008</v>
      </c>
      <c r="IS61" s="23">
        <f t="shared" si="111"/>
        <v>35532971.640000008</v>
      </c>
      <c r="IT61" s="41">
        <f t="shared" si="111"/>
        <v>35532971.640000008</v>
      </c>
      <c r="IU61" s="23"/>
    </row>
    <row r="62" spans="1:256" s="8" customFormat="1" ht="14.1" customHeight="1">
      <c r="A62" s="9" t="s">
        <v>21</v>
      </c>
      <c r="B62" s="15"/>
      <c r="C62" s="40">
        <f t="shared" ref="C62:BN62" si="112">SUM(C55:C61)</f>
        <v>330479660.28999996</v>
      </c>
      <c r="D62" s="9">
        <f t="shared" si="112"/>
        <v>385479660.28999996</v>
      </c>
      <c r="E62" s="9">
        <f t="shared" si="112"/>
        <v>389279660.28999996</v>
      </c>
      <c r="F62" s="9">
        <f t="shared" si="112"/>
        <v>426279660.28999996</v>
      </c>
      <c r="G62" s="9">
        <f t="shared" si="112"/>
        <v>467479660.28999996</v>
      </c>
      <c r="H62" s="9">
        <f t="shared" si="112"/>
        <v>493279660.28999996</v>
      </c>
      <c r="I62" s="9">
        <f t="shared" si="112"/>
        <v>510579660.28999996</v>
      </c>
      <c r="J62" s="9">
        <f t="shared" si="112"/>
        <v>509779660.28999996</v>
      </c>
      <c r="K62" s="9">
        <f t="shared" si="112"/>
        <v>508779660.28999996</v>
      </c>
      <c r="L62" s="9">
        <f t="shared" si="112"/>
        <v>560479660.28999996</v>
      </c>
      <c r="M62" s="9">
        <f t="shared" si="112"/>
        <v>560079660.28999996</v>
      </c>
      <c r="N62" s="232">
        <f t="shared" si="112"/>
        <v>501179660.28999996</v>
      </c>
      <c r="O62" s="9">
        <f t="shared" si="112"/>
        <v>503479660.28999996</v>
      </c>
      <c r="P62" s="9">
        <f t="shared" si="112"/>
        <v>507879660.28999996</v>
      </c>
      <c r="Q62" s="9">
        <f t="shared" si="112"/>
        <v>501179660.28999996</v>
      </c>
      <c r="R62" s="9">
        <f t="shared" si="112"/>
        <v>506279660.28999996</v>
      </c>
      <c r="S62" s="9">
        <f t="shared" si="112"/>
        <v>500679660.28999996</v>
      </c>
      <c r="T62" s="9">
        <f t="shared" si="112"/>
        <v>500879660.28999996</v>
      </c>
      <c r="U62" s="9">
        <f t="shared" si="112"/>
        <v>504179660.28999996</v>
      </c>
      <c r="V62" s="9">
        <f t="shared" si="112"/>
        <v>507179660.28999996</v>
      </c>
      <c r="W62" s="40">
        <f t="shared" si="112"/>
        <v>509472124.22999996</v>
      </c>
      <c r="X62" s="9">
        <f t="shared" si="112"/>
        <v>511372124.22999996</v>
      </c>
      <c r="Y62" s="9">
        <f t="shared" si="112"/>
        <v>519772124.22999996</v>
      </c>
      <c r="Z62" s="9">
        <f t="shared" si="112"/>
        <v>516572124.22999996</v>
      </c>
      <c r="AA62" s="9">
        <f t="shared" si="112"/>
        <v>502572124.22999996</v>
      </c>
      <c r="AB62" s="9">
        <f t="shared" si="112"/>
        <v>499572124.22999996</v>
      </c>
      <c r="AC62" s="9">
        <f t="shared" si="112"/>
        <v>496972124.22999996</v>
      </c>
      <c r="AD62" s="9">
        <f t="shared" si="112"/>
        <v>495272124.22999996</v>
      </c>
      <c r="AE62" s="9">
        <f t="shared" si="112"/>
        <v>494572124.22999996</v>
      </c>
      <c r="AF62" s="232">
        <f t="shared" si="112"/>
        <v>435672124.22999996</v>
      </c>
      <c r="AG62" s="9">
        <f t="shared" si="112"/>
        <v>426172124.22999996</v>
      </c>
      <c r="AH62" s="9">
        <f t="shared" si="112"/>
        <v>425872124.22999996</v>
      </c>
      <c r="AI62" s="9">
        <f t="shared" si="112"/>
        <v>425372124.22999996</v>
      </c>
      <c r="AJ62" s="9">
        <f t="shared" si="112"/>
        <v>423472124.22999996</v>
      </c>
      <c r="AK62" s="9">
        <f t="shared" si="112"/>
        <v>415472124.22999996</v>
      </c>
      <c r="AL62" s="9">
        <f t="shared" si="112"/>
        <v>415472124.22999996</v>
      </c>
      <c r="AM62" s="9">
        <f t="shared" si="112"/>
        <v>421172124.22999996</v>
      </c>
      <c r="AN62" s="9">
        <f t="shared" si="112"/>
        <v>427472124.22999996</v>
      </c>
      <c r="AO62" s="9">
        <f t="shared" si="112"/>
        <v>424772124.22999996</v>
      </c>
      <c r="AP62" s="9">
        <f t="shared" si="112"/>
        <v>427072124.22999996</v>
      </c>
      <c r="AQ62" s="9">
        <f t="shared" si="112"/>
        <v>425172124.22999996</v>
      </c>
      <c r="AR62" s="40">
        <f t="shared" si="112"/>
        <v>424579334.38999999</v>
      </c>
      <c r="AS62" s="9">
        <f t="shared" si="112"/>
        <v>423829334.38999999</v>
      </c>
      <c r="AT62" s="9">
        <f t="shared" si="112"/>
        <v>434329334.38999999</v>
      </c>
      <c r="AU62" s="9">
        <f t="shared" si="112"/>
        <v>436329334.38999999</v>
      </c>
      <c r="AV62" s="232">
        <f t="shared" si="112"/>
        <v>415629334.38999999</v>
      </c>
      <c r="AW62" s="9">
        <f t="shared" si="112"/>
        <v>415629334.38999999</v>
      </c>
      <c r="AX62" s="9">
        <f t="shared" si="112"/>
        <v>415629334.38999999</v>
      </c>
      <c r="AY62" s="9">
        <f t="shared" si="112"/>
        <v>414029334.38999999</v>
      </c>
      <c r="AZ62" s="9">
        <f t="shared" si="112"/>
        <v>414429334.38999999</v>
      </c>
      <c r="BA62" s="9">
        <f t="shared" si="112"/>
        <v>410329334.38999999</v>
      </c>
      <c r="BB62" s="9">
        <f t="shared" si="112"/>
        <v>412329334.38999999</v>
      </c>
      <c r="BC62" s="9">
        <f t="shared" si="112"/>
        <v>353529334.38999999</v>
      </c>
      <c r="BD62" s="9">
        <f t="shared" si="112"/>
        <v>337529334.38999999</v>
      </c>
      <c r="BE62" s="9">
        <f t="shared" si="112"/>
        <v>335329334.38999999</v>
      </c>
      <c r="BF62" s="9">
        <f t="shared" si="112"/>
        <v>331129334.38999999</v>
      </c>
      <c r="BG62" s="9">
        <f t="shared" si="112"/>
        <v>332429334.38999999</v>
      </c>
      <c r="BH62" s="9">
        <f t="shared" si="112"/>
        <v>331229334.38999999</v>
      </c>
      <c r="BI62" s="9">
        <f t="shared" si="112"/>
        <v>335629334.38999999</v>
      </c>
      <c r="BJ62" s="9">
        <f t="shared" si="112"/>
        <v>333829334.38999999</v>
      </c>
      <c r="BK62" s="9">
        <f t="shared" si="112"/>
        <v>338029334.38999999</v>
      </c>
      <c r="BL62" s="9">
        <f t="shared" si="112"/>
        <v>333529334.38999999</v>
      </c>
      <c r="BM62" s="9">
        <f t="shared" si="112"/>
        <v>334329334.38999999</v>
      </c>
      <c r="BN62" s="40">
        <f t="shared" si="112"/>
        <v>334242873.41999996</v>
      </c>
      <c r="BO62" s="9">
        <f t="shared" ref="BO62:DZ62" si="113">SUM(BO55:BO61)</f>
        <v>333992873.41999996</v>
      </c>
      <c r="BP62" s="9">
        <f t="shared" si="113"/>
        <v>332592873.41999996</v>
      </c>
      <c r="BQ62" s="9">
        <f t="shared" si="113"/>
        <v>330692873.41999996</v>
      </c>
      <c r="BR62" s="9">
        <f t="shared" si="113"/>
        <v>316192873.41999996</v>
      </c>
      <c r="BS62" s="9">
        <f t="shared" si="113"/>
        <v>315692873.41999996</v>
      </c>
      <c r="BT62" s="9">
        <f t="shared" si="113"/>
        <v>315992873.41999996</v>
      </c>
      <c r="BU62" s="9">
        <f t="shared" si="113"/>
        <v>315992873.41999996</v>
      </c>
      <c r="BV62" s="9">
        <f t="shared" si="113"/>
        <v>310892873.41999996</v>
      </c>
      <c r="BW62" s="9">
        <f t="shared" si="113"/>
        <v>310492873.41999996</v>
      </c>
      <c r="BX62" s="9">
        <f t="shared" si="113"/>
        <v>310092873.41999996</v>
      </c>
      <c r="BY62" s="9">
        <f t="shared" si="113"/>
        <v>249192873.41999996</v>
      </c>
      <c r="BZ62" s="9">
        <f t="shared" si="113"/>
        <v>232692873.41999996</v>
      </c>
      <c r="CA62" s="9">
        <f t="shared" si="113"/>
        <v>226192873.41999996</v>
      </c>
      <c r="CB62" s="9">
        <f t="shared" si="113"/>
        <v>224992873.41999996</v>
      </c>
      <c r="CC62" s="9">
        <f t="shared" si="113"/>
        <v>222692873.41999996</v>
      </c>
      <c r="CD62" s="9">
        <f t="shared" si="113"/>
        <v>222192873.41999996</v>
      </c>
      <c r="CE62" s="9">
        <f t="shared" si="113"/>
        <v>221592873.41999996</v>
      </c>
      <c r="CF62" s="9">
        <f t="shared" si="113"/>
        <v>231192873.41999996</v>
      </c>
      <c r="CG62" s="9">
        <f t="shared" si="113"/>
        <v>229792873.41999996</v>
      </c>
      <c r="CH62" s="9">
        <f t="shared" si="113"/>
        <v>228642873.41999996</v>
      </c>
      <c r="CI62" s="40">
        <f t="shared" si="113"/>
        <v>225205949.82999995</v>
      </c>
      <c r="CJ62" s="9">
        <f t="shared" si="113"/>
        <v>224005949.82999995</v>
      </c>
      <c r="CK62" s="9">
        <f t="shared" si="113"/>
        <v>221005949.82999995</v>
      </c>
      <c r="CL62" s="9">
        <f t="shared" si="113"/>
        <v>227005949.82999995</v>
      </c>
      <c r="CM62" s="9">
        <f t="shared" si="113"/>
        <v>225005949.82999995</v>
      </c>
      <c r="CN62" s="9">
        <f t="shared" si="113"/>
        <v>210005949.82999995</v>
      </c>
      <c r="CO62" s="9">
        <f t="shared" si="113"/>
        <v>208605949.82999995</v>
      </c>
      <c r="CP62" s="9">
        <f t="shared" si="113"/>
        <v>206855949.82999995</v>
      </c>
      <c r="CQ62" s="9">
        <f t="shared" si="113"/>
        <v>206155949.82999995</v>
      </c>
      <c r="CR62" s="9">
        <f t="shared" si="113"/>
        <v>206655949.82999995</v>
      </c>
      <c r="CS62" s="9">
        <f t="shared" si="113"/>
        <v>144855949.82999995</v>
      </c>
      <c r="CT62" s="9">
        <f t="shared" si="113"/>
        <v>134255949.82999995</v>
      </c>
      <c r="CU62" s="9">
        <f t="shared" si="113"/>
        <v>132655949.82999995</v>
      </c>
      <c r="CV62" s="9">
        <f t="shared" si="113"/>
        <v>130055949.82999995</v>
      </c>
      <c r="CW62" s="9">
        <f t="shared" si="113"/>
        <v>128355949.82999995</v>
      </c>
      <c r="CX62" s="9">
        <f t="shared" si="113"/>
        <v>126055949.82999995</v>
      </c>
      <c r="CY62" s="9">
        <f t="shared" si="113"/>
        <v>123755949.82999995</v>
      </c>
      <c r="CZ62" s="9">
        <f t="shared" si="113"/>
        <v>124505949.82999995</v>
      </c>
      <c r="DA62" s="9">
        <f t="shared" si="113"/>
        <v>127505949.82999995</v>
      </c>
      <c r="DB62" s="9">
        <f t="shared" si="113"/>
        <v>128805949.82999995</v>
      </c>
      <c r="DC62" s="9">
        <f t="shared" si="113"/>
        <v>131405949.82999995</v>
      </c>
      <c r="DD62" s="40">
        <f t="shared" si="113"/>
        <v>130936460.41999997</v>
      </c>
      <c r="DE62" s="95">
        <f t="shared" si="113"/>
        <v>122736460.41999997</v>
      </c>
      <c r="DF62" s="9">
        <f t="shared" si="113"/>
        <v>121636460.41999997</v>
      </c>
      <c r="DG62" s="9">
        <f t="shared" si="113"/>
        <v>114836460.41999997</v>
      </c>
      <c r="DH62" s="9">
        <f t="shared" si="113"/>
        <v>113336460.41999997</v>
      </c>
      <c r="DI62" s="9">
        <f t="shared" si="113"/>
        <v>113836460.41999997</v>
      </c>
      <c r="DJ62" s="9">
        <f t="shared" si="113"/>
        <v>113636460.41999997</v>
      </c>
      <c r="DK62" s="9">
        <f t="shared" si="113"/>
        <v>114036460.41999997</v>
      </c>
      <c r="DL62" s="9">
        <f t="shared" si="113"/>
        <v>112036460.41999997</v>
      </c>
      <c r="DM62" s="9">
        <f t="shared" si="113"/>
        <v>111236460.41999997</v>
      </c>
      <c r="DN62" s="9">
        <f t="shared" si="113"/>
        <v>49236460.419999972</v>
      </c>
      <c r="DO62" s="9">
        <f t="shared" si="113"/>
        <v>37236460.419999972</v>
      </c>
      <c r="DP62" s="9">
        <f t="shared" si="113"/>
        <v>38636460.419999972</v>
      </c>
      <c r="DQ62" s="9">
        <f t="shared" si="113"/>
        <v>36736460.419999972</v>
      </c>
      <c r="DR62" s="95">
        <f t="shared" si="113"/>
        <v>37536460.419999972</v>
      </c>
      <c r="DS62" s="9">
        <f t="shared" si="113"/>
        <v>37536460.419999972</v>
      </c>
      <c r="DT62" s="9">
        <f t="shared" si="113"/>
        <v>36936460.419999972</v>
      </c>
      <c r="DU62" s="9">
        <f t="shared" si="113"/>
        <v>38136460.419999972</v>
      </c>
      <c r="DV62" s="9">
        <f t="shared" si="113"/>
        <v>40336460.419999972</v>
      </c>
      <c r="DW62" s="9">
        <f t="shared" si="113"/>
        <v>43336460.419999972</v>
      </c>
      <c r="DX62" s="9">
        <f t="shared" si="113"/>
        <v>50136460.419999972</v>
      </c>
      <c r="DY62" s="9">
        <f t="shared" si="113"/>
        <v>49536460.419999972</v>
      </c>
      <c r="DZ62" s="40">
        <f t="shared" si="113"/>
        <v>48292423.489999972</v>
      </c>
      <c r="EA62" s="9">
        <f t="shared" ref="EA62:GL62" si="114">SUM(EA55:EA61)</f>
        <v>46892423.489999972</v>
      </c>
      <c r="EB62" s="9">
        <f t="shared" si="114"/>
        <v>46592423.489999972</v>
      </c>
      <c r="EC62" s="9">
        <f t="shared" si="114"/>
        <v>41342423.489999972</v>
      </c>
      <c r="ED62" s="9">
        <f t="shared" si="114"/>
        <v>25942423.489999972</v>
      </c>
      <c r="EE62" s="9">
        <f t="shared" si="114"/>
        <v>25142423.489999972</v>
      </c>
      <c r="EF62" s="9">
        <f t="shared" si="114"/>
        <v>24042423.489999976</v>
      </c>
      <c r="EG62" s="29">
        <f t="shared" si="114"/>
        <v>150442423.49000004</v>
      </c>
      <c r="EH62" s="9">
        <f t="shared" si="114"/>
        <v>160442423.49000004</v>
      </c>
      <c r="EI62" s="9">
        <f t="shared" si="114"/>
        <v>159942423.49000004</v>
      </c>
      <c r="EJ62" s="9">
        <f t="shared" si="114"/>
        <v>158442423.49000004</v>
      </c>
      <c r="EK62" s="82">
        <f t="shared" si="114"/>
        <v>172942423.49000004</v>
      </c>
      <c r="EL62" s="9">
        <f t="shared" si="114"/>
        <v>161342423.49000004</v>
      </c>
      <c r="EM62" s="9">
        <f t="shared" si="114"/>
        <v>164742423.49000004</v>
      </c>
      <c r="EN62" s="9">
        <f t="shared" si="114"/>
        <v>167942423.49000004</v>
      </c>
      <c r="EO62" s="9">
        <f t="shared" si="114"/>
        <v>166942423.49000004</v>
      </c>
      <c r="EP62" s="9">
        <f t="shared" si="114"/>
        <v>163942423.49000004</v>
      </c>
      <c r="EQ62" s="9">
        <f t="shared" si="114"/>
        <v>165842423.49000004</v>
      </c>
      <c r="ER62" s="9">
        <f t="shared" si="114"/>
        <v>165742423.49000004</v>
      </c>
      <c r="ES62" s="9">
        <f t="shared" si="114"/>
        <v>163342423.49000004</v>
      </c>
      <c r="ET62" s="9">
        <f t="shared" si="114"/>
        <v>163092423.49000004</v>
      </c>
      <c r="EU62" s="40">
        <f t="shared" si="114"/>
        <v>161967809.42999998</v>
      </c>
      <c r="EV62" s="9">
        <f t="shared" si="114"/>
        <v>159867809.42999998</v>
      </c>
      <c r="EW62" s="9">
        <f t="shared" si="114"/>
        <v>158267809.42999998</v>
      </c>
      <c r="EX62" s="9">
        <f t="shared" si="114"/>
        <v>159167809.42999998</v>
      </c>
      <c r="EY62" s="9">
        <f t="shared" si="114"/>
        <v>142867809.43000001</v>
      </c>
      <c r="EZ62" s="9">
        <f t="shared" si="114"/>
        <v>142417809.43000001</v>
      </c>
      <c r="FA62" s="9">
        <f t="shared" si="114"/>
        <v>211117809.42999998</v>
      </c>
      <c r="FB62" s="9">
        <f t="shared" si="114"/>
        <v>212017809.42999998</v>
      </c>
      <c r="FC62" s="9">
        <f t="shared" si="114"/>
        <v>211267809.42999998</v>
      </c>
      <c r="FD62" s="9">
        <f t="shared" si="114"/>
        <v>211267809.42999998</v>
      </c>
      <c r="FE62" s="232">
        <f t="shared" si="114"/>
        <v>201067809.42999998</v>
      </c>
      <c r="FF62" s="9">
        <f t="shared" si="114"/>
        <v>191442071.96999997</v>
      </c>
      <c r="FG62" s="9">
        <f t="shared" si="114"/>
        <v>195142071.96999997</v>
      </c>
      <c r="FH62" s="9">
        <f t="shared" si="114"/>
        <v>193342071.96999997</v>
      </c>
      <c r="FI62" s="232">
        <f t="shared" si="114"/>
        <v>188842071.96999997</v>
      </c>
      <c r="FJ62" s="9">
        <f t="shared" si="114"/>
        <v>194642071.96999997</v>
      </c>
      <c r="FK62" s="9">
        <f t="shared" si="114"/>
        <v>202242071.96999997</v>
      </c>
      <c r="FL62" s="82">
        <f t="shared" si="114"/>
        <v>217592071.96999997</v>
      </c>
      <c r="FM62" s="9">
        <f t="shared" si="114"/>
        <v>337342071.96999991</v>
      </c>
      <c r="FN62" s="9">
        <f t="shared" si="114"/>
        <v>336642071.96999991</v>
      </c>
      <c r="FO62" s="9">
        <f t="shared" si="114"/>
        <v>333842071.96999991</v>
      </c>
      <c r="FP62" s="40">
        <f t="shared" si="114"/>
        <v>331874229.37999994</v>
      </c>
      <c r="FQ62" s="9">
        <f t="shared" si="114"/>
        <v>331174229.37999994</v>
      </c>
      <c r="FR62" s="9">
        <f t="shared" si="114"/>
        <v>329324229.37999994</v>
      </c>
      <c r="FS62" s="9">
        <f t="shared" si="114"/>
        <v>325024229.37999994</v>
      </c>
      <c r="FT62" s="9">
        <f t="shared" si="114"/>
        <v>320224229.37999994</v>
      </c>
      <c r="FU62" s="9">
        <f t="shared" si="114"/>
        <v>317527526.83999997</v>
      </c>
      <c r="FV62" s="9">
        <f t="shared" si="114"/>
        <v>316827526.83999997</v>
      </c>
      <c r="FW62" s="9">
        <f t="shared" si="114"/>
        <v>317227526.83999997</v>
      </c>
      <c r="FX62" s="9">
        <f t="shared" si="114"/>
        <v>315927526.83999997</v>
      </c>
      <c r="FY62" s="9">
        <f t="shared" si="114"/>
        <v>313427526.83999997</v>
      </c>
      <c r="FZ62" s="232">
        <f t="shared" si="114"/>
        <v>243027526.84</v>
      </c>
      <c r="GA62" s="9">
        <f t="shared" si="114"/>
        <v>242027526.84</v>
      </c>
      <c r="GB62" s="9">
        <f t="shared" si="114"/>
        <v>237027526.84</v>
      </c>
      <c r="GC62" s="9">
        <f t="shared" si="114"/>
        <v>233277526.84</v>
      </c>
      <c r="GD62" s="9">
        <f t="shared" si="114"/>
        <v>232077526.84</v>
      </c>
      <c r="GE62" s="9">
        <f t="shared" si="114"/>
        <v>231077526.84</v>
      </c>
      <c r="GF62" s="9">
        <f t="shared" si="114"/>
        <v>230327526.84</v>
      </c>
      <c r="GG62" s="9">
        <f t="shared" si="114"/>
        <v>229527526.84</v>
      </c>
      <c r="GH62" s="9">
        <f t="shared" si="114"/>
        <v>316027526.83999997</v>
      </c>
      <c r="GI62" s="9">
        <f t="shared" si="114"/>
        <v>324827526.83999997</v>
      </c>
      <c r="GJ62" s="9">
        <f t="shared" si="114"/>
        <v>323127526.83999997</v>
      </c>
      <c r="GK62" s="9">
        <f t="shared" si="114"/>
        <v>322977526.83999997</v>
      </c>
      <c r="GL62" s="40">
        <f t="shared" si="114"/>
        <v>319717890.67999995</v>
      </c>
      <c r="GM62" s="9">
        <f t="shared" ref="GM62:IT62" si="115">SUM(GM55:GM61)</f>
        <v>317417890.67999995</v>
      </c>
      <c r="GN62" s="9">
        <f t="shared" si="115"/>
        <v>317217890.67999995</v>
      </c>
      <c r="GO62" s="9">
        <f t="shared" si="115"/>
        <v>317817890.67999995</v>
      </c>
      <c r="GP62" s="9">
        <f t="shared" si="115"/>
        <v>317817890.67999995</v>
      </c>
      <c r="GQ62" s="9">
        <f t="shared" si="115"/>
        <v>310617890.67999995</v>
      </c>
      <c r="GR62" s="9">
        <f t="shared" si="115"/>
        <v>312617890.67999995</v>
      </c>
      <c r="GS62" s="9">
        <f t="shared" si="115"/>
        <v>312117890.67999995</v>
      </c>
      <c r="GT62" s="9">
        <f t="shared" si="115"/>
        <v>313617890.67999995</v>
      </c>
      <c r="GU62" s="245">
        <f t="shared" si="115"/>
        <v>316217890.67999995</v>
      </c>
      <c r="GV62" s="9">
        <f t="shared" si="115"/>
        <v>314917890.67999995</v>
      </c>
      <c r="GW62" s="9">
        <f t="shared" si="115"/>
        <v>316117890.67999995</v>
      </c>
      <c r="GX62" s="9">
        <f t="shared" si="115"/>
        <v>320717890.67999995</v>
      </c>
      <c r="GY62" s="9">
        <f t="shared" si="115"/>
        <v>322217890.67999995</v>
      </c>
      <c r="GZ62" s="9">
        <f t="shared" si="115"/>
        <v>322117890.67999995</v>
      </c>
      <c r="HA62" s="9">
        <f t="shared" si="115"/>
        <v>314417890.67999995</v>
      </c>
      <c r="HB62" s="9">
        <f t="shared" si="115"/>
        <v>316017890.67999995</v>
      </c>
      <c r="HC62" s="9">
        <f t="shared" si="115"/>
        <v>313217890.67999995</v>
      </c>
      <c r="HD62" s="40">
        <f t="shared" si="115"/>
        <v>312681788.6099999</v>
      </c>
      <c r="HE62" s="9">
        <f t="shared" si="115"/>
        <v>319881788.6099999</v>
      </c>
      <c r="HF62" s="9">
        <f t="shared" si="115"/>
        <v>323381788.6099999</v>
      </c>
      <c r="HG62" s="9">
        <f t="shared" si="115"/>
        <v>328681788.6099999</v>
      </c>
      <c r="HH62" s="9">
        <f t="shared" si="115"/>
        <v>331281788.6099999</v>
      </c>
      <c r="HI62" s="9">
        <f t="shared" si="115"/>
        <v>318081788.6099999</v>
      </c>
      <c r="HJ62" s="9">
        <f t="shared" si="115"/>
        <v>314581788.6099999</v>
      </c>
      <c r="HK62" s="9">
        <f t="shared" si="115"/>
        <v>317181788.6099999</v>
      </c>
      <c r="HL62" s="9">
        <f t="shared" si="115"/>
        <v>318781788.6099999</v>
      </c>
      <c r="HM62" s="9">
        <f t="shared" si="115"/>
        <v>326181788.6099999</v>
      </c>
      <c r="HN62" s="138">
        <f t="shared" si="115"/>
        <v>327081788.6099999</v>
      </c>
      <c r="HO62" s="82">
        <f t="shared" si="115"/>
        <v>253781788.60999998</v>
      </c>
      <c r="HP62" s="9">
        <f t="shared" si="115"/>
        <v>257681788.60999998</v>
      </c>
      <c r="HQ62" s="9">
        <f t="shared" si="115"/>
        <v>258081788.60999998</v>
      </c>
      <c r="HR62" s="9">
        <f t="shared" si="115"/>
        <v>258981788.60999998</v>
      </c>
      <c r="HS62" s="9">
        <f t="shared" si="115"/>
        <v>260581788.60999998</v>
      </c>
      <c r="HT62" s="9">
        <f t="shared" si="115"/>
        <v>267181788.60999998</v>
      </c>
      <c r="HU62" s="9">
        <f t="shared" si="115"/>
        <v>273781788.6099999</v>
      </c>
      <c r="HV62" s="9">
        <f t="shared" si="115"/>
        <v>290281788.6099999</v>
      </c>
      <c r="HW62" s="9">
        <f t="shared" si="115"/>
        <v>292281788.6099999</v>
      </c>
      <c r="HX62" s="9">
        <f t="shared" si="115"/>
        <v>290581788.6099999</v>
      </c>
      <c r="HY62" s="9">
        <f t="shared" si="115"/>
        <v>305881788.6099999</v>
      </c>
      <c r="HZ62" s="40">
        <f t="shared" si="115"/>
        <v>312227115.04999995</v>
      </c>
      <c r="IA62" s="9">
        <f t="shared" si="115"/>
        <v>329727115.04999995</v>
      </c>
      <c r="IB62" s="9">
        <f t="shared" si="115"/>
        <v>328927115.04999995</v>
      </c>
      <c r="IC62" s="9">
        <f t="shared" si="115"/>
        <v>346227115.04999995</v>
      </c>
      <c r="ID62" s="9">
        <f t="shared" si="115"/>
        <v>346227115.04999995</v>
      </c>
      <c r="IE62" s="9">
        <f t="shared" si="115"/>
        <v>358427115.04999995</v>
      </c>
      <c r="IF62" s="9">
        <f t="shared" si="115"/>
        <v>373427115.04999995</v>
      </c>
      <c r="IG62" s="9">
        <f t="shared" si="115"/>
        <v>384627115.04999995</v>
      </c>
      <c r="IH62" s="114">
        <f t="shared" si="115"/>
        <v>437627115.04999995</v>
      </c>
      <c r="II62" s="9">
        <f t="shared" si="115"/>
        <v>458827115.04999995</v>
      </c>
      <c r="IJ62" s="9">
        <f t="shared" si="115"/>
        <v>409027115.04999995</v>
      </c>
      <c r="IK62" s="9">
        <f t="shared" si="115"/>
        <v>417627115.04999995</v>
      </c>
      <c r="IL62" s="9">
        <f t="shared" si="115"/>
        <v>421627115.04999995</v>
      </c>
      <c r="IM62" s="9">
        <f t="shared" si="115"/>
        <v>426377115.04999995</v>
      </c>
      <c r="IN62" s="9">
        <f t="shared" si="115"/>
        <v>431277115.04999995</v>
      </c>
      <c r="IO62" s="9">
        <f t="shared" si="115"/>
        <v>432477115.04999995</v>
      </c>
      <c r="IP62" s="9">
        <f t="shared" si="115"/>
        <v>441677115.04999995</v>
      </c>
      <c r="IQ62" s="9">
        <f t="shared" si="115"/>
        <v>446277115.04999995</v>
      </c>
      <c r="IR62" s="9">
        <f t="shared" si="115"/>
        <v>473877115.04999995</v>
      </c>
      <c r="IS62" s="9">
        <f t="shared" si="115"/>
        <v>472877115.04999995</v>
      </c>
      <c r="IT62" s="40">
        <f t="shared" si="115"/>
        <v>489677115.04999995</v>
      </c>
      <c r="IU62" s="9"/>
    </row>
    <row r="63" spans="1:256">
      <c r="N63" s="256"/>
      <c r="AF63" s="256"/>
      <c r="AV63" s="256"/>
      <c r="EK63" s="71"/>
      <c r="FE63" s="213"/>
      <c r="FI63" s="256"/>
      <c r="FL63" s="71"/>
      <c r="FZ63" s="213"/>
      <c r="GU63" s="240"/>
      <c r="HM63" s="140"/>
      <c r="HN63" s="127"/>
      <c r="HO63" s="71"/>
      <c r="IH63" s="98"/>
    </row>
    <row r="64" spans="1:256" s="63" customFormat="1" ht="16.5">
      <c r="A64" s="62" t="s">
        <v>60</v>
      </c>
      <c r="C64" s="61">
        <f t="shared" ref="C64:BN64" si="116">+C51+C62</f>
        <v>330600100.28999996</v>
      </c>
      <c r="D64" s="61">
        <f t="shared" si="116"/>
        <v>385698744.28999996</v>
      </c>
      <c r="E64" s="61">
        <f t="shared" si="116"/>
        <v>389569003.71999997</v>
      </c>
      <c r="F64" s="61">
        <f t="shared" si="116"/>
        <v>426609565.23999995</v>
      </c>
      <c r="G64" s="61">
        <f t="shared" si="116"/>
        <v>467456107.81999993</v>
      </c>
      <c r="H64" s="61">
        <f t="shared" si="116"/>
        <v>493394481.22999996</v>
      </c>
      <c r="I64" s="61">
        <f t="shared" si="116"/>
        <v>510690315.28999996</v>
      </c>
      <c r="J64" s="61">
        <f t="shared" si="116"/>
        <v>509882671.17999995</v>
      </c>
      <c r="K64" s="61">
        <f t="shared" si="116"/>
        <v>508887411.28999996</v>
      </c>
      <c r="L64" s="61">
        <f t="shared" si="116"/>
        <v>560651202.28999996</v>
      </c>
      <c r="M64" s="61">
        <f t="shared" si="116"/>
        <v>560226057.28999996</v>
      </c>
      <c r="N64" s="233">
        <f t="shared" si="116"/>
        <v>501297477.28999996</v>
      </c>
      <c r="O64" s="61">
        <f t="shared" si="116"/>
        <v>503605571.26999998</v>
      </c>
      <c r="P64" s="61">
        <f t="shared" si="116"/>
        <v>508055202.69999999</v>
      </c>
      <c r="Q64" s="61">
        <f t="shared" si="116"/>
        <v>501386171.28999996</v>
      </c>
      <c r="R64" s="61">
        <f t="shared" si="116"/>
        <v>506480574.28999996</v>
      </c>
      <c r="S64" s="61">
        <f t="shared" si="116"/>
        <v>500799224.28999996</v>
      </c>
      <c r="T64" s="61">
        <f t="shared" si="116"/>
        <v>501018087.28999996</v>
      </c>
      <c r="U64" s="61">
        <f t="shared" si="116"/>
        <v>504290299.69999999</v>
      </c>
      <c r="V64" s="61">
        <f t="shared" si="116"/>
        <v>507287144.28999996</v>
      </c>
      <c r="W64" s="61">
        <f t="shared" si="116"/>
        <v>509577783.22999996</v>
      </c>
      <c r="X64" s="61">
        <f t="shared" si="116"/>
        <v>511506729.22999996</v>
      </c>
      <c r="Y64" s="61">
        <f t="shared" si="116"/>
        <v>519956827.22999996</v>
      </c>
      <c r="Z64" s="61">
        <f t="shared" si="116"/>
        <v>516729182.22999996</v>
      </c>
      <c r="AA64" s="61">
        <f t="shared" si="116"/>
        <v>502882287.22999996</v>
      </c>
      <c r="AB64" s="61">
        <f t="shared" si="116"/>
        <v>499853253.22999996</v>
      </c>
      <c r="AC64" s="61">
        <f t="shared" si="116"/>
        <v>497109814.32999998</v>
      </c>
      <c r="AD64" s="61">
        <f t="shared" si="116"/>
        <v>495404308.22999996</v>
      </c>
      <c r="AE64" s="61">
        <f t="shared" si="116"/>
        <v>494676717.22999996</v>
      </c>
      <c r="AF64" s="233">
        <f t="shared" si="116"/>
        <v>435772301.22999996</v>
      </c>
      <c r="AG64" s="61">
        <f t="shared" si="116"/>
        <v>426272124.22999996</v>
      </c>
      <c r="AH64" s="61">
        <f t="shared" si="116"/>
        <v>425972124.22999996</v>
      </c>
      <c r="AI64" s="61">
        <f t="shared" si="116"/>
        <v>425478601.22999996</v>
      </c>
      <c r="AJ64" s="61">
        <f t="shared" si="116"/>
        <v>423645368.22999996</v>
      </c>
      <c r="AK64" s="61">
        <f t="shared" si="116"/>
        <v>415608485.22999996</v>
      </c>
      <c r="AL64" s="61">
        <f t="shared" si="116"/>
        <v>415594740.22999996</v>
      </c>
      <c r="AM64" s="61">
        <f t="shared" si="116"/>
        <v>421292820.22999996</v>
      </c>
      <c r="AN64" s="61">
        <f t="shared" si="116"/>
        <v>427586931.22999996</v>
      </c>
      <c r="AO64" s="61">
        <f t="shared" si="116"/>
        <v>424989895.22999996</v>
      </c>
      <c r="AP64" s="61">
        <f t="shared" si="116"/>
        <v>427321903.22999996</v>
      </c>
      <c r="AQ64" s="61">
        <f t="shared" si="116"/>
        <v>425301351.22999996</v>
      </c>
      <c r="AR64" s="61">
        <f t="shared" si="116"/>
        <v>424706219.38999999</v>
      </c>
      <c r="AS64" s="61">
        <f t="shared" si="116"/>
        <v>423957924.39999998</v>
      </c>
      <c r="AT64" s="61">
        <f t="shared" si="116"/>
        <v>434443176.38999999</v>
      </c>
      <c r="AU64" s="61">
        <f t="shared" si="116"/>
        <v>436459066.38999999</v>
      </c>
      <c r="AV64" s="233">
        <f t="shared" si="116"/>
        <v>415773849.38999999</v>
      </c>
      <c r="AW64" s="61">
        <f t="shared" si="116"/>
        <v>415765242.38999999</v>
      </c>
      <c r="AX64" s="61">
        <f t="shared" si="116"/>
        <v>415756821.38999999</v>
      </c>
      <c r="AY64" s="61">
        <f t="shared" si="116"/>
        <v>414181099.38999999</v>
      </c>
      <c r="AZ64" s="61">
        <f t="shared" si="116"/>
        <v>414605757.38999999</v>
      </c>
      <c r="BA64" s="61">
        <f t="shared" si="116"/>
        <v>410530726.38999999</v>
      </c>
      <c r="BB64" s="61">
        <f t="shared" si="116"/>
        <v>412472419.38999999</v>
      </c>
      <c r="BC64" s="61">
        <f t="shared" si="116"/>
        <v>353655281.38999999</v>
      </c>
      <c r="BD64" s="61">
        <f t="shared" si="116"/>
        <v>337646469.38999999</v>
      </c>
      <c r="BE64" s="61">
        <f t="shared" si="116"/>
        <v>335522694.38999999</v>
      </c>
      <c r="BF64" s="61">
        <f t="shared" si="116"/>
        <v>331278782.38999999</v>
      </c>
      <c r="BG64" s="61">
        <f t="shared" si="116"/>
        <v>332538888.38999999</v>
      </c>
      <c r="BH64" s="61">
        <f t="shared" si="116"/>
        <v>331363457.38999999</v>
      </c>
      <c r="BI64" s="61">
        <f t="shared" si="116"/>
        <v>335763889.38999999</v>
      </c>
      <c r="BJ64" s="61">
        <f t="shared" si="116"/>
        <v>333999238.38999999</v>
      </c>
      <c r="BK64" s="61">
        <f t="shared" si="116"/>
        <v>338176544.38999999</v>
      </c>
      <c r="BL64" s="61">
        <f t="shared" si="116"/>
        <v>333673486.38999999</v>
      </c>
      <c r="BM64" s="61">
        <f t="shared" si="116"/>
        <v>334468028.38999999</v>
      </c>
      <c r="BN64" s="61">
        <f t="shared" si="116"/>
        <v>334354783.41999996</v>
      </c>
      <c r="BO64" s="61">
        <f t="shared" ref="BO64:DZ64" si="117">+BO51+BO62</f>
        <v>334120606.41999996</v>
      </c>
      <c r="BP64" s="61">
        <f t="shared" si="117"/>
        <v>332746212.41999996</v>
      </c>
      <c r="BQ64" s="61">
        <f t="shared" si="117"/>
        <v>330826900.41999996</v>
      </c>
      <c r="BR64" s="61">
        <f t="shared" si="117"/>
        <v>316333075.41999996</v>
      </c>
      <c r="BS64" s="61">
        <f t="shared" si="117"/>
        <v>315826567.41999996</v>
      </c>
      <c r="BT64" s="61">
        <f t="shared" si="117"/>
        <v>316101923.41999996</v>
      </c>
      <c r="BU64" s="61">
        <f t="shared" si="117"/>
        <v>316105027.41999996</v>
      </c>
      <c r="BV64" s="61">
        <f t="shared" si="117"/>
        <v>311001973.41999996</v>
      </c>
      <c r="BW64" s="61">
        <f t="shared" si="117"/>
        <v>310601205.41999996</v>
      </c>
      <c r="BX64" s="61">
        <f t="shared" si="117"/>
        <v>310197714.41999996</v>
      </c>
      <c r="BY64" s="61">
        <f t="shared" si="117"/>
        <v>249317094.41999996</v>
      </c>
      <c r="BZ64" s="61">
        <f t="shared" si="117"/>
        <v>232812409.41999996</v>
      </c>
      <c r="CA64" s="61">
        <f t="shared" si="117"/>
        <v>226317153.41999996</v>
      </c>
      <c r="CB64" s="61">
        <f t="shared" si="117"/>
        <v>225302741.19999996</v>
      </c>
      <c r="CC64" s="61">
        <f t="shared" si="117"/>
        <v>223117907.24999997</v>
      </c>
      <c r="CD64" s="61">
        <f t="shared" si="117"/>
        <v>222333894.80999994</v>
      </c>
      <c r="CE64" s="61">
        <f t="shared" si="117"/>
        <v>221745574.41999996</v>
      </c>
      <c r="CF64" s="61">
        <f t="shared" si="117"/>
        <v>231323782.41999996</v>
      </c>
      <c r="CG64" s="61">
        <f t="shared" si="117"/>
        <v>229942838.41999996</v>
      </c>
      <c r="CH64" s="61">
        <f t="shared" si="117"/>
        <v>228811486.41999996</v>
      </c>
      <c r="CI64" s="61">
        <f t="shared" si="117"/>
        <v>225381810.82999995</v>
      </c>
      <c r="CJ64" s="61">
        <f t="shared" si="117"/>
        <v>224115911.82999995</v>
      </c>
      <c r="CK64" s="61">
        <f t="shared" si="117"/>
        <v>221107647.82999995</v>
      </c>
      <c r="CL64" s="61">
        <f t="shared" si="117"/>
        <v>227106092.82999995</v>
      </c>
      <c r="CM64" s="61">
        <f t="shared" si="117"/>
        <v>225175145.82999995</v>
      </c>
      <c r="CN64" s="61">
        <f t="shared" si="117"/>
        <v>210135246.82999995</v>
      </c>
      <c r="CO64" s="61">
        <f t="shared" si="117"/>
        <v>208713405.82999995</v>
      </c>
      <c r="CP64" s="61">
        <f t="shared" si="117"/>
        <v>206970682.82999995</v>
      </c>
      <c r="CQ64" s="61">
        <f t="shared" si="117"/>
        <v>206260020.82999995</v>
      </c>
      <c r="CR64" s="61">
        <f t="shared" si="117"/>
        <v>206818284.82999995</v>
      </c>
      <c r="CS64" s="61">
        <f t="shared" si="117"/>
        <v>145109049.82999995</v>
      </c>
      <c r="CT64" s="61">
        <f t="shared" si="117"/>
        <v>134369848.82999995</v>
      </c>
      <c r="CU64" s="61">
        <f t="shared" si="117"/>
        <v>132814693.82999995</v>
      </c>
      <c r="CV64" s="61">
        <f t="shared" si="117"/>
        <v>130169752.82999995</v>
      </c>
      <c r="CW64" s="61">
        <f t="shared" si="117"/>
        <v>128495841.82999995</v>
      </c>
      <c r="CX64" s="61">
        <f t="shared" si="117"/>
        <v>126198821.92999995</v>
      </c>
      <c r="CY64" s="61">
        <f t="shared" si="117"/>
        <v>123866423.82999995</v>
      </c>
      <c r="CZ64" s="61">
        <f t="shared" si="117"/>
        <v>124627636.82999995</v>
      </c>
      <c r="DA64" s="61">
        <f t="shared" si="117"/>
        <v>127635041.82999995</v>
      </c>
      <c r="DB64" s="61">
        <f t="shared" si="117"/>
        <v>128939238.82999995</v>
      </c>
      <c r="DC64" s="61">
        <f t="shared" si="117"/>
        <v>131511396.82999995</v>
      </c>
      <c r="DD64" s="61">
        <f t="shared" si="117"/>
        <v>131040658.41999997</v>
      </c>
      <c r="DE64" s="61">
        <f t="shared" si="117"/>
        <v>122946991.41999997</v>
      </c>
      <c r="DF64" s="61">
        <f t="shared" si="117"/>
        <v>121837480.41999997</v>
      </c>
      <c r="DG64" s="61">
        <f t="shared" si="117"/>
        <v>115524944.41999997</v>
      </c>
      <c r="DH64" s="61">
        <f t="shared" si="117"/>
        <v>113867860.58999997</v>
      </c>
      <c r="DI64" s="61">
        <f t="shared" si="117"/>
        <v>113970549.41999997</v>
      </c>
      <c r="DJ64" s="61">
        <f t="shared" si="117"/>
        <v>113736460.41999997</v>
      </c>
      <c r="DK64" s="61">
        <f t="shared" si="117"/>
        <v>114136460.41999997</v>
      </c>
      <c r="DL64" s="61">
        <f t="shared" si="117"/>
        <v>112136460.41999997</v>
      </c>
      <c r="DM64" s="61">
        <f t="shared" si="117"/>
        <v>111336460.41999997</v>
      </c>
      <c r="DN64" s="61">
        <f t="shared" si="117"/>
        <v>49336460.419999972</v>
      </c>
      <c r="DO64" s="61">
        <f t="shared" si="117"/>
        <v>38790709.419999972</v>
      </c>
      <c r="DP64" s="61">
        <f t="shared" si="117"/>
        <v>38995197.939999975</v>
      </c>
      <c r="DQ64" s="61">
        <f t="shared" si="117"/>
        <v>37064001.899999969</v>
      </c>
      <c r="DR64" s="61">
        <f t="shared" si="117"/>
        <v>37671584.899999969</v>
      </c>
      <c r="DS64" s="61">
        <f t="shared" si="117"/>
        <v>37881830.899999969</v>
      </c>
      <c r="DT64" s="61">
        <f t="shared" si="117"/>
        <v>37118481.899999969</v>
      </c>
      <c r="DU64" s="61">
        <f t="shared" si="117"/>
        <v>38258233.899999969</v>
      </c>
      <c r="DV64" s="61">
        <f t="shared" si="117"/>
        <v>40447795.899999969</v>
      </c>
      <c r="DW64" s="61">
        <f t="shared" si="117"/>
        <v>43438925.899999969</v>
      </c>
      <c r="DX64" s="61">
        <f t="shared" si="117"/>
        <v>50338962.899999969</v>
      </c>
      <c r="DY64" s="61">
        <f t="shared" si="117"/>
        <v>49737282.899999969</v>
      </c>
      <c r="DZ64" s="61">
        <f t="shared" si="117"/>
        <v>48415055.969999969</v>
      </c>
      <c r="EA64" s="61">
        <f t="shared" ref="EA64:GL64" si="118">+EA51+EA62</f>
        <v>47347184.969999969</v>
      </c>
      <c r="EB64" s="61">
        <f t="shared" si="118"/>
        <v>46724662.969999969</v>
      </c>
      <c r="EC64" s="61">
        <f t="shared" si="118"/>
        <v>41468045.969999969</v>
      </c>
      <c r="ED64" s="61">
        <f t="shared" si="118"/>
        <v>26105441.969999969</v>
      </c>
      <c r="EE64" s="61">
        <f t="shared" si="118"/>
        <v>25318640.969999969</v>
      </c>
      <c r="EF64" s="61">
        <f t="shared" si="118"/>
        <v>24157311.969999976</v>
      </c>
      <c r="EG64" s="61">
        <f t="shared" si="118"/>
        <v>25208849.970000029</v>
      </c>
      <c r="EH64" s="61">
        <f t="shared" si="118"/>
        <v>35208021.970000029</v>
      </c>
      <c r="EI64" s="61">
        <f t="shared" si="118"/>
        <v>34716656.970000029</v>
      </c>
      <c r="EJ64" s="61">
        <f t="shared" si="118"/>
        <v>33379117.970000029</v>
      </c>
      <c r="EK64" s="233">
        <f t="shared" si="118"/>
        <v>47875172.970000029</v>
      </c>
      <c r="EL64" s="61">
        <f t="shared" si="118"/>
        <v>36136823.970000029</v>
      </c>
      <c r="EM64" s="61">
        <f t="shared" si="118"/>
        <v>38570191.330000028</v>
      </c>
      <c r="EN64" s="61">
        <f t="shared" si="118"/>
        <v>42703012.970000029</v>
      </c>
      <c r="EO64" s="61">
        <f t="shared" si="118"/>
        <v>41916314.970000029</v>
      </c>
      <c r="EP64" s="61">
        <f t="shared" si="118"/>
        <v>38920137.970000029</v>
      </c>
      <c r="EQ64" s="61">
        <f t="shared" si="118"/>
        <v>40808188.940000027</v>
      </c>
      <c r="ER64" s="61">
        <f t="shared" si="118"/>
        <v>40569606.940000027</v>
      </c>
      <c r="ES64" s="61">
        <f t="shared" si="118"/>
        <v>38116323.940000027</v>
      </c>
      <c r="ET64" s="61">
        <f t="shared" si="118"/>
        <v>37857884.943000033</v>
      </c>
      <c r="EU64" s="61">
        <f t="shared" si="118"/>
        <v>36731252.882999972</v>
      </c>
      <c r="EV64" s="61">
        <f t="shared" si="118"/>
        <v>34637769.882999972</v>
      </c>
      <c r="EW64" s="61">
        <f t="shared" si="118"/>
        <v>33047887.96299997</v>
      </c>
      <c r="EX64" s="61">
        <f t="shared" si="118"/>
        <v>33938835.562999964</v>
      </c>
      <c r="EY64" s="61">
        <f t="shared" si="118"/>
        <v>17686995.562999994</v>
      </c>
      <c r="EZ64" s="248">
        <f t="shared" si="118"/>
        <v>17276487.562999994</v>
      </c>
      <c r="FA64" s="61">
        <f t="shared" si="118"/>
        <v>85944487.562999964</v>
      </c>
      <c r="FB64" s="61">
        <f t="shared" si="118"/>
        <v>86783009.562999964</v>
      </c>
      <c r="FC64" s="61">
        <f t="shared" si="118"/>
        <v>86042214.562999964</v>
      </c>
      <c r="FD64" s="61">
        <f t="shared" si="118"/>
        <v>86045730.562999964</v>
      </c>
      <c r="FE64" s="233">
        <f t="shared" si="118"/>
        <v>75846127.562999964</v>
      </c>
      <c r="FF64" s="61">
        <f t="shared" si="118"/>
        <v>66213728.102999955</v>
      </c>
      <c r="FG64" s="61">
        <f t="shared" si="118"/>
        <v>69903210.102999955</v>
      </c>
      <c r="FH64" s="61">
        <f t="shared" si="118"/>
        <v>68116764.102999955</v>
      </c>
      <c r="FI64" s="233">
        <f t="shared" si="118"/>
        <v>63633074.09299995</v>
      </c>
      <c r="FJ64" s="61">
        <f t="shared" si="118"/>
        <v>69411597.09299995</v>
      </c>
      <c r="FK64" s="61">
        <f t="shared" si="118"/>
        <v>77002577.092999965</v>
      </c>
      <c r="FL64" s="279">
        <f t="shared" si="118"/>
        <v>92353518.09299998</v>
      </c>
      <c r="FM64" s="61">
        <f t="shared" si="118"/>
        <v>204952233.51299989</v>
      </c>
      <c r="FN64" s="61">
        <f t="shared" si="118"/>
        <v>211427765.51299989</v>
      </c>
      <c r="FO64" s="61">
        <f t="shared" si="118"/>
        <v>208647114.35299993</v>
      </c>
      <c r="FP64" s="61">
        <f t="shared" si="118"/>
        <v>206642393.76299995</v>
      </c>
      <c r="FQ64" s="61">
        <f t="shared" si="118"/>
        <v>206152071.25299993</v>
      </c>
      <c r="FR64" s="61">
        <f t="shared" si="118"/>
        <v>204149864.5629999</v>
      </c>
      <c r="FS64" s="61">
        <f t="shared" si="118"/>
        <v>199806679.5629999</v>
      </c>
      <c r="FT64" s="61">
        <f t="shared" si="118"/>
        <v>195007222.66299993</v>
      </c>
      <c r="FU64" s="61">
        <f t="shared" si="118"/>
        <v>192345786.12299997</v>
      </c>
      <c r="FV64" s="61">
        <f t="shared" si="118"/>
        <v>191625300.11299995</v>
      </c>
      <c r="FW64" s="61">
        <f t="shared" si="118"/>
        <v>191765350.14299995</v>
      </c>
      <c r="FX64" s="61">
        <f t="shared" si="118"/>
        <v>190884091.11299995</v>
      </c>
      <c r="FY64" s="61">
        <f t="shared" si="118"/>
        <v>188209703.11299995</v>
      </c>
      <c r="FZ64" s="233">
        <f t="shared" si="118"/>
        <v>117824759.11299998</v>
      </c>
      <c r="GA64" s="61">
        <f t="shared" si="118"/>
        <v>116817449.11299998</v>
      </c>
      <c r="GB64" s="61">
        <f t="shared" si="118"/>
        <v>111813960.11299998</v>
      </c>
      <c r="GC64" s="61">
        <f t="shared" si="118"/>
        <v>108074032.11299998</v>
      </c>
      <c r="GD64" s="61">
        <f t="shared" si="118"/>
        <v>106872305.11299998</v>
      </c>
      <c r="GE64" s="61">
        <f t="shared" si="118"/>
        <v>105866631.11299998</v>
      </c>
      <c r="GF64" s="61">
        <f t="shared" si="118"/>
        <v>105122184.11299998</v>
      </c>
      <c r="GG64" s="248">
        <f t="shared" si="118"/>
        <v>104554272.75299998</v>
      </c>
      <c r="GH64" s="61">
        <f t="shared" si="118"/>
        <v>190589095.63299996</v>
      </c>
      <c r="GI64" s="61">
        <f t="shared" si="118"/>
        <v>199406630.63299996</v>
      </c>
      <c r="GJ64" s="61">
        <f t="shared" si="118"/>
        <v>197901129.86299995</v>
      </c>
      <c r="GK64" s="61">
        <f t="shared" si="118"/>
        <v>197750168.86299995</v>
      </c>
      <c r="GL64" s="61">
        <f t="shared" si="118"/>
        <v>194485797.70299992</v>
      </c>
      <c r="GM64" s="61">
        <f t="shared" ref="GM64:IT64" si="119">+GM51+GM62</f>
        <v>192186643.70299992</v>
      </c>
      <c r="GN64" s="61">
        <f t="shared" si="119"/>
        <v>191983859.70299992</v>
      </c>
      <c r="GO64" s="61">
        <f t="shared" si="119"/>
        <v>192585748.70299992</v>
      </c>
      <c r="GP64" s="61">
        <f t="shared" si="119"/>
        <v>178634207.89299992</v>
      </c>
      <c r="GQ64" s="61">
        <f t="shared" si="119"/>
        <v>185408743.70299992</v>
      </c>
      <c r="GR64" s="61">
        <f t="shared" si="119"/>
        <v>187406915.70299989</v>
      </c>
      <c r="GS64" s="61">
        <f t="shared" si="119"/>
        <v>186919625.70299989</v>
      </c>
      <c r="GT64" s="61">
        <f t="shared" si="119"/>
        <v>188460125.70299989</v>
      </c>
      <c r="GU64" s="233">
        <f t="shared" si="119"/>
        <v>190995800.70299989</v>
      </c>
      <c r="GV64" s="61">
        <f t="shared" si="119"/>
        <v>189690270.70299989</v>
      </c>
      <c r="GW64" s="61">
        <f t="shared" si="119"/>
        <v>190927327.70299989</v>
      </c>
      <c r="GX64" s="61">
        <f t="shared" si="119"/>
        <v>195509925.70299989</v>
      </c>
      <c r="GY64" s="61">
        <f t="shared" si="119"/>
        <v>197152391.70299989</v>
      </c>
      <c r="GZ64" s="61">
        <f t="shared" si="119"/>
        <v>196910842.70299989</v>
      </c>
      <c r="HA64" s="61">
        <f t="shared" si="119"/>
        <v>189196285.70299989</v>
      </c>
      <c r="HB64" s="61">
        <f t="shared" si="119"/>
        <v>190791339.70299989</v>
      </c>
      <c r="HC64" s="61">
        <f t="shared" si="119"/>
        <v>187981189.70299989</v>
      </c>
      <c r="HD64" s="61">
        <f t="shared" si="119"/>
        <v>187440461.63299984</v>
      </c>
      <c r="HE64" s="61">
        <f t="shared" si="119"/>
        <v>194640037.53299984</v>
      </c>
      <c r="HF64" s="61">
        <f t="shared" si="119"/>
        <v>198182958.53299984</v>
      </c>
      <c r="HG64" s="61">
        <f t="shared" si="119"/>
        <v>203667672.69299984</v>
      </c>
      <c r="HH64" s="61">
        <f t="shared" si="119"/>
        <v>206383856.36299986</v>
      </c>
      <c r="HI64" s="61">
        <f t="shared" si="119"/>
        <v>192897624.83299983</v>
      </c>
      <c r="HJ64" s="61">
        <f t="shared" si="119"/>
        <v>189447752.83299983</v>
      </c>
      <c r="HK64" s="61">
        <f t="shared" si="119"/>
        <v>192103349.83299983</v>
      </c>
      <c r="HL64" s="61">
        <f t="shared" si="119"/>
        <v>193602923.83299983</v>
      </c>
      <c r="HM64" s="61">
        <f t="shared" si="119"/>
        <v>200962441.83299983</v>
      </c>
      <c r="HN64" s="61">
        <f t="shared" si="119"/>
        <v>201852332.83299983</v>
      </c>
      <c r="HO64" s="61">
        <f t="shared" si="119"/>
        <v>128547700.83299991</v>
      </c>
      <c r="HP64" s="61">
        <f t="shared" si="119"/>
        <v>132460462.83299991</v>
      </c>
      <c r="HQ64" s="61">
        <f t="shared" si="119"/>
        <v>132859731.83299991</v>
      </c>
      <c r="HR64" s="61">
        <f t="shared" si="119"/>
        <v>133774233.83299991</v>
      </c>
      <c r="HS64" s="61">
        <f t="shared" si="119"/>
        <v>135557852.83299991</v>
      </c>
      <c r="HT64" s="61">
        <f t="shared" si="119"/>
        <v>141964069.83299991</v>
      </c>
      <c r="HU64" s="61">
        <f t="shared" si="119"/>
        <v>148543900.83299983</v>
      </c>
      <c r="HV64" s="61">
        <f t="shared" si="119"/>
        <v>165040173.83299983</v>
      </c>
      <c r="HW64" s="61">
        <f t="shared" si="119"/>
        <v>167040039.83299983</v>
      </c>
      <c r="HX64" s="61">
        <f t="shared" si="119"/>
        <v>165340037.83299983</v>
      </c>
      <c r="HY64" s="61">
        <f t="shared" si="119"/>
        <v>180640037.83299983</v>
      </c>
      <c r="HZ64" s="61">
        <f t="shared" si="119"/>
        <v>186985364.27299988</v>
      </c>
      <c r="IA64" s="61">
        <f t="shared" si="119"/>
        <v>204485364.27299988</v>
      </c>
      <c r="IB64" s="61">
        <f t="shared" si="119"/>
        <v>203685364.27299988</v>
      </c>
      <c r="IC64" s="61">
        <f t="shared" si="119"/>
        <v>220985364.27299988</v>
      </c>
      <c r="ID64" s="61">
        <f t="shared" si="119"/>
        <v>221012456.27299988</v>
      </c>
      <c r="IE64" s="61">
        <f t="shared" si="119"/>
        <v>233205977.27299988</v>
      </c>
      <c r="IF64" s="61">
        <f t="shared" si="119"/>
        <v>248335235.27299988</v>
      </c>
      <c r="IG64" s="61">
        <f t="shared" si="119"/>
        <v>260251481.27299988</v>
      </c>
      <c r="IH64" s="61">
        <f t="shared" si="119"/>
        <v>312722159.56299984</v>
      </c>
      <c r="II64" s="61">
        <f t="shared" si="119"/>
        <v>333678296.27299988</v>
      </c>
      <c r="IJ64" s="61">
        <f t="shared" si="119"/>
        <v>283803408.27299988</v>
      </c>
      <c r="IK64" s="61">
        <f t="shared" si="119"/>
        <v>292405242.27299988</v>
      </c>
      <c r="IL64" s="61">
        <f t="shared" si="119"/>
        <v>296531172.27299988</v>
      </c>
      <c r="IM64" s="61">
        <f t="shared" si="119"/>
        <v>301336388.27299988</v>
      </c>
      <c r="IN64" s="61">
        <f t="shared" si="119"/>
        <v>306218123.27299988</v>
      </c>
      <c r="IO64" s="61">
        <f t="shared" si="119"/>
        <v>307271433.27299988</v>
      </c>
      <c r="IP64" s="61">
        <f t="shared" si="119"/>
        <v>316523816.27299988</v>
      </c>
      <c r="IQ64" s="61">
        <f t="shared" si="119"/>
        <v>321041000.27299988</v>
      </c>
      <c r="IR64" s="61">
        <f t="shared" si="119"/>
        <v>348684084.27299988</v>
      </c>
      <c r="IS64" s="61">
        <f t="shared" si="119"/>
        <v>347645810.27299988</v>
      </c>
      <c r="IT64" s="61">
        <f t="shared" si="119"/>
        <v>364448462.27299988</v>
      </c>
      <c r="IU64" s="61"/>
      <c r="IV64" s="149"/>
    </row>
    <row r="65" spans="14:222" ht="15.75" thickBot="1">
      <c r="N65" s="257"/>
      <c r="AF65" s="257"/>
      <c r="AV65" s="257"/>
      <c r="EK65" s="266" t="s">
        <v>96</v>
      </c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274" t="s">
        <v>49</v>
      </c>
      <c r="FA65" s="38"/>
      <c r="FB65" s="38"/>
      <c r="FC65" s="38"/>
      <c r="FD65" s="38"/>
      <c r="FE65" s="266" t="s">
        <v>97</v>
      </c>
      <c r="FF65" s="42"/>
      <c r="FG65" s="42"/>
      <c r="FH65" s="42"/>
      <c r="FI65" s="69" t="s">
        <v>105</v>
      </c>
      <c r="FJ65" s="42"/>
      <c r="FK65" s="42"/>
      <c r="FL65" s="71"/>
      <c r="FZ65" s="266" t="s">
        <v>99</v>
      </c>
      <c r="GA65" s="42"/>
      <c r="GB65" s="42"/>
      <c r="GC65" s="42"/>
      <c r="GD65" s="42"/>
      <c r="GE65" s="42"/>
      <c r="GF65" s="42"/>
      <c r="GG65" s="274" t="s">
        <v>49</v>
      </c>
      <c r="GU65" s="246"/>
    </row>
    <row r="66" spans="14:222" ht="15.75" thickBot="1">
      <c r="EG66" s="270">
        <v>125341750</v>
      </c>
      <c r="EI66" s="182">
        <v>1.07</v>
      </c>
      <c r="EK66" s="270">
        <v>75000000</v>
      </c>
      <c r="FE66" s="270">
        <v>50000000</v>
      </c>
      <c r="FI66" s="69" t="s">
        <v>104</v>
      </c>
      <c r="FL66" s="71"/>
      <c r="FZ66" s="270">
        <v>0</v>
      </c>
      <c r="HN66" s="124" t="s">
        <v>49</v>
      </c>
    </row>
    <row r="67" spans="14:222" ht="15" thickBot="1">
      <c r="EG67" s="269" t="s">
        <v>116</v>
      </c>
      <c r="EK67" s="269" t="s">
        <v>103</v>
      </c>
      <c r="FE67" s="269" t="s">
        <v>103</v>
      </c>
      <c r="FI67" s="281" t="s">
        <v>110</v>
      </c>
      <c r="FL67" s="280"/>
      <c r="FZ67" s="269" t="s">
        <v>103</v>
      </c>
    </row>
    <row r="68" spans="14:222">
      <c r="EG68" s="8"/>
      <c r="EK68" s="8"/>
    </row>
    <row r="69" spans="14:222">
      <c r="EG69" s="8"/>
      <c r="EK69" s="8"/>
    </row>
    <row r="70" spans="14:222">
      <c r="EG70" s="8"/>
      <c r="EK70" s="8"/>
    </row>
    <row r="71" spans="14:222">
      <c r="EG71" s="8"/>
      <c r="EK71" s="8"/>
    </row>
    <row r="72" spans="14:222">
      <c r="EG72" s="8"/>
      <c r="EK72" s="8"/>
    </row>
    <row r="73" spans="14:222">
      <c r="EG73" s="8"/>
      <c r="EK73" s="8"/>
    </row>
    <row r="74" spans="14:222">
      <c r="EG74" s="8"/>
      <c r="EK74" s="8"/>
    </row>
    <row r="75" spans="14:222">
      <c r="EG75" s="8"/>
      <c r="EK75" s="8"/>
    </row>
    <row r="76" spans="14:222">
      <c r="EG76" s="8"/>
      <c r="EK76" s="8"/>
    </row>
    <row r="77" spans="14:222">
      <c r="EG77" s="8"/>
      <c r="EK77" s="8"/>
    </row>
    <row r="78" spans="14:222">
      <c r="EG78" s="8"/>
      <c r="EK78" s="8"/>
    </row>
    <row r="79" spans="14:222">
      <c r="EG79" s="8"/>
      <c r="EK79" s="8"/>
    </row>
    <row r="80" spans="14:222">
      <c r="EG80" s="8"/>
      <c r="EK80" s="8"/>
    </row>
    <row r="81" spans="137:141">
      <c r="EG81" s="8"/>
      <c r="EK81" s="8"/>
    </row>
    <row r="82" spans="137:141">
      <c r="EG82" s="8"/>
      <c r="EK82" s="8"/>
    </row>
    <row r="83" spans="137:141">
      <c r="EG83" s="8"/>
      <c r="EK83" s="8"/>
    </row>
    <row r="84" spans="137:141">
      <c r="EG84" s="8"/>
      <c r="EK84" s="8"/>
    </row>
    <row r="85" spans="137:141">
      <c r="EG85" s="8"/>
      <c r="EK85" s="8"/>
    </row>
    <row r="86" spans="137:141">
      <c r="EG86" s="8"/>
      <c r="EK86" s="8"/>
    </row>
    <row r="87" spans="137:141">
      <c r="EG87" s="8"/>
      <c r="EK87" s="8"/>
    </row>
    <row r="88" spans="137:141">
      <c r="EG88" s="8"/>
      <c r="EK88" s="8"/>
    </row>
    <row r="89" spans="137:141">
      <c r="EG89" s="8"/>
      <c r="EK89" s="8"/>
    </row>
    <row r="90" spans="137:141">
      <c r="EG90" s="8"/>
      <c r="EK90" s="8"/>
    </row>
    <row r="91" spans="137:141">
      <c r="EG91" s="8"/>
      <c r="EK91" s="8"/>
    </row>
    <row r="92" spans="137:141">
      <c r="EK92" s="8"/>
    </row>
    <row r="93" spans="137:141">
      <c r="EK93" s="8"/>
    </row>
    <row r="94" spans="137:141">
      <c r="EK94" s="8"/>
    </row>
    <row r="95" spans="137:141">
      <c r="EK95" s="8"/>
    </row>
    <row r="96" spans="137:141">
      <c r="EK96" s="8"/>
    </row>
    <row r="97" spans="137:141">
      <c r="EK97" s="8"/>
    </row>
    <row r="98" spans="137:141">
      <c r="EK98" s="8"/>
    </row>
    <row r="99" spans="137:141">
      <c r="EK99" s="8"/>
    </row>
    <row r="100" spans="137:141">
      <c r="EK100" s="8"/>
    </row>
    <row r="101" spans="137:141">
      <c r="EK101" s="8"/>
    </row>
    <row r="102" spans="137:141">
      <c r="EG102" s="8"/>
      <c r="EK102" s="8"/>
    </row>
    <row r="103" spans="137:141">
      <c r="EG103" s="8"/>
      <c r="EK103" s="8"/>
    </row>
    <row r="104" spans="137:141">
      <c r="EG104" s="8"/>
      <c r="EK104" s="8"/>
    </row>
    <row r="105" spans="137:141">
      <c r="EG105" s="8"/>
      <c r="EK105" s="8"/>
    </row>
    <row r="106" spans="137:141">
      <c r="EG106" s="8"/>
      <c r="EK106" s="8"/>
    </row>
    <row r="107" spans="137:141">
      <c r="EG107" s="8"/>
      <c r="EK107" s="8"/>
    </row>
    <row r="108" spans="137:141">
      <c r="EG108" s="8"/>
      <c r="EK108" s="8"/>
    </row>
    <row r="109" spans="137:141">
      <c r="EG109" s="8"/>
      <c r="EK109" s="8"/>
    </row>
    <row r="110" spans="137:141">
      <c r="EG110" s="8"/>
      <c r="EK110" s="8"/>
    </row>
    <row r="111" spans="137:141">
      <c r="EG111" s="8"/>
      <c r="EK111" s="8"/>
    </row>
    <row r="112" spans="137:141">
      <c r="EG112" s="8"/>
      <c r="EK112" s="8"/>
    </row>
    <row r="113" spans="137:141">
      <c r="EG113" s="8"/>
      <c r="EK113" s="8"/>
    </row>
    <row r="114" spans="137:141">
      <c r="EG114" s="8"/>
      <c r="EK114" s="8"/>
    </row>
    <row r="115" spans="137:141">
      <c r="EG115" s="8"/>
      <c r="EK115" s="8"/>
    </row>
    <row r="116" spans="137:141">
      <c r="EG116" s="8"/>
      <c r="EK116" s="8"/>
    </row>
    <row r="117" spans="137:141">
      <c r="EG117" s="8"/>
      <c r="EK117" s="8"/>
    </row>
    <row r="118" spans="137:141">
      <c r="EG118" s="8"/>
      <c r="EK118" s="8"/>
    </row>
    <row r="119" spans="137:141">
      <c r="EG119" s="8"/>
    </row>
    <row r="120" spans="137:141">
      <c r="EG120" s="8"/>
    </row>
    <row r="121" spans="137:141">
      <c r="EG121" s="8"/>
    </row>
    <row r="122" spans="137:141">
      <c r="EG122" s="8"/>
    </row>
    <row r="123" spans="137:141">
      <c r="EG123" s="8"/>
    </row>
    <row r="124" spans="137:141">
      <c r="EG124" s="8"/>
    </row>
    <row r="125" spans="137:141">
      <c r="EG125" s="8"/>
    </row>
    <row r="126" spans="137:141">
      <c r="EG126" s="8"/>
    </row>
  </sheetData>
  <sheetProtection password="C93B" sheet="1" objects="1" scenarios="1"/>
  <phoneticPr fontId="0" type="noConversion"/>
  <pageMargins left="0.25" right="0.25" top="0.5" bottom="0.5" header="0.5" footer="0.25"/>
  <pageSetup scale="57" orientation="landscape" useFirstPageNumber="1" r:id="rId1"/>
  <headerFooter alignWithMargins="0">
    <oddFooter>&amp;LRevised: &amp;D &amp;T&amp;CPage &amp;P</oddFooter>
  </headerFooter>
  <colBreaks count="1" manualBreakCount="1">
    <brk id="135" min="5" max="66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indexed="42"/>
    <pageSetUpPr fitToPage="1"/>
  </sheetPr>
  <dimension ref="A1:IU98"/>
  <sheetViews>
    <sheetView showGridLines="0" showOutlineSymbols="0" defaultGridColor="0" colorId="8" zoomScaleNormal="100" zoomScaleSheetLayoutView="100" workbookViewId="0">
      <pane xSplit="2" ySplit="6" topLeftCell="HN58" activePane="bottomRight" state="frozen"/>
      <selection pane="topRight" activeCell="C1" sqref="C1"/>
      <selection pane="bottomLeft" activeCell="A7" sqref="A7"/>
      <selection pane="bottomRight" activeCell="HO68" sqref="HO68"/>
    </sheetView>
  </sheetViews>
  <sheetFormatPr defaultColWidth="0" defaultRowHeight="14.25"/>
  <cols>
    <col min="1" max="1" width="27.625" bestFit="1" customWidth="1"/>
    <col min="2" max="2" width="6.5" bestFit="1" customWidth="1"/>
    <col min="3" max="3" width="13" style="8" customWidth="1"/>
    <col min="4" max="4" width="12.375" style="8" bestFit="1" customWidth="1"/>
    <col min="5" max="6" width="10.625" style="8" customWidth="1"/>
    <col min="7" max="7" width="12.375" style="8" bestFit="1" customWidth="1"/>
    <col min="8" max="8" width="10.625" style="8" customWidth="1"/>
    <col min="9" max="9" width="12" style="8" bestFit="1" customWidth="1"/>
    <col min="10" max="103" width="10.625" style="8" customWidth="1"/>
    <col min="104" max="104" width="10.625" style="140" customWidth="1"/>
    <col min="105" max="117" width="10.625" style="8" customWidth="1"/>
    <col min="118" max="118" width="10.875" style="8" bestFit="1" customWidth="1"/>
    <col min="119" max="121" width="10.625" style="8" customWidth="1"/>
    <col min="122" max="122" width="10.625" style="140" customWidth="1"/>
    <col min="123" max="131" width="10.625" style="8" customWidth="1"/>
    <col min="132" max="132" width="10.625" style="140" customWidth="1"/>
    <col min="133" max="139" width="10.625" style="8" customWidth="1"/>
    <col min="140" max="140" width="12.375" style="8" bestFit="1" customWidth="1"/>
    <col min="141" max="146" width="10.625" style="8" customWidth="1"/>
    <col min="147" max="147" width="10.625" style="140" customWidth="1"/>
    <col min="148" max="159" width="10.625" style="8" customWidth="1"/>
    <col min="160" max="160" width="10.625" style="140" customWidth="1"/>
    <col min="161" max="161" width="11.375" style="8" bestFit="1" customWidth="1"/>
    <col min="162" max="181" width="10.625" style="8" customWidth="1"/>
    <col min="182" max="182" width="11.375" style="8" bestFit="1" customWidth="1"/>
    <col min="183" max="199" width="10.625" style="8" customWidth="1"/>
    <col min="200" max="200" width="12.375" style="8" bestFit="1" customWidth="1"/>
    <col min="201" max="222" width="10.625" style="8" customWidth="1"/>
    <col min="223" max="223" width="12.25" style="8" bestFit="1" customWidth="1"/>
    <col min="224" max="253" width="10.625" style="8" customWidth="1"/>
    <col min="254" max="254" width="10.625" style="152" hidden="1" customWidth="1"/>
    <col min="255" max="16384" width="10.625" style="8" hidden="1"/>
  </cols>
  <sheetData>
    <row r="1" spans="1:255" ht="27.75" thickBot="1">
      <c r="A1" s="17" t="s">
        <v>36</v>
      </c>
      <c r="B1" s="18"/>
      <c r="V1" s="152"/>
      <c r="W1" s="330"/>
      <c r="AD1" s="330"/>
      <c r="AO1" s="330"/>
      <c r="AR1" s="152"/>
      <c r="BN1" s="152"/>
      <c r="BV1" s="330"/>
      <c r="BW1" s="330"/>
      <c r="BX1" s="330"/>
      <c r="CB1" s="330"/>
      <c r="CG1" s="330"/>
      <c r="CM1" s="146"/>
      <c r="DD1" s="152"/>
      <c r="DR1" s="150"/>
      <c r="DZ1" s="152"/>
      <c r="EU1" s="152"/>
      <c r="FJ1" s="151"/>
      <c r="FM1" s="163"/>
      <c r="FP1" s="152"/>
      <c r="GG1" s="163"/>
      <c r="GH1" s="190"/>
      <c r="GK1" s="152"/>
      <c r="GR1" s="417" t="s">
        <v>170</v>
      </c>
      <c r="HD1" s="152"/>
      <c r="HO1" s="124" t="s">
        <v>49</v>
      </c>
      <c r="HZ1" s="152"/>
      <c r="IA1" s="148"/>
      <c r="IN1" s="165" t="s">
        <v>70</v>
      </c>
    </row>
    <row r="2" spans="1:255" ht="19.5">
      <c r="A2" s="19" t="s">
        <v>0</v>
      </c>
      <c r="B2" s="19"/>
      <c r="V2" s="152"/>
      <c r="W2" s="330"/>
      <c r="AD2" s="330"/>
      <c r="AO2" s="330"/>
      <c r="AR2" s="152"/>
      <c r="BN2" s="152"/>
      <c r="BV2" s="330"/>
      <c r="BW2" s="330"/>
      <c r="BX2" s="330"/>
      <c r="CB2" s="330"/>
      <c r="CG2" s="330"/>
      <c r="CM2" s="146"/>
      <c r="DD2" s="152"/>
      <c r="DR2" s="151"/>
      <c r="DZ2" s="152"/>
      <c r="EU2" s="152"/>
      <c r="FJ2" s="953" t="s">
        <v>180</v>
      </c>
      <c r="FM2" s="163"/>
      <c r="FP2" s="152"/>
      <c r="GG2" s="163"/>
      <c r="GK2" s="152"/>
      <c r="GR2" s="417" t="s">
        <v>171</v>
      </c>
      <c r="HD2" s="152"/>
      <c r="HO2" s="512" t="s">
        <v>105</v>
      </c>
      <c r="HZ2" s="152"/>
      <c r="IN2" s="165" t="s">
        <v>66</v>
      </c>
    </row>
    <row r="3" spans="1:255" ht="15.75" thickBot="1">
      <c r="B3" s="16"/>
      <c r="V3" s="152"/>
      <c r="W3" s="330"/>
      <c r="AD3" s="330"/>
      <c r="AO3" s="330"/>
      <c r="AR3" s="152"/>
      <c r="BN3" s="152"/>
      <c r="BV3" s="330"/>
      <c r="BW3" s="330"/>
      <c r="BX3" s="330"/>
      <c r="CB3" s="330"/>
      <c r="CG3" s="330"/>
      <c r="DD3" s="152"/>
      <c r="DR3" s="151"/>
      <c r="DZ3" s="152"/>
      <c r="EU3" s="152"/>
      <c r="FJ3" s="954"/>
      <c r="FM3" s="163"/>
      <c r="FP3" s="152"/>
      <c r="GG3" s="163"/>
      <c r="GK3" s="152"/>
      <c r="HD3" s="152"/>
      <c r="HO3" s="513" t="s">
        <v>179</v>
      </c>
      <c r="HS3" s="461" t="s">
        <v>102</v>
      </c>
      <c r="HT3" s="461" t="s">
        <v>102</v>
      </c>
      <c r="HU3" s="461" t="s">
        <v>102</v>
      </c>
      <c r="HV3" s="461" t="s">
        <v>102</v>
      </c>
      <c r="HW3" s="461" t="s">
        <v>102</v>
      </c>
      <c r="HX3" s="461" t="s">
        <v>102</v>
      </c>
      <c r="HY3" s="461" t="s">
        <v>102</v>
      </c>
      <c r="HZ3" s="479" t="s">
        <v>102</v>
      </c>
      <c r="IN3" s="165" t="s">
        <v>81</v>
      </c>
    </row>
    <row r="4" spans="1:255" s="147" customFormat="1" ht="14.1" customHeight="1">
      <c r="A4" s="51" t="s">
        <v>1</v>
      </c>
      <c r="B4" s="47" t="s">
        <v>46</v>
      </c>
      <c r="C4" s="55">
        <v>39843</v>
      </c>
      <c r="D4" s="48">
        <v>39846</v>
      </c>
      <c r="E4" s="48">
        <v>39847</v>
      </c>
      <c r="F4" s="48">
        <v>39848</v>
      </c>
      <c r="G4" s="48">
        <v>39849</v>
      </c>
      <c r="H4" s="54">
        <v>39850</v>
      </c>
      <c r="I4" s="48">
        <v>39853</v>
      </c>
      <c r="J4" s="48">
        <v>39854</v>
      </c>
      <c r="K4" s="48">
        <v>39855</v>
      </c>
      <c r="L4" s="48">
        <v>39856</v>
      </c>
      <c r="M4" s="220">
        <v>39857</v>
      </c>
      <c r="N4" s="48">
        <v>39861</v>
      </c>
      <c r="O4" s="48">
        <v>39862</v>
      </c>
      <c r="P4" s="48">
        <v>39863</v>
      </c>
      <c r="Q4" s="54">
        <v>39864</v>
      </c>
      <c r="R4" s="48">
        <v>39867</v>
      </c>
      <c r="S4" s="48">
        <v>39868</v>
      </c>
      <c r="T4" s="48">
        <v>39869</v>
      </c>
      <c r="U4" s="48">
        <v>39870</v>
      </c>
      <c r="V4" s="55">
        <v>39871</v>
      </c>
      <c r="W4" s="48">
        <v>39874</v>
      </c>
      <c r="X4" s="48">
        <v>39875</v>
      </c>
      <c r="Y4" s="48">
        <v>39876</v>
      </c>
      <c r="Z4" s="48">
        <v>39877</v>
      </c>
      <c r="AA4" s="54">
        <v>39878</v>
      </c>
      <c r="AB4" s="48">
        <v>39881</v>
      </c>
      <c r="AC4" s="48">
        <v>39882</v>
      </c>
      <c r="AD4" s="48">
        <v>39883</v>
      </c>
      <c r="AE4" s="48">
        <v>39884</v>
      </c>
      <c r="AF4" s="220">
        <v>39885</v>
      </c>
      <c r="AG4" s="48">
        <v>39888</v>
      </c>
      <c r="AH4" s="48">
        <v>39889</v>
      </c>
      <c r="AI4" s="48">
        <v>39890</v>
      </c>
      <c r="AJ4" s="48">
        <v>39891</v>
      </c>
      <c r="AK4" s="54">
        <v>39892</v>
      </c>
      <c r="AL4" s="48">
        <v>39895</v>
      </c>
      <c r="AM4" s="48">
        <v>39896</v>
      </c>
      <c r="AN4" s="48">
        <v>39897</v>
      </c>
      <c r="AO4" s="48">
        <v>39898</v>
      </c>
      <c r="AP4" s="48">
        <v>39899</v>
      </c>
      <c r="AQ4" s="48">
        <v>39902</v>
      </c>
      <c r="AR4" s="55">
        <v>39903</v>
      </c>
      <c r="AS4" s="48">
        <v>39904</v>
      </c>
      <c r="AT4" s="48">
        <v>39905</v>
      </c>
      <c r="AU4" s="54">
        <v>39906</v>
      </c>
      <c r="AV4" s="48">
        <v>39909</v>
      </c>
      <c r="AW4" s="48">
        <v>39910</v>
      </c>
      <c r="AX4" s="48">
        <v>39911</v>
      </c>
      <c r="AY4" s="48">
        <v>39912</v>
      </c>
      <c r="AZ4" s="48">
        <v>39913</v>
      </c>
      <c r="BA4" s="48">
        <v>39916</v>
      </c>
      <c r="BB4" s="48">
        <v>39917</v>
      </c>
      <c r="BC4" s="220">
        <v>39918</v>
      </c>
      <c r="BD4" s="48">
        <v>39919</v>
      </c>
      <c r="BE4" s="54">
        <v>39920</v>
      </c>
      <c r="BF4" s="48">
        <v>39923</v>
      </c>
      <c r="BG4" s="48">
        <v>39924</v>
      </c>
      <c r="BH4" s="48">
        <v>39925</v>
      </c>
      <c r="BI4" s="48">
        <v>39926</v>
      </c>
      <c r="BJ4" s="48">
        <v>39927</v>
      </c>
      <c r="BK4" s="48">
        <v>39930</v>
      </c>
      <c r="BL4" s="48">
        <v>39931</v>
      </c>
      <c r="BM4" s="48">
        <v>39932</v>
      </c>
      <c r="BN4" s="55">
        <v>39933</v>
      </c>
      <c r="BO4" s="54">
        <v>39934</v>
      </c>
      <c r="BP4" s="48">
        <v>39937</v>
      </c>
      <c r="BQ4" s="48">
        <v>39938</v>
      </c>
      <c r="BR4" s="48">
        <v>39939</v>
      </c>
      <c r="BS4" s="48">
        <v>39940</v>
      </c>
      <c r="BT4" s="48">
        <v>39941</v>
      </c>
      <c r="BU4" s="48">
        <v>39944</v>
      </c>
      <c r="BV4" s="48">
        <v>39945</v>
      </c>
      <c r="BW4" s="48">
        <v>39946</v>
      </c>
      <c r="BX4" s="48">
        <v>39947</v>
      </c>
      <c r="BY4" s="220">
        <v>39948</v>
      </c>
      <c r="BZ4" s="48">
        <v>39951</v>
      </c>
      <c r="CA4" s="48">
        <v>39952</v>
      </c>
      <c r="CB4" s="48">
        <v>39953</v>
      </c>
      <c r="CC4" s="48">
        <v>39954</v>
      </c>
      <c r="CD4" s="48">
        <v>39955</v>
      </c>
      <c r="CE4" s="48">
        <v>39959</v>
      </c>
      <c r="CF4" s="48">
        <v>39960</v>
      </c>
      <c r="CG4" s="48">
        <v>39961</v>
      </c>
      <c r="CH4" s="54">
        <v>39962</v>
      </c>
      <c r="CI4" s="48">
        <v>39965</v>
      </c>
      <c r="CJ4" s="48">
        <v>39966</v>
      </c>
      <c r="CK4" s="48">
        <v>39967</v>
      </c>
      <c r="CL4" s="48">
        <v>39968</v>
      </c>
      <c r="CM4" s="48">
        <v>39969</v>
      </c>
      <c r="CN4" s="48">
        <v>39972</v>
      </c>
      <c r="CO4" s="48">
        <v>39973</v>
      </c>
      <c r="CP4" s="48">
        <v>39974</v>
      </c>
      <c r="CQ4" s="48">
        <v>39975</v>
      </c>
      <c r="CR4" s="54">
        <v>39976</v>
      </c>
      <c r="CS4" s="220">
        <v>39979</v>
      </c>
      <c r="CT4" s="48">
        <v>39980</v>
      </c>
      <c r="CU4" s="48">
        <v>39981</v>
      </c>
      <c r="CV4" s="48">
        <v>39982</v>
      </c>
      <c r="CW4" s="48">
        <v>39983</v>
      </c>
      <c r="CX4" s="48">
        <v>39986</v>
      </c>
      <c r="CY4" s="48">
        <v>39987</v>
      </c>
      <c r="CZ4" s="48">
        <v>39988</v>
      </c>
      <c r="DA4" s="48">
        <v>39989</v>
      </c>
      <c r="DB4" s="54">
        <v>39990</v>
      </c>
      <c r="DC4" s="48">
        <v>39993</v>
      </c>
      <c r="DD4" s="55">
        <v>39994</v>
      </c>
      <c r="DE4" s="48">
        <v>39995</v>
      </c>
      <c r="DF4" s="48">
        <v>39996</v>
      </c>
      <c r="DG4" s="48">
        <v>40000</v>
      </c>
      <c r="DH4" s="48">
        <v>40001</v>
      </c>
      <c r="DI4" s="48">
        <v>40002</v>
      </c>
      <c r="DJ4" s="48">
        <v>40003</v>
      </c>
      <c r="DK4" s="54">
        <v>40004</v>
      </c>
      <c r="DL4" s="48">
        <v>40007</v>
      </c>
      <c r="DM4" s="48">
        <v>40008</v>
      </c>
      <c r="DN4" s="220">
        <v>40009</v>
      </c>
      <c r="DO4" s="48">
        <v>40010</v>
      </c>
      <c r="DP4" s="48">
        <v>40011</v>
      </c>
      <c r="DQ4" s="48">
        <v>40014</v>
      </c>
      <c r="DR4" s="48">
        <v>40015</v>
      </c>
      <c r="DS4" s="48">
        <v>40016</v>
      </c>
      <c r="DT4" s="48">
        <v>40017</v>
      </c>
      <c r="DU4" s="54">
        <v>40018</v>
      </c>
      <c r="DV4" s="48">
        <v>40021</v>
      </c>
      <c r="DW4" s="48">
        <v>40022</v>
      </c>
      <c r="DX4" s="48">
        <v>40023</v>
      </c>
      <c r="DY4" s="48">
        <v>40024</v>
      </c>
      <c r="DZ4" s="55">
        <v>40025</v>
      </c>
      <c r="EA4" s="48">
        <v>40028</v>
      </c>
      <c r="EB4" s="48">
        <v>40029</v>
      </c>
      <c r="EC4" s="48">
        <v>40030</v>
      </c>
      <c r="ED4" s="48">
        <v>40031</v>
      </c>
      <c r="EE4" s="54">
        <v>40032</v>
      </c>
      <c r="EF4" s="48">
        <v>40035</v>
      </c>
      <c r="EG4" s="48">
        <v>40036</v>
      </c>
      <c r="EH4" s="48">
        <v>40037</v>
      </c>
      <c r="EI4" s="48">
        <v>40038</v>
      </c>
      <c r="EJ4" s="220">
        <v>40039</v>
      </c>
      <c r="EK4" s="48">
        <v>40042</v>
      </c>
      <c r="EL4" s="48">
        <v>40043</v>
      </c>
      <c r="EM4" s="48">
        <v>40044</v>
      </c>
      <c r="EN4" s="48">
        <v>40045</v>
      </c>
      <c r="EO4" s="54">
        <v>40046</v>
      </c>
      <c r="EP4" s="48">
        <v>40049</v>
      </c>
      <c r="EQ4" s="162">
        <v>40050</v>
      </c>
      <c r="ER4" s="48">
        <v>40051</v>
      </c>
      <c r="ES4" s="48">
        <v>40052</v>
      </c>
      <c r="ET4" s="48">
        <v>40053</v>
      </c>
      <c r="EU4" s="55">
        <v>40056</v>
      </c>
      <c r="EV4" s="48">
        <v>40057</v>
      </c>
      <c r="EW4" s="48">
        <v>40058</v>
      </c>
      <c r="EX4" s="48">
        <v>40059</v>
      </c>
      <c r="EY4" s="54">
        <v>40060</v>
      </c>
      <c r="EZ4" s="48">
        <v>40064</v>
      </c>
      <c r="FA4" s="48">
        <v>40065</v>
      </c>
      <c r="FB4" s="48">
        <v>40066</v>
      </c>
      <c r="FC4" s="48">
        <v>40067</v>
      </c>
      <c r="FD4" s="48">
        <v>40070</v>
      </c>
      <c r="FE4" s="220">
        <v>40071</v>
      </c>
      <c r="FF4" s="48">
        <v>40072</v>
      </c>
      <c r="FG4" s="48">
        <v>40073</v>
      </c>
      <c r="FH4" s="54">
        <v>40074</v>
      </c>
      <c r="FI4" s="48">
        <v>40077</v>
      </c>
      <c r="FJ4" s="514">
        <v>40078</v>
      </c>
      <c r="FK4" s="48">
        <v>40079</v>
      </c>
      <c r="FL4" s="48">
        <v>40080</v>
      </c>
      <c r="FM4" s="162">
        <v>40081</v>
      </c>
      <c r="FN4" s="48">
        <v>40084</v>
      </c>
      <c r="FO4" s="48">
        <v>40085</v>
      </c>
      <c r="FP4" s="55">
        <v>40086</v>
      </c>
      <c r="FQ4" s="48">
        <v>40087</v>
      </c>
      <c r="FR4" s="54">
        <v>40088</v>
      </c>
      <c r="FS4" s="48">
        <v>40091</v>
      </c>
      <c r="FT4" s="48">
        <v>40092</v>
      </c>
      <c r="FU4" s="48">
        <v>40093</v>
      </c>
      <c r="FV4" s="48">
        <v>40094</v>
      </c>
      <c r="FW4" s="48">
        <v>40095</v>
      </c>
      <c r="FX4" s="48">
        <v>40099</v>
      </c>
      <c r="FY4" s="48">
        <v>40100</v>
      </c>
      <c r="FZ4" s="220">
        <v>40101</v>
      </c>
      <c r="GA4" s="54">
        <v>40102</v>
      </c>
      <c r="GB4" s="48">
        <v>40105</v>
      </c>
      <c r="GC4" s="48">
        <v>40106</v>
      </c>
      <c r="GD4" s="48">
        <v>40107</v>
      </c>
      <c r="GE4" s="48">
        <v>40108</v>
      </c>
      <c r="GF4" s="48">
        <v>40109</v>
      </c>
      <c r="GG4" s="162">
        <v>40112</v>
      </c>
      <c r="GH4" s="48">
        <v>40113</v>
      </c>
      <c r="GI4" s="48">
        <v>40114</v>
      </c>
      <c r="GJ4" s="48">
        <v>40115</v>
      </c>
      <c r="GK4" s="54">
        <v>40116</v>
      </c>
      <c r="GL4" s="48">
        <v>40119</v>
      </c>
      <c r="GM4" s="48">
        <v>40120</v>
      </c>
      <c r="GN4" s="48">
        <v>40121</v>
      </c>
      <c r="GO4" s="48">
        <v>40122</v>
      </c>
      <c r="GP4" s="48">
        <v>40123</v>
      </c>
      <c r="GQ4" s="48">
        <v>40126</v>
      </c>
      <c r="GR4" s="48">
        <v>40127</v>
      </c>
      <c r="GS4" s="48">
        <v>40129</v>
      </c>
      <c r="GT4" s="220">
        <v>40132</v>
      </c>
      <c r="GU4" s="48">
        <v>40133</v>
      </c>
      <c r="GV4" s="48">
        <f>+GU4+1</f>
        <v>40134</v>
      </c>
      <c r="GW4" s="48">
        <f>+GV4+1</f>
        <v>40135</v>
      </c>
      <c r="GX4" s="48">
        <f>+GW4+1</f>
        <v>40136</v>
      </c>
      <c r="GY4" s="48">
        <f>+GX4+1</f>
        <v>40137</v>
      </c>
      <c r="GZ4" s="48">
        <v>40140</v>
      </c>
      <c r="HA4" s="48">
        <f>+GZ4+1</f>
        <v>40141</v>
      </c>
      <c r="HB4" s="48">
        <f>+HA4+1</f>
        <v>40142</v>
      </c>
      <c r="HC4" s="480">
        <v>40144</v>
      </c>
      <c r="HD4" s="55">
        <v>40147</v>
      </c>
      <c r="HE4" s="48">
        <v>40148</v>
      </c>
      <c r="HF4" s="48">
        <f>+HE4+1</f>
        <v>40149</v>
      </c>
      <c r="HG4" s="48">
        <f>+HF4+1</f>
        <v>40150</v>
      </c>
      <c r="HH4" s="48">
        <f>+HG4+1</f>
        <v>40151</v>
      </c>
      <c r="HI4" s="48">
        <v>40154</v>
      </c>
      <c r="HJ4" s="48">
        <f>+HI4+1</f>
        <v>40155</v>
      </c>
      <c r="HK4" s="48">
        <f>+HJ4+1</f>
        <v>40156</v>
      </c>
      <c r="HL4" s="48">
        <f>+HK4+1</f>
        <v>40157</v>
      </c>
      <c r="HM4" s="54">
        <f>+HL4+1</f>
        <v>40158</v>
      </c>
      <c r="HN4" s="48">
        <v>40161</v>
      </c>
      <c r="HO4" s="220">
        <f>+HN4+1</f>
        <v>40162</v>
      </c>
      <c r="HP4" s="48">
        <f>+HO4+1</f>
        <v>40163</v>
      </c>
      <c r="HQ4" s="48">
        <f>+HP4+1</f>
        <v>40164</v>
      </c>
      <c r="HR4" s="48">
        <f>+HQ4+1</f>
        <v>40165</v>
      </c>
      <c r="HS4" s="48">
        <v>40168</v>
      </c>
      <c r="HT4" s="48">
        <f>+HS4+1</f>
        <v>40169</v>
      </c>
      <c r="HU4" s="48">
        <f>+HT4+1</f>
        <v>40170</v>
      </c>
      <c r="HV4" s="480">
        <f>+HU4+1</f>
        <v>40171</v>
      </c>
      <c r="HW4" s="48">
        <v>40175</v>
      </c>
      <c r="HX4" s="48">
        <f>+HW4+1</f>
        <v>40176</v>
      </c>
      <c r="HY4" s="48">
        <f>+HX4+1</f>
        <v>40177</v>
      </c>
      <c r="HZ4" s="55">
        <f>+HY4+1</f>
        <v>40178</v>
      </c>
      <c r="IA4" s="48">
        <v>40182</v>
      </c>
      <c r="IB4" s="48">
        <f>+IA4+1</f>
        <v>40183</v>
      </c>
      <c r="IC4" s="48">
        <f>+IB4+1</f>
        <v>40184</v>
      </c>
      <c r="ID4" s="48">
        <f>+IC4+1</f>
        <v>40185</v>
      </c>
      <c r="IE4" s="54">
        <f>+ID4+1</f>
        <v>40186</v>
      </c>
      <c r="IF4" s="48">
        <v>40189</v>
      </c>
      <c r="IG4" s="48">
        <f>+IF4+1</f>
        <v>40190</v>
      </c>
      <c r="IH4" s="48">
        <f>+IG4+1</f>
        <v>40191</v>
      </c>
      <c r="II4" s="48">
        <f>+IH4+1</f>
        <v>40192</v>
      </c>
      <c r="IJ4" s="220">
        <f>+II4+1</f>
        <v>40193</v>
      </c>
      <c r="IK4" s="48">
        <v>40197</v>
      </c>
      <c r="IL4" s="48">
        <f>+IK4+1</f>
        <v>40198</v>
      </c>
      <c r="IM4" s="48">
        <f>+IL4+1</f>
        <v>40199</v>
      </c>
      <c r="IN4" s="54">
        <f>+IM4+1</f>
        <v>40200</v>
      </c>
      <c r="IO4" s="48">
        <v>40203</v>
      </c>
      <c r="IP4" s="48">
        <f>+IO4+1</f>
        <v>40204</v>
      </c>
      <c r="IQ4" s="48">
        <f>+IP4+1</f>
        <v>40205</v>
      </c>
      <c r="IR4" s="48">
        <f>+IQ4+1</f>
        <v>40206</v>
      </c>
      <c r="IS4" s="48">
        <f>+IR4+1</f>
        <v>40207</v>
      </c>
      <c r="IT4" s="55">
        <f>+IS4+1</f>
        <v>40208</v>
      </c>
      <c r="IU4" s="49" t="s">
        <v>73</v>
      </c>
    </row>
    <row r="5" spans="1:255" s="170" customFormat="1" ht="14.1" customHeight="1" thickBot="1">
      <c r="A5" s="167"/>
      <c r="B5" s="168"/>
      <c r="C5" s="169"/>
      <c r="H5" s="171" t="s">
        <v>74</v>
      </c>
      <c r="M5" s="181" t="s">
        <v>75</v>
      </c>
      <c r="Q5" s="171" t="s">
        <v>74</v>
      </c>
      <c r="V5" s="169"/>
      <c r="AA5" s="171" t="s">
        <v>74</v>
      </c>
      <c r="AF5" s="181" t="s">
        <v>75</v>
      </c>
      <c r="AK5" s="171" t="s">
        <v>74</v>
      </c>
      <c r="AR5" s="169"/>
      <c r="AU5" s="171" t="s">
        <v>74</v>
      </c>
      <c r="BC5" s="181" t="s">
        <v>75</v>
      </c>
      <c r="BE5" s="171" t="s">
        <v>74</v>
      </c>
      <c r="BN5" s="169"/>
      <c r="BO5" s="171" t="s">
        <v>74</v>
      </c>
      <c r="BY5" s="181" t="s">
        <v>76</v>
      </c>
      <c r="CH5" s="171" t="s">
        <v>74</v>
      </c>
      <c r="CR5" s="171" t="s">
        <v>74</v>
      </c>
      <c r="CS5" s="181" t="s">
        <v>75</v>
      </c>
      <c r="CZ5" s="172"/>
      <c r="DB5" s="171" t="s">
        <v>74</v>
      </c>
      <c r="DC5" s="170" t="s">
        <v>49</v>
      </c>
      <c r="DD5" s="169"/>
      <c r="DK5" s="171" t="s">
        <v>74</v>
      </c>
      <c r="DN5" s="181" t="s">
        <v>75</v>
      </c>
      <c r="DR5" s="172"/>
      <c r="DU5" s="171" t="s">
        <v>74</v>
      </c>
      <c r="DZ5" s="169"/>
      <c r="EB5" s="172"/>
      <c r="EE5" s="171" t="s">
        <v>74</v>
      </c>
      <c r="EF5" s="455" t="s">
        <v>173</v>
      </c>
      <c r="EJ5" s="181" t="s">
        <v>75</v>
      </c>
      <c r="EK5" s="172"/>
      <c r="EO5" s="171" t="s">
        <v>74</v>
      </c>
      <c r="EQ5" s="214"/>
      <c r="EU5" s="169"/>
      <c r="EY5" s="171" t="s">
        <v>74</v>
      </c>
      <c r="FB5" s="455" t="s">
        <v>173</v>
      </c>
      <c r="FD5" s="172"/>
      <c r="FE5" s="181" t="s">
        <v>75</v>
      </c>
      <c r="FH5" s="171" t="s">
        <v>74</v>
      </c>
      <c r="FJ5" s="515"/>
      <c r="FM5" s="215"/>
      <c r="FP5" s="169"/>
      <c r="FR5" s="171" t="s">
        <v>74</v>
      </c>
      <c r="FZ5" s="181" t="s">
        <v>75</v>
      </c>
      <c r="GA5" s="171" t="s">
        <v>74</v>
      </c>
      <c r="GG5" s="215"/>
      <c r="GJ5" s="455" t="s">
        <v>173</v>
      </c>
      <c r="GK5" s="171" t="s">
        <v>74</v>
      </c>
      <c r="GT5" s="181" t="s">
        <v>76</v>
      </c>
      <c r="HC5" s="171" t="s">
        <v>74</v>
      </c>
      <c r="HD5" s="169"/>
      <c r="HM5" s="171" t="s">
        <v>74</v>
      </c>
      <c r="HO5" s="181" t="s">
        <v>75</v>
      </c>
      <c r="HU5" s="170" t="s">
        <v>49</v>
      </c>
      <c r="HV5" s="171" t="s">
        <v>74</v>
      </c>
      <c r="HZ5" s="169"/>
      <c r="IE5" s="171" t="s">
        <v>74</v>
      </c>
      <c r="IJ5" s="181" t="s">
        <v>75</v>
      </c>
      <c r="IN5" s="171" t="s">
        <v>74</v>
      </c>
      <c r="IT5" s="169"/>
    </row>
    <row r="6" spans="1:255" ht="14.1" customHeight="1">
      <c r="A6" s="2" t="s">
        <v>2</v>
      </c>
      <c r="B6" s="2"/>
      <c r="C6" s="153">
        <v>110446.02</v>
      </c>
      <c r="D6" s="2">
        <f t="shared" ref="D6:BO6" si="0">C54</f>
        <v>113098.01999999955</v>
      </c>
      <c r="E6" s="2">
        <f t="shared" si="0"/>
        <v>130273.01999999583</v>
      </c>
      <c r="F6" s="2">
        <f t="shared" si="0"/>
        <v>111667.01999999583</v>
      </c>
      <c r="G6" s="2">
        <f t="shared" si="0"/>
        <v>131863.02000000328</v>
      </c>
      <c r="H6" s="2">
        <f t="shared" si="0"/>
        <v>120762.01999999583</v>
      </c>
      <c r="I6" s="2">
        <f t="shared" si="0"/>
        <v>128182.01999999583</v>
      </c>
      <c r="J6" s="2">
        <f t="shared" si="0"/>
        <v>233490.01999998093</v>
      </c>
      <c r="K6" s="2">
        <f t="shared" si="0"/>
        <v>114201.79999998095</v>
      </c>
      <c r="L6" s="2">
        <f t="shared" si="0"/>
        <v>120344.79999998212</v>
      </c>
      <c r="M6" s="221">
        <f t="shared" si="0"/>
        <v>120851.79999996722</v>
      </c>
      <c r="N6" s="2">
        <f t="shared" si="0"/>
        <v>154096.69999995828</v>
      </c>
      <c r="O6" s="2">
        <f t="shared" si="0"/>
        <v>149491.89999995381</v>
      </c>
      <c r="P6" s="2">
        <f t="shared" si="0"/>
        <v>177303.89999995381</v>
      </c>
      <c r="Q6" s="2">
        <f t="shared" si="0"/>
        <v>114214.89999995008</v>
      </c>
      <c r="R6" s="2">
        <f t="shared" si="0"/>
        <v>108437.89999995008</v>
      </c>
      <c r="S6" s="2">
        <f t="shared" si="0"/>
        <v>111160.89999994636</v>
      </c>
      <c r="T6" s="2">
        <f t="shared" si="0"/>
        <v>119050.89999994636</v>
      </c>
      <c r="U6" s="2">
        <f t="shared" si="0"/>
        <v>114770.89999994636</v>
      </c>
      <c r="V6" s="153">
        <f t="shared" si="0"/>
        <v>104932.89999994636</v>
      </c>
      <c r="W6" s="2">
        <f t="shared" si="0"/>
        <v>121574.89999994636</v>
      </c>
      <c r="X6" s="2">
        <f t="shared" si="0"/>
        <v>166787.89999994636</v>
      </c>
      <c r="Y6" s="2">
        <f t="shared" si="0"/>
        <v>130803.89999994589</v>
      </c>
      <c r="Z6" s="2">
        <f t="shared" si="0"/>
        <v>114318.89999994612</v>
      </c>
      <c r="AA6" s="331">
        <f t="shared" si="0"/>
        <v>130181.89999994542</v>
      </c>
      <c r="AB6" s="331">
        <f t="shared" si="0"/>
        <v>183670.89999995008</v>
      </c>
      <c r="AC6" s="2">
        <f t="shared" si="0"/>
        <v>175295.89999995008</v>
      </c>
      <c r="AD6" s="2">
        <f t="shared" si="0"/>
        <v>186348.89999995008</v>
      </c>
      <c r="AE6" s="2">
        <f t="shared" si="0"/>
        <v>177991.89999994985</v>
      </c>
      <c r="AF6" s="221">
        <f t="shared" si="0"/>
        <v>119531.89999995008</v>
      </c>
      <c r="AG6" s="221">
        <f t="shared" si="0"/>
        <v>194826.89999993145</v>
      </c>
      <c r="AH6" s="221">
        <f t="shared" si="0"/>
        <v>146073.89999993145</v>
      </c>
      <c r="AI6" s="221">
        <f t="shared" si="0"/>
        <v>985857.89999993122</v>
      </c>
      <c r="AJ6" s="221">
        <f t="shared" si="0"/>
        <v>154948.89999993122</v>
      </c>
      <c r="AK6" s="221">
        <f t="shared" si="0"/>
        <v>100131.89999993099</v>
      </c>
      <c r="AL6" s="2">
        <f t="shared" si="0"/>
        <v>99999.899999931455</v>
      </c>
      <c r="AM6" s="2">
        <f t="shared" si="0"/>
        <v>99999.899999931455</v>
      </c>
      <c r="AN6" s="2">
        <f t="shared" si="0"/>
        <v>108143.89999993122</v>
      </c>
      <c r="AO6" s="2">
        <f t="shared" si="0"/>
        <v>116172.89999993239</v>
      </c>
      <c r="AP6" s="2">
        <f t="shared" si="0"/>
        <v>111172.89999993262</v>
      </c>
      <c r="AQ6" s="2">
        <f t="shared" si="0"/>
        <v>115273.89999993285</v>
      </c>
      <c r="AR6" s="2">
        <f t="shared" si="0"/>
        <v>122411.89999993239</v>
      </c>
      <c r="AS6" s="2">
        <f t="shared" si="0"/>
        <v>366036.89999993239</v>
      </c>
      <c r="AT6" s="2">
        <f t="shared" si="0"/>
        <v>165251.89999993239</v>
      </c>
      <c r="AU6" s="2">
        <f t="shared" si="0"/>
        <v>208744.89999993285</v>
      </c>
      <c r="AV6" s="2">
        <f t="shared" si="0"/>
        <v>183688.89999993285</v>
      </c>
      <c r="AW6" s="2">
        <f t="shared" si="0"/>
        <v>142160.89999993332</v>
      </c>
      <c r="AX6" s="2">
        <f t="shared" si="0"/>
        <v>110778.89999993332</v>
      </c>
      <c r="AY6" s="2">
        <f t="shared" si="0"/>
        <v>211555.89999993332</v>
      </c>
      <c r="AZ6" s="2">
        <f t="shared" si="0"/>
        <v>130434.89999993332</v>
      </c>
      <c r="BA6" s="2">
        <f t="shared" si="0"/>
        <v>162981.89999993355</v>
      </c>
      <c r="BB6" s="2">
        <f t="shared" si="0"/>
        <v>119257.89999993239</v>
      </c>
      <c r="BC6" s="221">
        <f t="shared" si="0"/>
        <v>124282.89999993145</v>
      </c>
      <c r="BD6" s="2">
        <f t="shared" si="0"/>
        <v>128894.89999993145</v>
      </c>
      <c r="BE6" s="2">
        <f t="shared" si="0"/>
        <v>111196.89999993122</v>
      </c>
      <c r="BF6" s="2">
        <f t="shared" si="0"/>
        <v>117759.89999993052</v>
      </c>
      <c r="BG6" s="2">
        <f t="shared" si="0"/>
        <v>162326.89999993145</v>
      </c>
      <c r="BH6" s="2">
        <f t="shared" si="0"/>
        <v>145999.89999993145</v>
      </c>
      <c r="BI6" s="2">
        <f t="shared" si="0"/>
        <v>114939.89999993145</v>
      </c>
      <c r="BJ6" s="2">
        <f t="shared" si="0"/>
        <v>108179.89999993145</v>
      </c>
      <c r="BK6" s="2">
        <f t="shared" si="0"/>
        <v>130926.89999993145</v>
      </c>
      <c r="BL6" s="2">
        <f t="shared" si="0"/>
        <v>132177.89999993145</v>
      </c>
      <c r="BM6" s="2">
        <f t="shared" si="0"/>
        <v>110908.89999993169</v>
      </c>
      <c r="BN6" s="153">
        <f t="shared" si="0"/>
        <v>106568.89999993169</v>
      </c>
      <c r="BO6" s="2">
        <f t="shared" si="0"/>
        <v>138481.89999993192</v>
      </c>
      <c r="BP6" s="2">
        <f t="shared" ref="BP6:EA6" si="1">BO54</f>
        <v>187327.89999993239</v>
      </c>
      <c r="BQ6" s="2">
        <f t="shared" si="1"/>
        <v>175938.89999993239</v>
      </c>
      <c r="BR6" s="2">
        <f t="shared" si="1"/>
        <v>146548.89999993239</v>
      </c>
      <c r="BS6" s="2">
        <f t="shared" si="1"/>
        <v>140876.89999992959</v>
      </c>
      <c r="BT6" s="2">
        <f t="shared" si="1"/>
        <v>246929.89999992959</v>
      </c>
      <c r="BU6" s="2">
        <f t="shared" si="1"/>
        <v>124919.89999992959</v>
      </c>
      <c r="BV6" s="2">
        <f t="shared" si="1"/>
        <v>-251313.10000007087</v>
      </c>
      <c r="BW6" s="2">
        <f t="shared" si="1"/>
        <v>126514.89999993145</v>
      </c>
      <c r="BX6" s="2">
        <f t="shared" si="1"/>
        <v>117316.89999993169</v>
      </c>
      <c r="BY6" s="221">
        <f t="shared" si="1"/>
        <v>102585.89999993192</v>
      </c>
      <c r="BZ6" s="221">
        <f t="shared" si="1"/>
        <v>104120.89999993145</v>
      </c>
      <c r="CA6" s="2">
        <f t="shared" si="1"/>
        <v>153742.89999993169</v>
      </c>
      <c r="CB6" s="2">
        <f t="shared" si="1"/>
        <v>172902.89999993145</v>
      </c>
      <c r="CC6" s="2">
        <f t="shared" si="1"/>
        <v>117529.89999993332</v>
      </c>
      <c r="CD6" s="2">
        <f t="shared" si="1"/>
        <v>107577.89999993326</v>
      </c>
      <c r="CE6" s="2">
        <f t="shared" si="1"/>
        <v>104127.89999993332</v>
      </c>
      <c r="CF6" s="2">
        <f t="shared" si="1"/>
        <v>112196.89999993145</v>
      </c>
      <c r="CG6" s="2">
        <f t="shared" si="1"/>
        <v>108129.89999993145</v>
      </c>
      <c r="CH6" s="153">
        <f t="shared" si="1"/>
        <v>142155.89999993145</v>
      </c>
      <c r="CI6" s="153">
        <f t="shared" si="1"/>
        <v>147153.89999993145</v>
      </c>
      <c r="CJ6" s="2">
        <f t="shared" si="1"/>
        <v>137383.89999993145</v>
      </c>
      <c r="CK6" s="2">
        <f t="shared" si="1"/>
        <v>141262.89999993145</v>
      </c>
      <c r="CL6" s="2">
        <f t="shared" si="1"/>
        <v>132836.89999993145</v>
      </c>
      <c r="CM6" s="2">
        <f t="shared" si="1"/>
        <v>113878.89999993157</v>
      </c>
      <c r="CN6" s="2">
        <f t="shared" si="1"/>
        <v>117025.89999993145</v>
      </c>
      <c r="CO6" s="2">
        <f t="shared" si="1"/>
        <v>103425.89999993169</v>
      </c>
      <c r="CP6" s="2">
        <f t="shared" si="1"/>
        <v>120153.89999993169</v>
      </c>
      <c r="CQ6" s="2">
        <f t="shared" si="1"/>
        <v>192524.89999993145</v>
      </c>
      <c r="CR6" s="2">
        <f t="shared" si="1"/>
        <v>137248.89999993145</v>
      </c>
      <c r="CS6" s="2">
        <f t="shared" si="1"/>
        <v>141449.89999993145</v>
      </c>
      <c r="CT6" s="2">
        <f t="shared" si="1"/>
        <v>114700.89999993145</v>
      </c>
      <c r="CU6" s="2">
        <f t="shared" si="1"/>
        <v>207345.89999993145</v>
      </c>
      <c r="CV6" s="2">
        <f t="shared" si="1"/>
        <v>248175.89999993099</v>
      </c>
      <c r="CW6" s="2">
        <f t="shared" si="1"/>
        <v>307676.89999993099</v>
      </c>
      <c r="CX6" s="2">
        <f t="shared" si="1"/>
        <v>223474.89999993145</v>
      </c>
      <c r="CY6" s="2">
        <f t="shared" si="1"/>
        <v>110803.89999993145</v>
      </c>
      <c r="CZ6" s="2">
        <f t="shared" si="1"/>
        <v>460358.89999993145</v>
      </c>
      <c r="DA6" s="2">
        <f t="shared" si="1"/>
        <v>209310.89999993169</v>
      </c>
      <c r="DB6" s="2">
        <f t="shared" si="1"/>
        <v>215062.89999993145</v>
      </c>
      <c r="DC6" s="2">
        <f t="shared" si="1"/>
        <v>190867.89999993145</v>
      </c>
      <c r="DD6" s="153">
        <f t="shared" si="1"/>
        <v>102203.89999993145</v>
      </c>
      <c r="DE6" s="2">
        <f t="shared" si="1"/>
        <v>121735.89999993518</v>
      </c>
      <c r="DF6" s="2">
        <f t="shared" si="1"/>
        <v>115561.89999993518</v>
      </c>
      <c r="DG6" s="2">
        <f t="shared" si="1"/>
        <v>100910.89999993518</v>
      </c>
      <c r="DH6" s="2">
        <f t="shared" si="1"/>
        <v>99999.89999993518</v>
      </c>
      <c r="DI6" s="2">
        <f t="shared" si="1"/>
        <v>99999.99999993504</v>
      </c>
      <c r="DJ6" s="2">
        <f t="shared" si="1"/>
        <v>-147457.15000006498</v>
      </c>
      <c r="DK6" s="2">
        <f t="shared" si="1"/>
        <v>99999.999999935157</v>
      </c>
      <c r="DL6" s="2">
        <f t="shared" si="1"/>
        <v>99999.999999935273</v>
      </c>
      <c r="DM6" s="2">
        <f t="shared" si="1"/>
        <v>99999.999999935273</v>
      </c>
      <c r="DN6" s="221">
        <f t="shared" si="1"/>
        <v>99999.999999932945</v>
      </c>
      <c r="DO6" s="2">
        <f t="shared" si="1"/>
        <v>537701.37999992073</v>
      </c>
      <c r="DP6" s="2">
        <f t="shared" si="1"/>
        <v>421653.9599999208</v>
      </c>
      <c r="DQ6" s="2">
        <f t="shared" si="1"/>
        <v>220650.99999992084</v>
      </c>
      <c r="DR6" s="2">
        <f t="shared" si="1"/>
        <v>144692.99999992107</v>
      </c>
      <c r="DS6" s="2">
        <f t="shared" si="1"/>
        <v>120624.99999992084</v>
      </c>
      <c r="DT6" s="2">
        <f t="shared" si="1"/>
        <v>140284.9999999213</v>
      </c>
      <c r="DU6" s="2">
        <f t="shared" si="1"/>
        <v>130413.9999999213</v>
      </c>
      <c r="DV6" s="2">
        <f t="shared" si="1"/>
        <v>120263.99999992177</v>
      </c>
      <c r="DW6" s="2">
        <f t="shared" si="1"/>
        <v>106461.9999999213</v>
      </c>
      <c r="DX6" s="2">
        <f t="shared" si="1"/>
        <v>196428.99999992363</v>
      </c>
      <c r="DY6" s="2">
        <f t="shared" si="1"/>
        <v>477959.99999992456</v>
      </c>
      <c r="DZ6" s="153">
        <f t="shared" si="1"/>
        <v>132189.99999992456</v>
      </c>
      <c r="EA6" s="2">
        <f t="shared" si="1"/>
        <v>100631.99999992456</v>
      </c>
      <c r="EB6" s="2">
        <f t="shared" ref="EB6:GM6" si="2">EA54</f>
        <v>99999.999999924796</v>
      </c>
      <c r="EC6" s="2">
        <f t="shared" si="2"/>
        <v>195399.99999992456</v>
      </c>
      <c r="ED6" s="2">
        <f t="shared" si="2"/>
        <v>168228.99999992456</v>
      </c>
      <c r="EE6" s="2">
        <f t="shared" si="2"/>
        <v>129865.99999992177</v>
      </c>
      <c r="EF6" s="2">
        <f t="shared" si="2"/>
        <v>140973.99999992177</v>
      </c>
      <c r="EG6" s="2">
        <f t="shared" si="2"/>
        <v>-49897184.000000082</v>
      </c>
      <c r="EH6" s="2">
        <f t="shared" si="2"/>
        <v>-49870991.964500085</v>
      </c>
      <c r="EI6" s="2">
        <f t="shared" si="2"/>
        <v>-49876335.964500085</v>
      </c>
      <c r="EJ6" s="235">
        <f t="shared" si="2"/>
        <v>-49861826.964500085</v>
      </c>
      <c r="EK6" s="499">
        <f t="shared" si="2"/>
        <v>-49652347.964500085</v>
      </c>
      <c r="EL6" s="2">
        <f t="shared" si="2"/>
        <v>-49734144.594500087</v>
      </c>
      <c r="EM6" s="2">
        <f t="shared" si="2"/>
        <v>-49886319.964500085</v>
      </c>
      <c r="EN6" s="2">
        <f t="shared" si="2"/>
        <v>-49894824.964500085</v>
      </c>
      <c r="EO6" s="2">
        <f t="shared" si="2"/>
        <v>-49895541.964500085</v>
      </c>
      <c r="EP6" s="2">
        <f t="shared" si="2"/>
        <v>-49835513.964500085</v>
      </c>
      <c r="EQ6" s="2">
        <f t="shared" si="2"/>
        <v>-49854623.964500085</v>
      </c>
      <c r="ER6" s="2">
        <f t="shared" si="2"/>
        <v>-49870113.964500085</v>
      </c>
      <c r="ES6" s="2">
        <f t="shared" si="2"/>
        <v>-49839017.964500085</v>
      </c>
      <c r="ET6" s="2">
        <f t="shared" si="2"/>
        <v>-49858311.964500085</v>
      </c>
      <c r="EU6" s="153">
        <f t="shared" si="2"/>
        <v>-49876398.98450008</v>
      </c>
      <c r="EV6" s="2">
        <f t="shared" si="2"/>
        <v>-49895493.98450008</v>
      </c>
      <c r="EW6" s="2">
        <f t="shared" si="2"/>
        <v>-49830415.98450008</v>
      </c>
      <c r="EX6" s="2">
        <f t="shared" si="2"/>
        <v>-49878804.98450008</v>
      </c>
      <c r="EY6" s="2">
        <f t="shared" si="2"/>
        <v>-49867977.98450008</v>
      </c>
      <c r="EZ6" s="2">
        <f t="shared" si="2"/>
        <v>-49843161.98450008</v>
      </c>
      <c r="FA6" s="2">
        <f t="shared" si="2"/>
        <v>-49533413.98450008</v>
      </c>
      <c r="FB6" s="2">
        <f t="shared" si="2"/>
        <v>-49766449.98450008</v>
      </c>
      <c r="FC6" s="2">
        <f t="shared" si="2"/>
        <v>-64871736.98450008</v>
      </c>
      <c r="FD6" s="2">
        <f t="shared" si="2"/>
        <v>-64807850.98450008</v>
      </c>
      <c r="FE6" s="221">
        <f t="shared" si="2"/>
        <v>-64858508.98450008</v>
      </c>
      <c r="FF6" s="2">
        <f t="shared" si="2"/>
        <v>-64877947.98450008</v>
      </c>
      <c r="FG6" s="2">
        <f t="shared" si="2"/>
        <v>-64886329.98450008</v>
      </c>
      <c r="FH6" s="2">
        <f t="shared" si="2"/>
        <v>-64867117.98450008</v>
      </c>
      <c r="FI6" s="2">
        <f t="shared" si="2"/>
        <v>-64879680.014500082</v>
      </c>
      <c r="FJ6" s="235">
        <f t="shared" si="2"/>
        <v>-64896763.014500082</v>
      </c>
      <c r="FK6" s="2">
        <f t="shared" si="2"/>
        <v>-64898558.014500082</v>
      </c>
      <c r="FL6" s="2">
        <f t="shared" si="2"/>
        <v>-64872621.014500082</v>
      </c>
      <c r="FM6" s="2">
        <f t="shared" si="2"/>
        <v>-64868061.014500082</v>
      </c>
      <c r="FN6" s="2">
        <f t="shared" si="2"/>
        <v>-64896082.014500096</v>
      </c>
      <c r="FO6" s="2">
        <f t="shared" si="2"/>
        <v>-64885954.014500096</v>
      </c>
      <c r="FP6" s="153">
        <f t="shared" si="2"/>
        <v>-64861666.014500104</v>
      </c>
      <c r="FQ6" s="2">
        <f t="shared" si="2"/>
        <v>-64861232.014500104</v>
      </c>
      <c r="FR6" s="2">
        <f t="shared" si="2"/>
        <v>-64872260.014500104</v>
      </c>
      <c r="FS6" s="2">
        <f t="shared" si="2"/>
        <v>-64874274.014500104</v>
      </c>
      <c r="FT6" s="2">
        <f t="shared" si="2"/>
        <v>-64897623.014500104</v>
      </c>
      <c r="FU6" s="2">
        <f t="shared" si="2"/>
        <v>-64631342.014500096</v>
      </c>
      <c r="FV6" s="2">
        <f t="shared" si="2"/>
        <v>-64637678.014500096</v>
      </c>
      <c r="FW6" s="2">
        <f t="shared" si="2"/>
        <v>-64869819.014500096</v>
      </c>
      <c r="FX6" s="2">
        <f t="shared" si="2"/>
        <v>-64894753.014500096</v>
      </c>
      <c r="FY6" s="2">
        <f t="shared" si="2"/>
        <v>-64889068.014500096</v>
      </c>
      <c r="FZ6" s="221">
        <f t="shared" si="2"/>
        <v>-64879997.014500096</v>
      </c>
      <c r="GA6" s="2">
        <f t="shared" si="2"/>
        <v>-64769469.014500111</v>
      </c>
      <c r="GB6" s="2">
        <f t="shared" si="2"/>
        <v>-64811113.014500111</v>
      </c>
      <c r="GC6" s="2">
        <f t="shared" si="2"/>
        <v>-64861798.014500111</v>
      </c>
      <c r="GD6" s="2">
        <f t="shared" si="2"/>
        <v>-64862169.014500111</v>
      </c>
      <c r="GE6" s="2">
        <f t="shared" si="2"/>
        <v>-64894927.014500111</v>
      </c>
      <c r="GF6" s="2">
        <f t="shared" si="2"/>
        <v>-64864395.014500111</v>
      </c>
      <c r="GG6" s="2">
        <f t="shared" si="2"/>
        <v>-64895191.014500111</v>
      </c>
      <c r="GH6" s="2">
        <f t="shared" si="2"/>
        <v>-64895372.014500126</v>
      </c>
      <c r="GI6" s="2">
        <f t="shared" si="2"/>
        <v>-64896497.014500126</v>
      </c>
      <c r="GJ6" s="2">
        <f t="shared" si="2"/>
        <v>-64891941.014500126</v>
      </c>
      <c r="GK6" s="153">
        <f t="shared" si="2"/>
        <v>-84806922.014500126</v>
      </c>
      <c r="GL6" s="2">
        <f t="shared" si="2"/>
        <v>-84689744.014500126</v>
      </c>
      <c r="GM6" s="2">
        <f t="shared" si="2"/>
        <v>-84814595.014500126</v>
      </c>
      <c r="GN6" s="2">
        <f t="shared" ref="GN6:IT6" si="3">GM54</f>
        <v>-84864305.014500126</v>
      </c>
      <c r="GO6" s="2">
        <f t="shared" si="3"/>
        <v>-84338637.014500126</v>
      </c>
      <c r="GP6" s="2">
        <f t="shared" si="3"/>
        <v>-84663285.924500123</v>
      </c>
      <c r="GQ6" s="2">
        <f t="shared" si="3"/>
        <v>-84857248.014500111</v>
      </c>
      <c r="GR6" s="2">
        <f t="shared" si="3"/>
        <v>-84885335.014500111</v>
      </c>
      <c r="GS6" s="2">
        <f>+GR54</f>
        <v>-84865529.014500111</v>
      </c>
      <c r="GT6" s="221">
        <f t="shared" si="3"/>
        <v>-84870994.014500111</v>
      </c>
      <c r="GU6" s="2">
        <f t="shared" si="3"/>
        <v>-84881597.014500111</v>
      </c>
      <c r="GV6" s="2">
        <f t="shared" si="3"/>
        <v>-84832611.014500111</v>
      </c>
      <c r="GW6" s="2">
        <f t="shared" si="3"/>
        <v>-84699021.014500111</v>
      </c>
      <c r="GX6" s="2">
        <f t="shared" si="3"/>
        <v>-84823481.114500105</v>
      </c>
      <c r="GY6" s="2">
        <f t="shared" si="3"/>
        <v>-84620414.114500105</v>
      </c>
      <c r="GZ6" s="2">
        <f t="shared" si="3"/>
        <v>-84848679.114500105</v>
      </c>
      <c r="HA6" s="2">
        <f t="shared" si="3"/>
        <v>-84804063.114500105</v>
      </c>
      <c r="HB6" s="2">
        <f t="shared" si="3"/>
        <v>-84847666.114500105</v>
      </c>
      <c r="HC6" s="2">
        <f t="shared" si="3"/>
        <v>-84896866.114500105</v>
      </c>
      <c r="HD6" s="153">
        <f t="shared" si="3"/>
        <v>-84899996.114500105</v>
      </c>
      <c r="HE6" s="2">
        <f t="shared" si="3"/>
        <v>-84899985.114500105</v>
      </c>
      <c r="HF6" s="2">
        <f t="shared" si="3"/>
        <v>-84896716.114500105</v>
      </c>
      <c r="HG6" s="2">
        <f t="shared" si="3"/>
        <v>-84874978.114500105</v>
      </c>
      <c r="HH6" s="2">
        <f t="shared" si="3"/>
        <v>-84812143.114500105</v>
      </c>
      <c r="HI6" s="2">
        <f t="shared" si="3"/>
        <v>-84811794.114500105</v>
      </c>
      <c r="HJ6" s="2">
        <f t="shared" si="3"/>
        <v>-84800209.114500105</v>
      </c>
      <c r="HK6" s="2">
        <f t="shared" si="3"/>
        <v>-84888186.114500105</v>
      </c>
      <c r="HL6" s="2">
        <f t="shared" si="3"/>
        <v>-84881665.114500105</v>
      </c>
      <c r="HM6" s="2">
        <f t="shared" si="3"/>
        <v>-84880394.112500101</v>
      </c>
      <c r="HN6" s="2">
        <f t="shared" si="3"/>
        <v>-84356212.112500101</v>
      </c>
      <c r="HO6" s="221">
        <f t="shared" si="3"/>
        <v>-84863336.112500101</v>
      </c>
      <c r="HP6" s="2">
        <f t="shared" si="3"/>
        <v>-84878035.112500101</v>
      </c>
      <c r="HQ6" s="2">
        <f t="shared" si="3"/>
        <v>-84890477.112500101</v>
      </c>
      <c r="HR6" s="2">
        <f t="shared" si="3"/>
        <v>-84831070.112500101</v>
      </c>
      <c r="HS6" s="2">
        <f t="shared" si="3"/>
        <v>-84869731.112500101</v>
      </c>
      <c r="HT6" s="2">
        <f t="shared" si="3"/>
        <v>-84823040.112500101</v>
      </c>
      <c r="HU6" s="2">
        <f t="shared" si="3"/>
        <v>-84883352.112500101</v>
      </c>
      <c r="HV6" s="2">
        <f t="shared" si="3"/>
        <v>-84892934.112500101</v>
      </c>
      <c r="HW6" s="2">
        <f t="shared" si="3"/>
        <v>-84899681.112500101</v>
      </c>
      <c r="HX6" s="2">
        <f t="shared" si="3"/>
        <v>-84900000.112500101</v>
      </c>
      <c r="HY6" s="2">
        <f t="shared" si="3"/>
        <v>-84900000.112500101</v>
      </c>
      <c r="HZ6" s="153">
        <f t="shared" si="3"/>
        <v>-84899980.112500101</v>
      </c>
      <c r="IA6" s="2">
        <f t="shared" si="3"/>
        <v>-84900000.112500101</v>
      </c>
      <c r="IB6" s="2">
        <f t="shared" si="3"/>
        <v>-84900000.112500101</v>
      </c>
      <c r="IC6" s="2">
        <f t="shared" si="3"/>
        <v>-84900000.112500101</v>
      </c>
      <c r="ID6" s="2">
        <f t="shared" si="3"/>
        <v>-84464406.052500099</v>
      </c>
      <c r="IE6" s="2">
        <f t="shared" si="3"/>
        <v>-84626456.052500099</v>
      </c>
      <c r="IF6" s="2">
        <f t="shared" si="3"/>
        <v>-84826216.95250009</v>
      </c>
      <c r="IG6" s="2">
        <f t="shared" si="3"/>
        <v>-84889280.95250009</v>
      </c>
      <c r="IH6" s="2">
        <f t="shared" si="3"/>
        <v>-84862499.95250009</v>
      </c>
      <c r="II6" s="2">
        <f t="shared" si="3"/>
        <v>-84877109.95250009</v>
      </c>
      <c r="IJ6" s="221">
        <f t="shared" si="3"/>
        <v>-84744571.95250009</v>
      </c>
      <c r="IK6" s="2">
        <f t="shared" si="3"/>
        <v>-84760855.95250009</v>
      </c>
      <c r="IL6" s="2">
        <f t="shared" si="3"/>
        <v>-84884757.95250009</v>
      </c>
      <c r="IM6" s="2">
        <f t="shared" si="3"/>
        <v>-84847674.95250009</v>
      </c>
      <c r="IN6" s="2">
        <f t="shared" si="3"/>
        <v>-84878978.95250009</v>
      </c>
      <c r="IO6" s="2">
        <f t="shared" si="3"/>
        <v>-84894594.952500105</v>
      </c>
      <c r="IP6" s="2">
        <f t="shared" si="3"/>
        <v>-84838432.952500105</v>
      </c>
      <c r="IQ6" s="2">
        <f t="shared" si="3"/>
        <v>-84800359.952500105</v>
      </c>
      <c r="IR6" s="2">
        <f>IQ54</f>
        <v>-84871448.952500105</v>
      </c>
      <c r="IS6" s="2">
        <f>IR54</f>
        <v>-84896099.952500105</v>
      </c>
      <c r="IT6" s="153">
        <f t="shared" si="3"/>
        <v>-84898271.952500105</v>
      </c>
      <c r="IU6" s="2"/>
    </row>
    <row r="7" spans="1:255" ht="24" customHeight="1">
      <c r="A7" s="24" t="s">
        <v>3</v>
      </c>
      <c r="B7" s="25"/>
      <c r="C7" s="154"/>
      <c r="D7" s="26"/>
      <c r="E7" s="26"/>
      <c r="F7" s="26"/>
      <c r="G7" s="26"/>
      <c r="H7" s="26"/>
      <c r="I7" s="26"/>
      <c r="J7" s="26"/>
      <c r="K7" s="26"/>
      <c r="L7" s="26"/>
      <c r="M7" s="234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34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34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34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34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34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34"/>
      <c r="EK7" s="341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34"/>
      <c r="FF7" s="26"/>
      <c r="FG7" s="26"/>
      <c r="FH7" s="26"/>
      <c r="FI7" s="26"/>
      <c r="FJ7" s="482"/>
      <c r="FK7" s="26"/>
      <c r="FL7" s="192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22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3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192"/>
      <c r="HN7" s="26"/>
      <c r="HO7" s="234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192"/>
      <c r="IG7" s="26"/>
      <c r="IH7" s="26"/>
      <c r="II7" s="26"/>
      <c r="IJ7" s="234"/>
      <c r="IK7" s="26"/>
      <c r="IL7" s="26"/>
      <c r="IM7" s="26"/>
      <c r="IN7" s="26"/>
      <c r="IO7" s="26"/>
      <c r="IP7" s="26"/>
      <c r="IQ7" s="26"/>
      <c r="IR7" s="26"/>
      <c r="IS7" s="26"/>
      <c r="IT7" s="199"/>
      <c r="IU7" s="26"/>
    </row>
    <row r="8" spans="1:255" ht="14.1" customHeight="1">
      <c r="A8" s="58" t="s">
        <v>5</v>
      </c>
      <c r="B8" s="58"/>
      <c r="C8" s="155">
        <v>5797.78</v>
      </c>
      <c r="D8" s="4">
        <v>26278.7</v>
      </c>
      <c r="E8" s="4">
        <v>4795.6899999999996</v>
      </c>
      <c r="F8" s="4">
        <v>38382.769999999997</v>
      </c>
      <c r="G8" s="4">
        <f>3803.88+12988.41</f>
        <v>16792.29</v>
      </c>
      <c r="H8" s="4">
        <v>16407.46</v>
      </c>
      <c r="I8" s="4">
        <v>131249.67000000001</v>
      </c>
      <c r="J8" s="4">
        <v>1843.84</v>
      </c>
      <c r="K8" s="4">
        <v>18400</v>
      </c>
      <c r="L8" s="4">
        <v>2687.96</v>
      </c>
      <c r="M8" s="189">
        <f>51108.02+314</f>
        <v>51422.02</v>
      </c>
      <c r="N8" s="4">
        <v>27778.83</v>
      </c>
      <c r="O8" s="4">
        <v>61573.42</v>
      </c>
      <c r="P8" s="4">
        <v>3321.2</v>
      </c>
      <c r="Q8" s="4">
        <v>7387.22</v>
      </c>
      <c r="R8" s="4">
        <v>8431.2999999999993</v>
      </c>
      <c r="S8" s="4">
        <v>17004.12</v>
      </c>
      <c r="T8" s="4"/>
      <c r="U8" s="4">
        <f>1086.69+7350.93</f>
        <v>8437.6200000000008</v>
      </c>
      <c r="V8" s="4">
        <v>19936.43</v>
      </c>
      <c r="W8" s="4">
        <v>54609.71</v>
      </c>
      <c r="X8" s="4">
        <v>21472.39</v>
      </c>
      <c r="Y8" s="4">
        <v>7338.94</v>
      </c>
      <c r="Z8" s="4">
        <v>24967.43</v>
      </c>
      <c r="AA8" s="4">
        <v>92051.78</v>
      </c>
      <c r="AB8" s="4">
        <v>40330.730000000003</v>
      </c>
      <c r="AC8" s="4">
        <v>77208.58</v>
      </c>
      <c r="AD8" s="4">
        <v>9946.2000000000007</v>
      </c>
      <c r="AE8" s="4">
        <v>7973.08</v>
      </c>
      <c r="AF8" s="189">
        <v>118876.6</v>
      </c>
      <c r="AG8" s="4">
        <v>5694.47</v>
      </c>
      <c r="AH8" s="4">
        <v>883425.69</v>
      </c>
      <c r="AI8" s="4"/>
      <c r="AJ8" s="4"/>
      <c r="AK8" s="4"/>
      <c r="AL8" s="4"/>
      <c r="AM8" s="4">
        <v>8701.19</v>
      </c>
      <c r="AN8" s="4">
        <v>12489.58</v>
      </c>
      <c r="AO8" s="4">
        <v>4486.63</v>
      </c>
      <c r="AP8" s="4">
        <v>16757.810000000001</v>
      </c>
      <c r="AQ8" s="4">
        <v>12646.86</v>
      </c>
      <c r="AR8" s="4">
        <v>265671.01</v>
      </c>
      <c r="AS8" s="4">
        <v>56030.15</v>
      </c>
      <c r="AT8" s="4">
        <v>84185.08</v>
      </c>
      <c r="AU8" s="4">
        <v>34353.019999999997</v>
      </c>
      <c r="AV8" s="4">
        <v>8046.12</v>
      </c>
      <c r="AW8" s="4"/>
      <c r="AX8" s="4">
        <v>111335.97</v>
      </c>
      <c r="AY8" s="4">
        <v>20468.97</v>
      </c>
      <c r="AZ8" s="4">
        <v>61453.56</v>
      </c>
      <c r="BA8" s="4">
        <v>9132.27</v>
      </c>
      <c r="BB8" s="4">
        <v>26219.99</v>
      </c>
      <c r="BC8" s="189">
        <v>9590.18</v>
      </c>
      <c r="BD8" s="4">
        <v>12159.23</v>
      </c>
      <c r="BE8" s="4">
        <v>15334.11</v>
      </c>
      <c r="BF8" s="4">
        <v>58121.36</v>
      </c>
      <c r="BG8" s="4">
        <v>7980.2</v>
      </c>
      <c r="BH8" s="4">
        <v>10710.23</v>
      </c>
      <c r="BI8" s="4">
        <v>2137.5</v>
      </c>
      <c r="BJ8" s="4">
        <v>30727.13</v>
      </c>
      <c r="BK8" s="4">
        <v>6973.27</v>
      </c>
      <c r="BL8" s="4">
        <v>7383</v>
      </c>
      <c r="BM8" s="4"/>
      <c r="BN8" s="4">
        <f>14756.39+23988.33</f>
        <v>38744.720000000001</v>
      </c>
      <c r="BO8" s="4">
        <v>64490.63</v>
      </c>
      <c r="BP8" s="4">
        <v>12533.01</v>
      </c>
      <c r="BQ8" s="4">
        <v>40338.730000000003</v>
      </c>
      <c r="BR8" s="4">
        <v>20430.689999999999</v>
      </c>
      <c r="BS8" s="4">
        <v>135967.92000000001</v>
      </c>
      <c r="BT8" s="4">
        <v>6018.37</v>
      </c>
      <c r="BU8" s="4">
        <v>127231.97</v>
      </c>
      <c r="BV8" s="4">
        <v>10257.129999999999</v>
      </c>
      <c r="BW8" s="4">
        <v>14084.76</v>
      </c>
      <c r="BX8" s="4">
        <v>59.12</v>
      </c>
      <c r="BY8" s="189">
        <v>2596.4</v>
      </c>
      <c r="BZ8" s="4">
        <v>59385.8</v>
      </c>
      <c r="CA8" s="4">
        <v>35951.370000000003</v>
      </c>
      <c r="CB8" s="4">
        <v>15152.67</v>
      </c>
      <c r="CC8" s="4">
        <v>2046.59</v>
      </c>
      <c r="CD8" s="4">
        <v>2900.93</v>
      </c>
      <c r="CE8" s="4">
        <v>10915.46</v>
      </c>
      <c r="CF8" s="4">
        <v>9405.84</v>
      </c>
      <c r="CG8" s="4">
        <v>44104.35</v>
      </c>
      <c r="CH8" s="4">
        <v>25021.15</v>
      </c>
      <c r="CI8" s="4">
        <v>26095.21</v>
      </c>
      <c r="CJ8" s="4">
        <v>34869.57</v>
      </c>
      <c r="CK8" s="4">
        <f>13898.02+17.4</f>
        <v>13915.42</v>
      </c>
      <c r="CL8" s="4">
        <v>12896.22</v>
      </c>
      <c r="CM8" s="4">
        <v>10117.120000000001</v>
      </c>
      <c r="CN8" s="4"/>
      <c r="CO8" s="4">
        <v>24053.39</v>
      </c>
      <c r="CP8" s="4">
        <v>98017.47</v>
      </c>
      <c r="CQ8" s="4"/>
      <c r="CR8" s="4">
        <f>12062.01+32964.34</f>
        <v>45026.35</v>
      </c>
      <c r="CS8" s="189">
        <v>0</v>
      </c>
      <c r="CT8" s="4">
        <v>107023.86</v>
      </c>
      <c r="CU8" s="4">
        <v>168796.18</v>
      </c>
      <c r="CV8" s="4">
        <v>173558.18</v>
      </c>
      <c r="CW8" s="4">
        <v>25175.54</v>
      </c>
      <c r="CX8" s="4">
        <v>0</v>
      </c>
      <c r="CY8" s="4">
        <v>368202.43</v>
      </c>
      <c r="CZ8" s="4">
        <v>97356.58</v>
      </c>
      <c r="DA8" s="4">
        <v>139878.35999999999</v>
      </c>
      <c r="DB8" s="4">
        <v>61715.94</v>
      </c>
      <c r="DC8" s="4">
        <v>0</v>
      </c>
      <c r="DD8" s="4">
        <v>25595.45</v>
      </c>
      <c r="DE8" s="4">
        <v>0</v>
      </c>
      <c r="DF8" s="4">
        <v>0</v>
      </c>
      <c r="DG8" s="4"/>
      <c r="DH8" s="4"/>
      <c r="DI8" s="4"/>
      <c r="DJ8" s="4"/>
      <c r="DK8" s="4"/>
      <c r="DL8" s="4"/>
      <c r="DM8" s="4"/>
      <c r="DN8" s="189">
        <f>5377203+250000+9228.13+2299.75</f>
        <v>5638730.8799999999</v>
      </c>
      <c r="DO8" s="4">
        <v>326832.87</v>
      </c>
      <c r="DP8" s="4">
        <v>79194.41</v>
      </c>
      <c r="DQ8" s="4">
        <v>0</v>
      </c>
      <c r="DR8" s="4">
        <v>21819.57</v>
      </c>
      <c r="DS8" s="4">
        <v>36944.86</v>
      </c>
      <c r="DT8" s="4">
        <v>3788.41</v>
      </c>
      <c r="DU8" s="4">
        <v>17969.79</v>
      </c>
      <c r="DV8" s="4">
        <v>0</v>
      </c>
      <c r="DW8" s="4">
        <v>227752.22</v>
      </c>
      <c r="DX8" s="4">
        <v>376862.58</v>
      </c>
      <c r="DY8" s="4">
        <v>0</v>
      </c>
      <c r="DZ8" s="4">
        <v>0</v>
      </c>
      <c r="EA8" s="4">
        <v>0</v>
      </c>
      <c r="EB8" s="4">
        <v>98960.2</v>
      </c>
      <c r="EC8" s="4">
        <v>61043.9</v>
      </c>
      <c r="ED8" s="4">
        <v>17785.21</v>
      </c>
      <c r="EE8" s="4">
        <v>46230.09</v>
      </c>
      <c r="EF8" s="4">
        <v>0</v>
      </c>
      <c r="EG8" s="4">
        <v>30808.21</v>
      </c>
      <c r="EH8" s="4">
        <v>0</v>
      </c>
      <c r="EI8" s="380">
        <f>37943.74+450</f>
        <v>38393.74</v>
      </c>
      <c r="EJ8" s="189">
        <v>249430.96</v>
      </c>
      <c r="EK8" s="332">
        <v>0</v>
      </c>
      <c r="EL8" s="4">
        <v>101.79</v>
      </c>
      <c r="EM8" s="4">
        <v>5241.1899999999996</v>
      </c>
      <c r="EN8" s="4">
        <v>341</v>
      </c>
      <c r="EO8" s="4">
        <v>63921.88</v>
      </c>
      <c r="EP8" s="4">
        <v>0</v>
      </c>
      <c r="EQ8" s="4">
        <f>3422.55+23848.38</f>
        <v>27270.93</v>
      </c>
      <c r="ER8" s="4">
        <v>32217.85</v>
      </c>
      <c r="ES8" s="4">
        <v>20517.78</v>
      </c>
      <c r="ET8" s="4">
        <v>52264.87</v>
      </c>
      <c r="EU8" s="4">
        <v>0</v>
      </c>
      <c r="EV8" s="4">
        <v>68924.34</v>
      </c>
      <c r="EW8" s="4">
        <v>11487.96</v>
      </c>
      <c r="EX8" s="4">
        <v>26250.19</v>
      </c>
      <c r="EY8" s="4">
        <v>62232.63</v>
      </c>
      <c r="EZ8" s="4">
        <v>360573.99</v>
      </c>
      <c r="FA8" s="4">
        <v>30422.35</v>
      </c>
      <c r="FB8" s="4">
        <v>0</v>
      </c>
      <c r="FC8" s="4">
        <v>89438.43</v>
      </c>
      <c r="FD8" s="4">
        <v>35952.720000000001</v>
      </c>
      <c r="FE8" s="189">
        <v>19084.54</v>
      </c>
      <c r="FF8" s="4">
        <v>563.89</v>
      </c>
      <c r="FG8" s="4">
        <v>31893.88</v>
      </c>
      <c r="FH8" s="4">
        <v>6901.61</v>
      </c>
      <c r="FI8" s="4">
        <v>415.98</v>
      </c>
      <c r="FJ8" s="189">
        <v>0</v>
      </c>
      <c r="FK8" s="4">
        <v>26271.7</v>
      </c>
      <c r="FL8" s="4">
        <v>8985.9</v>
      </c>
      <c r="FM8" s="4">
        <v>858.49</v>
      </c>
      <c r="FN8" s="4">
        <v>12766.53</v>
      </c>
      <c r="FO8" s="4">
        <v>36852.769999999997</v>
      </c>
      <c r="FP8" s="4">
        <v>31907.15</v>
      </c>
      <c r="FQ8" s="4">
        <v>4216</v>
      </c>
      <c r="FR8" s="4">
        <v>19049.919999999998</v>
      </c>
      <c r="FS8" s="4">
        <v>0</v>
      </c>
      <c r="FT8" s="4">
        <v>268857.86</v>
      </c>
      <c r="FU8" s="4">
        <v>7923.81</v>
      </c>
      <c r="FV8" s="4">
        <v>13132.15</v>
      </c>
      <c r="FW8" s="4">
        <v>0</v>
      </c>
      <c r="FX8" s="4">
        <v>10682.17</v>
      </c>
      <c r="FY8" s="4">
        <v>15284.02</v>
      </c>
      <c r="FZ8" s="189">
        <v>145551.70000000001</v>
      </c>
      <c r="GA8" s="4">
        <v>30476.63</v>
      </c>
      <c r="GB8" s="4">
        <v>6487.49</v>
      </c>
      <c r="GC8" s="4">
        <v>42016.17</v>
      </c>
      <c r="GD8" s="4">
        <v>869</v>
      </c>
      <c r="GE8" s="4">
        <v>34192.78</v>
      </c>
      <c r="GF8" s="4">
        <v>2471.13</v>
      </c>
      <c r="GG8" s="4">
        <v>6279.43</v>
      </c>
      <c r="GH8" s="4">
        <v>2562.1999999999998</v>
      </c>
      <c r="GI8" s="4">
        <v>12779.07</v>
      </c>
      <c r="GJ8" s="4">
        <v>93177.38</v>
      </c>
      <c r="GK8" s="4">
        <v>129437.5</v>
      </c>
      <c r="GL8" s="4">
        <v>247364.64</v>
      </c>
      <c r="GM8" s="4">
        <v>28663.77</v>
      </c>
      <c r="GN8" s="4">
        <v>558157.57999999996</v>
      </c>
      <c r="GO8" s="4">
        <v>51410.03</v>
      </c>
      <c r="GP8" s="4">
        <v>4728.79</v>
      </c>
      <c r="GQ8" s="4">
        <v>334160.78999999998</v>
      </c>
      <c r="GR8" s="4">
        <v>21791.22</v>
      </c>
      <c r="GS8" s="4">
        <v>24840.75</v>
      </c>
      <c r="GT8" s="189">
        <v>15342.11</v>
      </c>
      <c r="GU8" s="4">
        <v>74091.210000000006</v>
      </c>
      <c r="GV8" s="4">
        <v>153011.5</v>
      </c>
      <c r="GW8" s="4">
        <v>20411.52</v>
      </c>
      <c r="GX8" s="4">
        <v>271500.09000000003</v>
      </c>
      <c r="GY8" s="4">
        <v>36122.35</v>
      </c>
      <c r="GZ8" s="4">
        <v>83792.800000000003</v>
      </c>
      <c r="HA8" s="4">
        <v>0</v>
      </c>
      <c r="HB8" s="4">
        <v>0</v>
      </c>
      <c r="HC8" s="4">
        <v>0</v>
      </c>
      <c r="HD8" s="4">
        <v>0</v>
      </c>
      <c r="HE8" s="4">
        <v>12059.86</v>
      </c>
      <c r="HF8" s="4">
        <f>26893.59+516008</f>
        <v>542901.59</v>
      </c>
      <c r="HG8" s="4">
        <v>74365.789999999994</v>
      </c>
      <c r="HH8" s="4">
        <v>48142.76</v>
      </c>
      <c r="HI8" s="4">
        <v>58957.64</v>
      </c>
      <c r="HJ8" s="4">
        <v>0</v>
      </c>
      <c r="HK8" s="4">
        <v>17571.939999999999</v>
      </c>
      <c r="HL8" s="4">
        <v>11829.44</v>
      </c>
      <c r="HM8" s="4">
        <v>540342.43000000005</v>
      </c>
      <c r="HN8" s="4">
        <v>3202.33</v>
      </c>
      <c r="HO8" s="189">
        <v>21309.4</v>
      </c>
      <c r="HP8" s="4">
        <v>5943.11</v>
      </c>
      <c r="HQ8" s="4">
        <v>70873.490000000005</v>
      </c>
      <c r="HR8" s="4">
        <v>35936.879999999997</v>
      </c>
      <c r="HS8" s="4">
        <v>71163.17</v>
      </c>
      <c r="HT8" s="4">
        <v>15080.46</v>
      </c>
      <c r="HU8" s="4">
        <v>0</v>
      </c>
      <c r="HV8" s="4">
        <v>0</v>
      </c>
      <c r="HW8" s="4">
        <v>0</v>
      </c>
      <c r="HX8" s="4">
        <v>0</v>
      </c>
      <c r="HY8" s="4">
        <v>0</v>
      </c>
      <c r="HZ8" s="4">
        <v>0</v>
      </c>
      <c r="IA8" s="4">
        <v>0</v>
      </c>
      <c r="IB8" s="4">
        <v>0</v>
      </c>
      <c r="IC8" s="4">
        <v>439359.45</v>
      </c>
      <c r="ID8" s="4">
        <v>165231.53</v>
      </c>
      <c r="IE8" s="4">
        <v>5181.34</v>
      </c>
      <c r="IF8" s="4">
        <v>6857.04</v>
      </c>
      <c r="IG8" s="4">
        <v>28741.87</v>
      </c>
      <c r="IH8" s="4">
        <v>19099.7</v>
      </c>
      <c r="II8" s="4">
        <v>136509.76000000001</v>
      </c>
      <c r="IJ8" s="189">
        <v>6092.7</v>
      </c>
      <c r="IK8" s="4">
        <v>0</v>
      </c>
      <c r="IL8" s="4">
        <v>54963.58</v>
      </c>
      <c r="IM8" s="4">
        <v>20008.63</v>
      </c>
      <c r="IN8" s="4">
        <v>17544.28</v>
      </c>
      <c r="IO8" s="4">
        <v>61122.94</v>
      </c>
      <c r="IP8" s="4">
        <v>60077.03</v>
      </c>
      <c r="IQ8" s="4">
        <v>2655.12</v>
      </c>
      <c r="IR8" s="4">
        <v>0</v>
      </c>
      <c r="IS8" s="4">
        <v>0</v>
      </c>
      <c r="IT8" s="4"/>
      <c r="IU8" s="4">
        <f t="shared" ref="IU8:IU16" si="4">SUM(C8:IT8)</f>
        <v>18475020.279999997</v>
      </c>
    </row>
    <row r="9" spans="1:255" ht="14.1" customHeight="1">
      <c r="A9" s="58" t="s">
        <v>6</v>
      </c>
      <c r="B9" s="58"/>
      <c r="C9" s="155"/>
      <c r="D9" s="4"/>
      <c r="E9" s="4"/>
      <c r="F9" s="4"/>
      <c r="G9" s="4"/>
      <c r="H9" s="4">
        <v>155967.54999999999</v>
      </c>
      <c r="I9" s="4"/>
      <c r="J9" s="4">
        <v>5703.96</v>
      </c>
      <c r="K9" s="4"/>
      <c r="L9" s="4"/>
      <c r="M9" s="189"/>
      <c r="N9" s="4"/>
      <c r="O9" s="4"/>
      <c r="P9" s="4"/>
      <c r="Q9" s="4"/>
      <c r="R9" s="4"/>
      <c r="S9" s="4"/>
      <c r="T9" s="4"/>
      <c r="U9" s="4"/>
      <c r="V9" s="4">
        <v>723</v>
      </c>
      <c r="W9" s="4"/>
      <c r="X9" s="4"/>
      <c r="Y9" s="4"/>
      <c r="Z9" s="4"/>
      <c r="AA9" s="4"/>
      <c r="AB9" s="4"/>
      <c r="AC9" s="4">
        <v>5703.96</v>
      </c>
      <c r="AD9" s="4">
        <v>167861.24</v>
      </c>
      <c r="AE9" s="4"/>
      <c r="AF9" s="189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>
        <v>163249.17000000001</v>
      </c>
      <c r="AZ9" s="4">
        <v>5703.96</v>
      </c>
      <c r="BA9" s="4"/>
      <c r="BB9" s="4"/>
      <c r="BC9" s="189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166497.84</v>
      </c>
      <c r="BV9" s="4"/>
      <c r="BW9" s="4"/>
      <c r="BX9" s="4"/>
      <c r="BY9" s="189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>
        <f>151623.98+5703.96</f>
        <v>157327.94</v>
      </c>
      <c r="CP9" s="4"/>
      <c r="CQ9" s="4"/>
      <c r="CR9" s="4"/>
      <c r="CS9" s="189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>
        <v>26112.13</v>
      </c>
      <c r="DI9" s="4"/>
      <c r="DJ9" s="4"/>
      <c r="DK9" s="4">
        <f>83472.41+5703.96</f>
        <v>89176.37000000001</v>
      </c>
      <c r="DL9" s="4"/>
      <c r="DM9" s="4"/>
      <c r="DN9" s="189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>
        <v>5595.16</v>
      </c>
      <c r="EF9" s="4">
        <v>5703.96</v>
      </c>
      <c r="EG9" s="4"/>
      <c r="EH9" s="4"/>
      <c r="EI9" s="4"/>
      <c r="EJ9" s="189"/>
      <c r="EK9" s="332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>
        <v>5703.96</v>
      </c>
      <c r="FD9" s="4"/>
      <c r="FE9" s="189">
        <v>76967.289999999994</v>
      </c>
      <c r="FF9" s="4"/>
      <c r="FG9" s="4"/>
      <c r="FH9" s="4"/>
      <c r="FI9" s="4"/>
      <c r="FJ9" s="189"/>
      <c r="FK9" s="4"/>
      <c r="FL9" s="4">
        <v>320</v>
      </c>
      <c r="FM9" s="4"/>
      <c r="FN9" s="4"/>
      <c r="FO9" s="4">
        <v>429</v>
      </c>
      <c r="FP9" s="4"/>
      <c r="FQ9" s="4"/>
      <c r="FR9" s="4"/>
      <c r="FS9" s="4">
        <v>4553.76</v>
      </c>
      <c r="FT9" s="4"/>
      <c r="FU9" s="4">
        <v>19799.669999999998</v>
      </c>
      <c r="FV9" s="4">
        <v>157695</v>
      </c>
      <c r="FW9" s="4">
        <v>5703.96</v>
      </c>
      <c r="FX9" s="4"/>
      <c r="FY9" s="4"/>
      <c r="FZ9" s="189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>
        <v>158565.59</v>
      </c>
      <c r="GS9" s="4"/>
      <c r="GT9" s="189"/>
      <c r="GU9" s="4"/>
      <c r="GV9" s="4"/>
      <c r="GW9" s="4"/>
      <c r="GX9" s="4">
        <v>5703.96</v>
      </c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>
        <v>167634.88</v>
      </c>
      <c r="HK9" s="4"/>
      <c r="HL9" s="4">
        <v>5703.96</v>
      </c>
      <c r="HM9" s="4"/>
      <c r="HN9" s="4"/>
      <c r="HO9" s="189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>
        <v>168721.15</v>
      </c>
      <c r="IG9" s="4"/>
      <c r="IH9" s="4"/>
      <c r="II9" s="4">
        <v>5703.96</v>
      </c>
      <c r="IJ9" s="189"/>
      <c r="IK9" s="4"/>
      <c r="IL9" s="4"/>
      <c r="IM9" s="4"/>
      <c r="IN9" s="4"/>
      <c r="IO9" s="4"/>
      <c r="IP9" s="4"/>
      <c r="IQ9" s="4"/>
      <c r="IR9" s="4"/>
      <c r="IS9" s="4"/>
      <c r="IT9" s="200"/>
      <c r="IU9" s="4">
        <f t="shared" si="4"/>
        <v>1738532.38</v>
      </c>
    </row>
    <row r="10" spans="1:255" ht="14.1" customHeight="1" thickBot="1">
      <c r="A10" s="58" t="s">
        <v>28</v>
      </c>
      <c r="B10" s="210"/>
      <c r="C10" s="155"/>
      <c r="D10" s="4"/>
      <c r="E10" s="4"/>
      <c r="F10" s="4"/>
      <c r="G10" s="4">
        <f>82282.69+3034.8</f>
        <v>85317.49</v>
      </c>
      <c r="H10" s="4"/>
      <c r="I10" s="4"/>
      <c r="J10" s="4"/>
      <c r="K10" s="4"/>
      <c r="L10" s="4">
        <v>6871.44</v>
      </c>
      <c r="M10" s="189"/>
      <c r="N10" s="4"/>
      <c r="O10" s="4"/>
      <c r="P10" s="4">
        <v>42208.12</v>
      </c>
      <c r="Q10" s="4"/>
      <c r="R10" s="4"/>
      <c r="S10" s="4"/>
      <c r="T10" s="4"/>
      <c r="U10" s="4">
        <v>1994.6</v>
      </c>
      <c r="V10" s="4"/>
      <c r="W10" s="4"/>
      <c r="X10" s="4"/>
      <c r="Y10" s="4"/>
      <c r="Z10" s="4">
        <v>74364.12</v>
      </c>
      <c r="AA10" s="4"/>
      <c r="AB10" s="4"/>
      <c r="AC10" s="4"/>
      <c r="AD10" s="4"/>
      <c r="AE10" s="4">
        <f>61658.61+1264.5</f>
        <v>62923.11</v>
      </c>
      <c r="AF10" s="189"/>
      <c r="AG10" s="4"/>
      <c r="AH10" s="4"/>
      <c r="AI10" s="4"/>
      <c r="AJ10" s="4">
        <v>320.10000000000002</v>
      </c>
      <c r="AK10" s="4"/>
      <c r="AL10" s="4"/>
      <c r="AM10" s="4"/>
      <c r="AN10" s="4"/>
      <c r="AO10" s="4">
        <v>81167.27</v>
      </c>
      <c r="AP10" s="4"/>
      <c r="AQ10" s="4"/>
      <c r="AR10" s="4"/>
      <c r="AS10" s="4"/>
      <c r="AT10" s="4">
        <v>127838.39</v>
      </c>
      <c r="AU10" s="4"/>
      <c r="AV10" s="4"/>
      <c r="AW10" s="4"/>
      <c r="AX10" s="4"/>
      <c r="AY10" s="4">
        <v>57189.97</v>
      </c>
      <c r="AZ10" s="4"/>
      <c r="BA10" s="4"/>
      <c r="BB10" s="4"/>
      <c r="BC10" s="189"/>
      <c r="BD10" s="4">
        <v>81841.48</v>
      </c>
      <c r="BE10" s="4"/>
      <c r="BF10" s="4"/>
      <c r="BG10" s="4"/>
      <c r="BH10" s="4"/>
      <c r="BI10" s="4">
        <v>32819.300000000003</v>
      </c>
      <c r="BJ10" s="4"/>
      <c r="BK10" s="4"/>
      <c r="BL10" s="4"/>
      <c r="BM10" s="4"/>
      <c r="BN10" s="4">
        <v>16982.5</v>
      </c>
      <c r="BO10" s="4"/>
      <c r="BP10" s="4"/>
      <c r="BQ10" s="4"/>
      <c r="BR10" s="4"/>
      <c r="BS10" s="4">
        <f>168312.97+700+210</f>
        <v>169222.97</v>
      </c>
      <c r="BT10" s="4"/>
      <c r="BU10" s="4"/>
      <c r="BV10" s="4"/>
      <c r="BW10" s="4"/>
      <c r="BX10" s="4">
        <f>39238.8+1028.08+210+140</f>
        <v>40616.880000000005</v>
      </c>
      <c r="BY10" s="189"/>
      <c r="BZ10" s="4"/>
      <c r="CA10" s="4"/>
      <c r="CB10" s="4"/>
      <c r="CC10" s="4">
        <f>77043.45+4485.92+280+210+210</f>
        <v>82229.37</v>
      </c>
      <c r="CD10" s="4"/>
      <c r="CE10" s="4"/>
      <c r="CF10" s="4"/>
      <c r="CG10" s="4"/>
      <c r="CH10" s="4">
        <f>146108.62+8191.68</f>
        <v>154300.29999999999</v>
      </c>
      <c r="CI10" s="4"/>
      <c r="CJ10" s="4"/>
      <c r="CK10" s="4"/>
      <c r="CL10" s="4">
        <f>22576.36+210+140+105.76</f>
        <v>23032.12</v>
      </c>
      <c r="CM10" s="4"/>
      <c r="CN10" s="4"/>
      <c r="CO10" s="4"/>
      <c r="CP10" s="4"/>
      <c r="CQ10" s="4">
        <f>124443.31+7414.78+420</f>
        <v>132278.09</v>
      </c>
      <c r="CR10" s="4"/>
      <c r="CS10" s="189"/>
      <c r="CT10" s="4"/>
      <c r="CU10" s="4"/>
      <c r="CV10" s="4">
        <f>162078.01+185.08</f>
        <v>162263.09</v>
      </c>
      <c r="CW10" s="4"/>
      <c r="CX10" s="4"/>
      <c r="CY10" s="4"/>
      <c r="CZ10" s="4"/>
      <c r="DA10" s="4">
        <v>107045.68</v>
      </c>
      <c r="DB10" s="4"/>
      <c r="DC10" s="4"/>
      <c r="DD10" s="4"/>
      <c r="DE10" s="4"/>
      <c r="DF10" s="4">
        <v>159993.69</v>
      </c>
      <c r="DG10" s="4"/>
      <c r="DH10" s="4"/>
      <c r="DI10" s="4"/>
      <c r="DJ10" s="4">
        <v>25456.93</v>
      </c>
      <c r="DK10" s="4"/>
      <c r="DL10" s="4"/>
      <c r="DM10" s="4"/>
      <c r="DN10" s="189"/>
      <c r="DO10" s="4">
        <v>2710.44</v>
      </c>
      <c r="DP10" s="4"/>
      <c r="DQ10" s="4"/>
      <c r="DR10" s="4"/>
      <c r="DS10" s="4"/>
      <c r="DT10" s="4">
        <v>4853.46</v>
      </c>
      <c r="DU10" s="4"/>
      <c r="DV10" s="4"/>
      <c r="DW10" s="4"/>
      <c r="DX10" s="4"/>
      <c r="DY10" s="4">
        <v>19869.95</v>
      </c>
      <c r="DZ10" s="4"/>
      <c r="EA10" s="4"/>
      <c r="EB10" s="4"/>
      <c r="EC10" s="4"/>
      <c r="ED10" s="4">
        <v>25383.39</v>
      </c>
      <c r="EE10" s="4"/>
      <c r="EF10" s="4"/>
      <c r="EG10" s="4"/>
      <c r="EH10" s="4"/>
      <c r="EI10" s="4">
        <v>17164.28</v>
      </c>
      <c r="EJ10" s="189"/>
      <c r="EK10" s="332"/>
      <c r="EL10" s="4"/>
      <c r="EM10" s="4"/>
      <c r="EN10" s="4">
        <v>1237.33</v>
      </c>
      <c r="EO10" s="4"/>
      <c r="EP10" s="4"/>
      <c r="EQ10" s="4"/>
      <c r="ER10" s="4"/>
      <c r="ES10" s="4">
        <v>285.98</v>
      </c>
      <c r="ET10" s="4"/>
      <c r="EU10" s="4"/>
      <c r="EV10" s="4"/>
      <c r="EW10" s="4"/>
      <c r="EX10" s="4">
        <v>11473.46</v>
      </c>
      <c r="EY10" s="4"/>
      <c r="EZ10" s="4"/>
      <c r="FA10" s="4"/>
      <c r="FB10" s="4"/>
      <c r="FC10" s="4">
        <v>1054.42</v>
      </c>
      <c r="FD10" s="4"/>
      <c r="FE10" s="189"/>
      <c r="FF10" s="4"/>
      <c r="FG10" s="4">
        <v>40.72</v>
      </c>
      <c r="FH10" s="4"/>
      <c r="FI10" s="4"/>
      <c r="FJ10" s="189"/>
      <c r="FK10" s="4"/>
      <c r="FL10" s="4">
        <v>9184.93</v>
      </c>
      <c r="FM10" s="4"/>
      <c r="FN10" s="4"/>
      <c r="FO10" s="4"/>
      <c r="FP10" s="4"/>
      <c r="FQ10" s="4">
        <v>630</v>
      </c>
      <c r="FR10" s="4"/>
      <c r="FS10" s="4"/>
      <c r="FT10" s="4"/>
      <c r="FU10" s="4"/>
      <c r="FV10" s="4">
        <v>10665.14</v>
      </c>
      <c r="FW10" s="4"/>
      <c r="FX10" s="4"/>
      <c r="FY10" s="4"/>
      <c r="FZ10" s="189">
        <v>3933405</v>
      </c>
      <c r="GA10" s="4"/>
      <c r="GB10" s="4"/>
      <c r="GC10" s="4"/>
      <c r="GD10" s="4"/>
      <c r="GE10" s="4">
        <v>15163.23</v>
      </c>
      <c r="GF10" s="4"/>
      <c r="GG10" s="5"/>
      <c r="GH10" s="4"/>
      <c r="GI10" s="4"/>
      <c r="GJ10" s="5">
        <v>72961.320000000007</v>
      </c>
      <c r="GK10" s="4"/>
      <c r="GL10" s="4"/>
      <c r="GM10" s="4"/>
      <c r="GN10" s="4"/>
      <c r="GO10" s="4">
        <v>141728.56</v>
      </c>
      <c r="GP10" s="4"/>
      <c r="GQ10" s="4"/>
      <c r="GR10" s="4"/>
      <c r="GS10" s="4"/>
      <c r="GT10" s="189">
        <v>46494.82</v>
      </c>
      <c r="GU10" s="4"/>
      <c r="GV10" s="4"/>
      <c r="GW10" s="4"/>
      <c r="GX10" s="4">
        <v>35072.160000000003</v>
      </c>
      <c r="GY10" s="4"/>
      <c r="GZ10" s="4"/>
      <c r="HA10" s="4"/>
      <c r="HB10" s="4"/>
      <c r="HC10" s="4">
        <f>21476.67+141.83</f>
        <v>21618.5</v>
      </c>
      <c r="HD10" s="4"/>
      <c r="HE10" s="4"/>
      <c r="HF10" s="4"/>
      <c r="HG10" s="4">
        <v>148411.35</v>
      </c>
      <c r="HH10" s="4"/>
      <c r="HI10" s="4"/>
      <c r="HJ10" s="4"/>
      <c r="HK10" s="4"/>
      <c r="HL10" s="4">
        <v>94941.95</v>
      </c>
      <c r="HM10" s="4"/>
      <c r="HN10" s="4"/>
      <c r="HO10" s="189"/>
      <c r="HP10" s="4"/>
      <c r="HQ10" s="4">
        <v>63201.96</v>
      </c>
      <c r="HR10" s="4"/>
      <c r="HS10" s="4"/>
      <c r="HT10" s="4"/>
      <c r="HU10" s="4"/>
      <c r="HV10" s="4">
        <v>57057.86</v>
      </c>
      <c r="HW10" s="4"/>
      <c r="HX10" s="4"/>
      <c r="HY10" s="4"/>
      <c r="HZ10" s="4">
        <f>20830.22+560</f>
        <v>21390.22</v>
      </c>
      <c r="IA10" s="4"/>
      <c r="IB10" s="4"/>
      <c r="IC10" s="4"/>
      <c r="ID10" s="4">
        <v>13630.67</v>
      </c>
      <c r="IE10" s="4"/>
      <c r="IF10" s="4"/>
      <c r="IG10" s="4"/>
      <c r="IH10" s="4"/>
      <c r="II10" s="4">
        <f>56034.54+420</f>
        <v>56454.54</v>
      </c>
      <c r="IJ10" s="189"/>
      <c r="IK10" s="4"/>
      <c r="IL10" s="4"/>
      <c r="IM10" s="4">
        <f>13119.3+1701.96</f>
        <v>14821.259999999998</v>
      </c>
      <c r="IN10" s="4"/>
      <c r="IO10" s="4"/>
      <c r="IP10" s="4"/>
      <c r="IQ10" s="4"/>
      <c r="IR10" s="4">
        <v>30102.83</v>
      </c>
      <c r="IS10" s="4"/>
      <c r="IT10" s="200"/>
      <c r="IU10" s="4">
        <f t="shared" si="4"/>
        <v>6599286.7400000002</v>
      </c>
    </row>
    <row r="11" spans="1:255" ht="14.1" customHeight="1" thickBot="1">
      <c r="A11" s="58" t="s">
        <v>7</v>
      </c>
      <c r="B11" s="58"/>
      <c r="C11" s="155"/>
      <c r="D11" s="4">
        <v>3.14</v>
      </c>
      <c r="E11" s="4"/>
      <c r="F11" s="4"/>
      <c r="G11" s="4"/>
      <c r="H11" s="4"/>
      <c r="I11" s="4"/>
      <c r="J11" s="4">
        <v>46.22</v>
      </c>
      <c r="K11" s="4">
        <f>43948.23+77</f>
        <v>44025.23</v>
      </c>
      <c r="L11" s="4">
        <f>1286+1363.36</f>
        <v>2649.3599999999997</v>
      </c>
      <c r="M11" s="189">
        <f>3796.65+1481.56+125+1185.61</f>
        <v>6588.82</v>
      </c>
      <c r="N11" s="4">
        <f>1663+1054</f>
        <v>2717</v>
      </c>
      <c r="O11" s="4"/>
      <c r="P11" s="4">
        <f>13248.06+321.08</f>
        <v>13569.14</v>
      </c>
      <c r="Q11" s="4"/>
      <c r="R11" s="4">
        <v>909.52</v>
      </c>
      <c r="S11" s="4"/>
      <c r="T11" s="4">
        <v>997</v>
      </c>
      <c r="U11" s="4"/>
      <c r="V11" s="4">
        <v>162.80000000000001</v>
      </c>
      <c r="W11" s="4">
        <f>1467.48+3.28</f>
        <v>1470.76</v>
      </c>
      <c r="X11" s="4"/>
      <c r="Y11" s="4"/>
      <c r="Z11" s="4"/>
      <c r="AA11" s="4"/>
      <c r="AB11" s="4"/>
      <c r="AC11" s="4"/>
      <c r="AD11" s="4"/>
      <c r="AE11" s="4"/>
      <c r="AF11" s="189">
        <f>3381.75+4536.92+25.01+892.22</f>
        <v>8835.9</v>
      </c>
      <c r="AG11" s="4">
        <v>1278.31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>
        <v>2.2200000000000002</v>
      </c>
      <c r="AT11" s="4"/>
      <c r="AU11" s="4"/>
      <c r="AV11" s="4"/>
      <c r="AW11" s="4"/>
      <c r="AX11" s="4"/>
      <c r="AY11" s="4"/>
      <c r="AZ11" s="4"/>
      <c r="BA11" s="4"/>
      <c r="BB11" s="4"/>
      <c r="BC11" s="189"/>
      <c r="BD11" s="4">
        <v>1228.0999999999999</v>
      </c>
      <c r="BE11" s="4">
        <v>4887.5</v>
      </c>
      <c r="BF11" s="4"/>
      <c r="BG11" s="4"/>
      <c r="BH11" s="4"/>
      <c r="BI11" s="4"/>
      <c r="BJ11" s="4"/>
      <c r="BK11" s="4"/>
      <c r="BL11" s="4"/>
      <c r="BM11" s="4"/>
      <c r="BN11" s="4"/>
      <c r="BO11" s="4">
        <v>2.2999999999999998</v>
      </c>
      <c r="BP11" s="4"/>
      <c r="BQ11" s="4"/>
      <c r="BR11" s="4"/>
      <c r="BS11" s="4"/>
      <c r="BT11" s="4"/>
      <c r="BU11" s="4">
        <f>8847.69+1955</f>
        <v>10802.69</v>
      </c>
      <c r="BV11" s="4"/>
      <c r="BW11" s="4"/>
      <c r="BX11" s="4">
        <v>1415.99</v>
      </c>
      <c r="BY11" s="189">
        <v>654.41</v>
      </c>
      <c r="BZ11" s="4"/>
      <c r="CA11" s="4"/>
      <c r="CB11" s="4"/>
      <c r="CC11" s="4"/>
      <c r="CD11" s="4"/>
      <c r="CE11" s="4"/>
      <c r="CF11" s="4"/>
      <c r="CG11" s="4"/>
      <c r="CH11" s="4"/>
      <c r="CI11" s="4">
        <v>4.2</v>
      </c>
      <c r="CJ11" s="4"/>
      <c r="CK11" s="4"/>
      <c r="CL11" s="4"/>
      <c r="CM11" s="4"/>
      <c r="CN11" s="4"/>
      <c r="CO11" s="4"/>
      <c r="CP11" s="4">
        <v>1512.08</v>
      </c>
      <c r="CQ11" s="4">
        <v>0</v>
      </c>
      <c r="CR11" s="4"/>
      <c r="CS11" s="189">
        <v>522.41999999999996</v>
      </c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1.18</v>
      </c>
      <c r="DF11" s="4"/>
      <c r="DG11" s="4"/>
      <c r="DH11" s="4"/>
      <c r="DI11" s="4"/>
      <c r="DJ11" s="4"/>
      <c r="DK11" s="4"/>
      <c r="DL11" s="4">
        <v>610.41</v>
      </c>
      <c r="DM11" s="4"/>
      <c r="DN11" s="189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>
        <f>351545+2.02</f>
        <v>351547.02</v>
      </c>
      <c r="EB11" s="4"/>
      <c r="EC11" s="4"/>
      <c r="ED11" s="4"/>
      <c r="EE11" s="4"/>
      <c r="EF11" s="451">
        <v>0</v>
      </c>
      <c r="EG11" s="498">
        <v>0</v>
      </c>
      <c r="EH11" s="4">
        <f>1139.71+7298.75</f>
        <v>8438.4599999999991</v>
      </c>
      <c r="EI11" s="4">
        <v>680.63</v>
      </c>
      <c r="EJ11" s="189"/>
      <c r="EK11" s="332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>
        <v>1.62</v>
      </c>
      <c r="EW11" s="4"/>
      <c r="EX11" s="4"/>
      <c r="EY11" s="4"/>
      <c r="EZ11" s="4">
        <v>1026.1600000000001</v>
      </c>
      <c r="FA11" s="4">
        <v>1515.53</v>
      </c>
      <c r="FB11" s="450">
        <v>0</v>
      </c>
      <c r="FC11" s="4">
        <v>537</v>
      </c>
      <c r="FD11" s="4"/>
      <c r="FE11" s="189"/>
      <c r="FF11" s="4"/>
      <c r="FG11" s="4">
        <v>34.68</v>
      </c>
      <c r="FH11" s="4">
        <v>0.11</v>
      </c>
      <c r="FI11" s="4">
        <v>3643.95</v>
      </c>
      <c r="FJ11" s="189"/>
      <c r="FK11" s="4"/>
      <c r="FL11" s="4"/>
      <c r="FM11" s="355">
        <f>123228130-FM16</f>
        <v>14110256</v>
      </c>
      <c r="FN11" s="4"/>
      <c r="FO11" s="4"/>
      <c r="FP11" s="4"/>
      <c r="FQ11" s="4">
        <v>1.52</v>
      </c>
      <c r="FR11" s="4">
        <v>16.27</v>
      </c>
      <c r="FS11" s="4"/>
      <c r="FT11" s="4">
        <v>407.4</v>
      </c>
      <c r="FU11" s="4"/>
      <c r="FV11" s="4">
        <v>3134393</v>
      </c>
      <c r="FW11" s="4">
        <v>203.7</v>
      </c>
      <c r="FX11" s="4"/>
      <c r="FY11" s="4">
        <v>1742.67</v>
      </c>
      <c r="FZ11" s="189">
        <v>597.15</v>
      </c>
      <c r="GA11" s="4">
        <v>203.7</v>
      </c>
      <c r="GB11" s="4"/>
      <c r="GC11" s="4"/>
      <c r="GD11" s="4"/>
      <c r="GE11" s="4"/>
      <c r="GF11" s="4"/>
      <c r="GG11" s="355">
        <f>3216325.56+87135903-84285041</f>
        <v>6067187.5600000024</v>
      </c>
      <c r="GH11" s="4">
        <v>611.1</v>
      </c>
      <c r="GI11" s="4"/>
      <c r="GJ11" s="450">
        <v>0</v>
      </c>
      <c r="GL11" s="4">
        <v>2.35</v>
      </c>
      <c r="GM11" s="4"/>
      <c r="GN11" s="4"/>
      <c r="GO11" s="4"/>
      <c r="GP11" s="4"/>
      <c r="GQ11" s="4"/>
      <c r="GR11" s="4"/>
      <c r="GS11" s="4"/>
      <c r="GT11" s="189"/>
      <c r="GU11" s="4">
        <v>477.99</v>
      </c>
      <c r="GV11" s="4"/>
      <c r="GW11" s="4"/>
      <c r="GX11" s="4"/>
      <c r="GY11" s="4"/>
      <c r="GZ11" s="4"/>
      <c r="HA11" s="4"/>
      <c r="HB11" s="4"/>
      <c r="HC11" s="4"/>
      <c r="HD11" s="4"/>
      <c r="HE11" s="4">
        <v>1.23</v>
      </c>
      <c r="HF11" s="4"/>
      <c r="HG11" s="4"/>
      <c r="HH11" s="4">
        <v>95.89</v>
      </c>
      <c r="HI11" s="4"/>
      <c r="HJ11" s="4"/>
      <c r="HK11" s="4"/>
      <c r="HL11" s="4"/>
      <c r="HM11" s="4">
        <v>1073.42</v>
      </c>
      <c r="HN11" s="4"/>
      <c r="HO11" s="189">
        <v>751.77</v>
      </c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>
        <v>1.45</v>
      </c>
      <c r="IB11" s="4"/>
      <c r="IC11" s="4"/>
      <c r="ID11" s="4"/>
      <c r="IE11" s="4"/>
      <c r="IF11" s="4"/>
      <c r="IG11" s="4"/>
      <c r="IH11" s="4"/>
      <c r="II11" s="4"/>
      <c r="IJ11" s="189">
        <f>1284.87+3876.7</f>
        <v>5161.57</v>
      </c>
      <c r="IK11" s="4"/>
      <c r="IL11" s="4"/>
      <c r="IM11" s="4"/>
      <c r="IN11" s="4"/>
      <c r="IO11" s="4"/>
      <c r="IP11" s="4"/>
      <c r="IQ11" s="4"/>
      <c r="IR11" s="4"/>
      <c r="IS11" s="4"/>
      <c r="IT11" s="200"/>
      <c r="IU11" s="4">
        <f t="shared" si="4"/>
        <v>23795507.600000001</v>
      </c>
    </row>
    <row r="12" spans="1:255" ht="14.1" customHeight="1" thickBot="1">
      <c r="A12" s="58" t="s">
        <v>38</v>
      </c>
      <c r="B12" s="210"/>
      <c r="C12" s="155"/>
      <c r="D12" s="4"/>
      <c r="E12" s="4"/>
      <c r="F12" s="4"/>
      <c r="G12" s="4"/>
      <c r="H12" s="4"/>
      <c r="I12" s="4"/>
      <c r="J12" s="4">
        <v>172562.01</v>
      </c>
      <c r="K12" s="4"/>
      <c r="L12" s="4"/>
      <c r="M12" s="189"/>
      <c r="N12" s="4">
        <v>3835992.16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>
        <v>711060.83</v>
      </c>
      <c r="AB12" s="4"/>
      <c r="AC12" s="4"/>
      <c r="AD12" s="4"/>
      <c r="AE12" s="4"/>
      <c r="AF12" s="189"/>
      <c r="AG12" s="4"/>
      <c r="AH12" s="4"/>
      <c r="AI12" s="4"/>
      <c r="AJ12" s="4"/>
      <c r="AK12" s="4"/>
      <c r="AL12" s="4"/>
      <c r="AM12" s="4"/>
      <c r="AN12" s="4"/>
      <c r="AO12" s="4">
        <v>197468.72</v>
      </c>
      <c r="AP12" s="4"/>
      <c r="AQ12" s="4"/>
      <c r="AR12" s="4"/>
      <c r="AS12" s="4"/>
      <c r="AT12" s="4"/>
      <c r="AU12" s="4">
        <v>23078.07</v>
      </c>
      <c r="AV12" s="4">
        <v>14808.79</v>
      </c>
      <c r="AW12" s="4">
        <v>63727.8</v>
      </c>
      <c r="AX12" s="4"/>
      <c r="AY12" s="4"/>
      <c r="AZ12" s="4"/>
      <c r="BA12" s="4"/>
      <c r="BB12" s="4"/>
      <c r="BC12" s="189"/>
      <c r="BD12" s="4">
        <v>1739.79</v>
      </c>
      <c r="BE12" s="4"/>
      <c r="BF12" s="4"/>
      <c r="BG12" s="4"/>
      <c r="BH12" s="4"/>
      <c r="BI12" s="4">
        <v>24635.74</v>
      </c>
      <c r="BJ12" s="4"/>
      <c r="BK12" s="4"/>
      <c r="BL12" s="4"/>
      <c r="BM12" s="4"/>
      <c r="BN12" s="4"/>
      <c r="BO12" s="4"/>
      <c r="BP12" s="4">
        <v>8523.94</v>
      </c>
      <c r="BQ12" s="4">
        <v>41731.43</v>
      </c>
      <c r="BR12" s="4"/>
      <c r="BS12" s="4"/>
      <c r="BT12" s="4"/>
      <c r="BU12" s="4"/>
      <c r="BV12" s="4"/>
      <c r="BW12" s="4"/>
      <c r="BX12" s="4"/>
      <c r="BY12" s="189"/>
      <c r="BZ12" s="4"/>
      <c r="CA12" s="4"/>
      <c r="CB12" s="4"/>
      <c r="CC12" s="4"/>
      <c r="CD12" s="4"/>
      <c r="CE12" s="4"/>
      <c r="CF12" s="4">
        <v>10116.27</v>
      </c>
      <c r="CG12" s="4"/>
      <c r="CH12" s="4"/>
      <c r="CI12" s="4"/>
      <c r="CJ12" s="4">
        <v>1737981.61</v>
      </c>
      <c r="CK12" s="4"/>
      <c r="CL12" s="4"/>
      <c r="CM12" s="4"/>
      <c r="CN12" s="4"/>
      <c r="CO12" s="4"/>
      <c r="CP12" s="4"/>
      <c r="CQ12" s="4">
        <f>37256.71+26171.81</f>
        <v>63428.520000000004</v>
      </c>
      <c r="CR12" s="4"/>
      <c r="CS12" s="189"/>
      <c r="CT12" s="4"/>
      <c r="CU12" s="4"/>
      <c r="CV12" s="4"/>
      <c r="CW12" s="4"/>
      <c r="CX12" s="4"/>
      <c r="CY12" s="4"/>
      <c r="CZ12" s="4"/>
      <c r="DA12" s="4"/>
      <c r="DB12" s="4"/>
      <c r="DC12" s="4">
        <v>43930.03</v>
      </c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189"/>
      <c r="DO12" s="4"/>
      <c r="DP12" s="4">
        <v>1764.05</v>
      </c>
      <c r="DQ12" s="4">
        <v>225351.9</v>
      </c>
      <c r="DR12" s="4"/>
      <c r="DS12" s="4"/>
      <c r="DT12" s="4">
        <v>240</v>
      </c>
      <c r="DU12" s="4"/>
      <c r="DV12" s="4"/>
      <c r="DW12" s="4"/>
      <c r="DX12" s="4"/>
      <c r="DY12" s="4"/>
      <c r="DZ12" s="4"/>
      <c r="EA12" s="4"/>
      <c r="EB12" s="4"/>
      <c r="EC12" s="4"/>
      <c r="ED12" s="4">
        <v>12601.5</v>
      </c>
      <c r="EE12" s="4"/>
      <c r="EF12" s="4"/>
      <c r="EG12" s="4"/>
      <c r="EH12" s="4">
        <f>+'FY-08, FEB-08 - Jan-09, DATA'!EH12*$V$73</f>
        <v>0</v>
      </c>
      <c r="EI12" s="4"/>
      <c r="EJ12" s="189"/>
      <c r="EK12" s="332"/>
      <c r="EL12" s="4"/>
      <c r="EM12" s="4"/>
      <c r="EN12" s="4"/>
      <c r="EO12" s="4"/>
      <c r="EP12" s="4"/>
      <c r="EQ12" s="355">
        <f>6705777</f>
        <v>6705777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89"/>
      <c r="FF12" s="4">
        <v>31827.68</v>
      </c>
      <c r="FG12" s="4"/>
      <c r="FH12" s="4"/>
      <c r="FI12" s="4"/>
      <c r="FJ12" s="189">
        <v>22707.7</v>
      </c>
      <c r="FK12" s="4"/>
      <c r="FL12" s="4"/>
      <c r="FM12" s="4">
        <v>88576.1</v>
      </c>
      <c r="FN12" s="4">
        <v>40263.65</v>
      </c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89"/>
      <c r="GA12" s="4">
        <v>3411.61</v>
      </c>
      <c r="GB12" s="4"/>
      <c r="GC12" s="4"/>
      <c r="GD12" s="4"/>
      <c r="GE12" s="4"/>
      <c r="GF12" s="4"/>
      <c r="GG12" s="3"/>
      <c r="GH12" s="4"/>
      <c r="GI12" s="4"/>
      <c r="GJ12" s="3"/>
      <c r="GK12" s="4">
        <v>158039.21</v>
      </c>
      <c r="GL12" s="4"/>
      <c r="GM12" s="4">
        <v>73620.44</v>
      </c>
      <c r="GN12" s="4"/>
      <c r="GO12" s="4"/>
      <c r="GP12" s="4">
        <v>203.7</v>
      </c>
      <c r="GQ12" s="4"/>
      <c r="GR12" s="4">
        <v>679</v>
      </c>
      <c r="GS12" s="4"/>
      <c r="GT12" s="189"/>
      <c r="GU12" s="4"/>
      <c r="GV12" s="4">
        <v>475.3</v>
      </c>
      <c r="GW12" s="4"/>
      <c r="GX12" s="4"/>
      <c r="GY12" s="4">
        <v>135.80000000000001</v>
      </c>
      <c r="GZ12" s="4"/>
      <c r="HA12" s="4"/>
      <c r="HB12" s="4"/>
      <c r="HC12" s="4"/>
      <c r="HD12" s="4"/>
      <c r="HE12" s="4"/>
      <c r="HF12" s="4"/>
      <c r="HG12" s="4"/>
      <c r="HH12" s="4">
        <v>339.5</v>
      </c>
      <c r="HI12" s="4"/>
      <c r="HJ12" s="4"/>
      <c r="HK12" s="4"/>
      <c r="HL12" s="4"/>
      <c r="HM12" s="4"/>
      <c r="HN12" s="4"/>
      <c r="HO12" s="189"/>
      <c r="HP12" s="4"/>
      <c r="HQ12" s="4"/>
      <c r="HR12" s="4"/>
      <c r="HS12" s="4"/>
      <c r="HT12" s="4"/>
      <c r="HU12" s="4"/>
      <c r="HV12" s="4"/>
      <c r="HW12" s="4">
        <v>679</v>
      </c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189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>
        <f t="shared" si="4"/>
        <v>14317478.85</v>
      </c>
    </row>
    <row r="13" spans="1:255" s="38" customFormat="1" ht="14.1" customHeight="1">
      <c r="A13" s="32" t="s">
        <v>47</v>
      </c>
      <c r="B13" s="32"/>
      <c r="C13" s="32">
        <v>203669.03</v>
      </c>
      <c r="D13" s="32">
        <v>1233652.28</v>
      </c>
      <c r="E13" s="32">
        <v>254563.82</v>
      </c>
      <c r="F13" s="32">
        <v>161536.93</v>
      </c>
      <c r="G13" s="32">
        <v>508752.51</v>
      </c>
      <c r="H13" s="32">
        <v>335095.09000000003</v>
      </c>
      <c r="I13" s="32">
        <v>270561.52</v>
      </c>
      <c r="J13" s="32">
        <v>207725.27</v>
      </c>
      <c r="K13" s="32">
        <v>226722.01</v>
      </c>
      <c r="L13" s="32">
        <v>267688.67</v>
      </c>
      <c r="M13" s="123">
        <v>417552.68</v>
      </c>
      <c r="N13" s="32">
        <v>349872.82</v>
      </c>
      <c r="O13" s="32">
        <v>251846.79</v>
      </c>
      <c r="P13" s="32">
        <v>124655.2</v>
      </c>
      <c r="Q13" s="32">
        <v>305341.90999999997</v>
      </c>
      <c r="R13" s="32">
        <v>297714.58</v>
      </c>
      <c r="S13" s="32">
        <v>220803.64</v>
      </c>
      <c r="T13" s="32">
        <v>3470455.36</v>
      </c>
      <c r="U13" s="32">
        <v>309655.45</v>
      </c>
      <c r="V13" s="32">
        <v>234646.16</v>
      </c>
      <c r="W13" s="32">
        <v>226263.28</v>
      </c>
      <c r="X13" s="32">
        <v>159306.21</v>
      </c>
      <c r="Y13" s="32">
        <v>214825.35</v>
      </c>
      <c r="Z13" s="32">
        <v>208405.87</v>
      </c>
      <c r="AA13" s="32">
        <v>255185.91</v>
      </c>
      <c r="AB13" s="32">
        <v>620533.29</v>
      </c>
      <c r="AC13" s="32">
        <v>209870.5</v>
      </c>
      <c r="AD13" s="32">
        <v>179941.78</v>
      </c>
      <c r="AE13" s="32">
        <v>128677.36</v>
      </c>
      <c r="AF13" s="123">
        <v>287754.69</v>
      </c>
      <c r="AG13" s="32">
        <v>278607.53999999998</v>
      </c>
      <c r="AH13" s="32">
        <v>145029.69</v>
      </c>
      <c r="AI13" s="32">
        <v>194959.71</v>
      </c>
      <c r="AJ13" s="32">
        <v>125754.15</v>
      </c>
      <c r="AK13" s="32">
        <v>186339.93</v>
      </c>
      <c r="AL13" s="32">
        <v>221748.44</v>
      </c>
      <c r="AM13" s="32">
        <v>137400.37</v>
      </c>
      <c r="AN13" s="32">
        <v>217990.13</v>
      </c>
      <c r="AO13" s="32">
        <v>719794.52</v>
      </c>
      <c r="AP13" s="32">
        <v>166057.49</v>
      </c>
      <c r="AQ13" s="32">
        <v>179199.1</v>
      </c>
      <c r="AR13" s="32">
        <v>214383.27</v>
      </c>
      <c r="AS13" s="32">
        <v>154678.95000000001</v>
      </c>
      <c r="AT13" s="32">
        <v>205186.08</v>
      </c>
      <c r="AU13" s="32">
        <v>174887.17</v>
      </c>
      <c r="AV13" s="32">
        <v>106241.5</v>
      </c>
      <c r="AW13" s="32">
        <v>167705.57999999999</v>
      </c>
      <c r="AX13" s="32">
        <v>199077.85</v>
      </c>
      <c r="AY13" s="32">
        <v>218351.04</v>
      </c>
      <c r="AZ13" s="32">
        <v>717791.87</v>
      </c>
      <c r="BA13" s="32">
        <v>706137.08</v>
      </c>
      <c r="BB13" s="32">
        <v>224994.08</v>
      </c>
      <c r="BC13" s="123">
        <v>184603.63</v>
      </c>
      <c r="BD13" s="32">
        <v>275003.33</v>
      </c>
      <c r="BE13" s="32">
        <v>243037.23</v>
      </c>
      <c r="BF13" s="32">
        <v>221529.24</v>
      </c>
      <c r="BG13" s="32">
        <v>181652.65</v>
      </c>
      <c r="BH13" s="32">
        <v>146840.60999999999</v>
      </c>
      <c r="BI13" s="32">
        <v>718472.64</v>
      </c>
      <c r="BJ13" s="32">
        <v>203755.47</v>
      </c>
      <c r="BK13" s="32">
        <v>196349.34</v>
      </c>
      <c r="BL13" s="32">
        <v>177124.91</v>
      </c>
      <c r="BM13" s="32">
        <v>160067.69</v>
      </c>
      <c r="BN13" s="32">
        <v>231508.04</v>
      </c>
      <c r="BO13" s="32">
        <v>278922.84000000003</v>
      </c>
      <c r="BP13" s="32">
        <v>212291.65</v>
      </c>
      <c r="BQ13" s="32">
        <v>104542.91</v>
      </c>
      <c r="BR13" s="32">
        <v>170501.33</v>
      </c>
      <c r="BS13" s="32">
        <v>160127.1</v>
      </c>
      <c r="BT13" s="32">
        <v>206449.63</v>
      </c>
      <c r="BU13" s="32">
        <v>134346.60999999999</v>
      </c>
      <c r="BV13" s="32"/>
      <c r="BW13" s="32">
        <v>175894.76</v>
      </c>
      <c r="BX13" s="32">
        <v>235208.12</v>
      </c>
      <c r="BY13" s="123">
        <v>175391.02</v>
      </c>
      <c r="BZ13" s="32">
        <v>251460.75</v>
      </c>
      <c r="CA13" s="32">
        <v>153226.4</v>
      </c>
      <c r="CB13" s="32">
        <v>176753.56</v>
      </c>
      <c r="CC13" s="32">
        <v>206697.95</v>
      </c>
      <c r="CD13" s="32">
        <v>203138.88</v>
      </c>
      <c r="CE13" s="32">
        <v>1074170.21</v>
      </c>
      <c r="CF13" s="32">
        <v>179808.17</v>
      </c>
      <c r="CG13" s="32">
        <v>188966.36</v>
      </c>
      <c r="CH13" s="32">
        <v>176918.66</v>
      </c>
      <c r="CI13" s="32">
        <v>2234920.59</v>
      </c>
      <c r="CJ13" s="32">
        <v>178297.34</v>
      </c>
      <c r="CK13" s="32">
        <v>135637.69</v>
      </c>
      <c r="CL13" s="32">
        <v>168293.81</v>
      </c>
      <c r="CM13" s="32">
        <v>163481.46</v>
      </c>
      <c r="CN13" s="32">
        <v>164327.91</v>
      </c>
      <c r="CO13" s="32">
        <v>376803.37</v>
      </c>
      <c r="CP13" s="32">
        <v>141944.37</v>
      </c>
      <c r="CQ13" s="32">
        <v>155053.9</v>
      </c>
      <c r="CR13" s="32">
        <v>160631.92000000001</v>
      </c>
      <c r="CS13" s="123">
        <v>124178.18</v>
      </c>
      <c r="CT13" s="32">
        <v>117086.23</v>
      </c>
      <c r="CU13" s="32">
        <v>132387.16</v>
      </c>
      <c r="CV13" s="32">
        <v>191184.81</v>
      </c>
      <c r="CW13" s="32">
        <v>96768.98</v>
      </c>
      <c r="CX13" s="32">
        <v>58681.24</v>
      </c>
      <c r="CY13" s="32">
        <v>145672.21</v>
      </c>
      <c r="CZ13" s="32">
        <v>160455.13</v>
      </c>
      <c r="DA13" s="32">
        <v>110029.94</v>
      </c>
      <c r="DB13" s="32">
        <v>131588.57</v>
      </c>
      <c r="DC13" s="32">
        <v>112105.68</v>
      </c>
      <c r="DD13" s="32">
        <v>128421.87</v>
      </c>
      <c r="DE13" s="32">
        <v>190735.6</v>
      </c>
      <c r="DF13" s="32">
        <v>126894.77</v>
      </c>
      <c r="DG13" s="32">
        <f>70404.41+165595.9</f>
        <v>236000.31</v>
      </c>
      <c r="DH13" s="32">
        <v>164409.21</v>
      </c>
      <c r="DI13" s="32">
        <v>149403.35999999999</v>
      </c>
      <c r="DJ13" s="32">
        <v>0</v>
      </c>
      <c r="DK13" s="32">
        <v>289097.43</v>
      </c>
      <c r="DL13" s="32">
        <v>197952.83</v>
      </c>
      <c r="DM13" s="32">
        <v>218925.4</v>
      </c>
      <c r="DN13" s="123">
        <v>200317.34</v>
      </c>
      <c r="DO13" s="32">
        <v>0</v>
      </c>
      <c r="DP13" s="32">
        <v>0</v>
      </c>
      <c r="DQ13" s="32">
        <v>105955.14</v>
      </c>
      <c r="DR13" s="32">
        <v>116751.39</v>
      </c>
      <c r="DS13" s="32">
        <v>1562616.36</v>
      </c>
      <c r="DT13" s="32">
        <v>97669.13</v>
      </c>
      <c r="DU13" s="32">
        <v>2294563.9300000002</v>
      </c>
      <c r="DV13" s="32">
        <v>122009.91</v>
      </c>
      <c r="DW13" s="32">
        <v>142418.81</v>
      </c>
      <c r="DX13" s="32">
        <v>169177.55</v>
      </c>
      <c r="DY13" s="32">
        <v>9703.0400000000009</v>
      </c>
      <c r="DZ13" s="32">
        <v>66855.740000000005</v>
      </c>
      <c r="EA13" s="32">
        <v>130922.01</v>
      </c>
      <c r="EB13" s="32">
        <v>491455.54</v>
      </c>
      <c r="EC13" s="32">
        <v>1563491.66</v>
      </c>
      <c r="ED13" s="32">
        <v>76886.710000000006</v>
      </c>
      <c r="EE13" s="32">
        <v>116304.51</v>
      </c>
      <c r="EF13" s="32">
        <v>95543.82</v>
      </c>
      <c r="EG13" s="32">
        <v>187294.07999999999</v>
      </c>
      <c r="EH13" s="32">
        <v>126815.67999999999</v>
      </c>
      <c r="EI13" s="32">
        <v>120426.16</v>
      </c>
      <c r="EJ13" s="123">
        <v>119805.17</v>
      </c>
      <c r="EK13" s="333">
        <v>93034.42</v>
      </c>
      <c r="EL13" s="32">
        <v>0</v>
      </c>
      <c r="EM13" s="32">
        <v>131724.56</v>
      </c>
      <c r="EN13" s="32">
        <v>140613.93</v>
      </c>
      <c r="EO13" s="32">
        <v>169390.89</v>
      </c>
      <c r="EP13" s="32">
        <v>78184.490000000005</v>
      </c>
      <c r="EQ13" s="32">
        <v>117925.23</v>
      </c>
      <c r="ER13" s="32">
        <v>121260.72</v>
      </c>
      <c r="ES13" s="32">
        <v>118536.89</v>
      </c>
      <c r="ET13" s="32">
        <v>378675.98</v>
      </c>
      <c r="EU13" s="32">
        <v>234983.8</v>
      </c>
      <c r="EV13" s="32">
        <v>181800.16</v>
      </c>
      <c r="EW13" s="32">
        <v>150732.84</v>
      </c>
      <c r="EX13" s="32">
        <v>161257.45000000001</v>
      </c>
      <c r="EY13" s="32">
        <v>156266.54</v>
      </c>
      <c r="EZ13" s="32">
        <v>353934.42</v>
      </c>
      <c r="FA13" s="32">
        <v>63360.160000000003</v>
      </c>
      <c r="FB13" s="32">
        <v>19919.57</v>
      </c>
      <c r="FC13" s="32">
        <v>138528.4</v>
      </c>
      <c r="FD13" s="32">
        <v>99476.53</v>
      </c>
      <c r="FE13" s="123">
        <v>168643.18</v>
      </c>
      <c r="FF13" s="32">
        <v>234489.08</v>
      </c>
      <c r="FG13" s="32">
        <v>151037.93</v>
      </c>
      <c r="FH13" s="32">
        <v>133771.82</v>
      </c>
      <c r="FI13" s="32">
        <v>154373.49</v>
      </c>
      <c r="FJ13" s="123">
        <v>221869.31</v>
      </c>
      <c r="FK13" s="32">
        <v>180009.60000000001</v>
      </c>
      <c r="FL13" s="32">
        <v>149462.26999999999</v>
      </c>
      <c r="FM13" s="32">
        <v>128582.63</v>
      </c>
      <c r="FN13" s="32">
        <v>169601.95</v>
      </c>
      <c r="FO13" s="32">
        <v>308549.11</v>
      </c>
      <c r="FP13" s="32">
        <v>295214.99</v>
      </c>
      <c r="FQ13" s="32">
        <v>123699.9</v>
      </c>
      <c r="FR13" s="32">
        <v>119392.15</v>
      </c>
      <c r="FS13" s="32">
        <v>132551.15</v>
      </c>
      <c r="FT13" s="32">
        <v>121584.6</v>
      </c>
      <c r="FU13" s="32">
        <f>'[1]10-7'!C17</f>
        <v>387503.46</v>
      </c>
      <c r="FV13" s="32">
        <v>787709.45</v>
      </c>
      <c r="FW13" s="32">
        <v>230894.29</v>
      </c>
      <c r="FX13" s="32">
        <v>302215.03000000003</v>
      </c>
      <c r="FY13" s="32">
        <v>177883.84</v>
      </c>
      <c r="FZ13" s="123">
        <v>199056.25</v>
      </c>
      <c r="GA13" s="32">
        <v>52273.68</v>
      </c>
      <c r="GB13" s="32">
        <v>422050.75</v>
      </c>
      <c r="GC13" s="32">
        <v>140817.07999999999</v>
      </c>
      <c r="GD13" s="32">
        <v>138781.35999999999</v>
      </c>
      <c r="GE13" s="32">
        <v>1837052.61</v>
      </c>
      <c r="GF13" s="32">
        <v>151871.62</v>
      </c>
      <c r="GG13" s="32">
        <v>139180.60999999999</v>
      </c>
      <c r="GH13" s="32">
        <v>167766.13</v>
      </c>
      <c r="GI13" s="32">
        <v>136083.35999999999</v>
      </c>
      <c r="GJ13" s="32">
        <v>354756.73</v>
      </c>
      <c r="GK13" s="32">
        <v>135449.07999999999</v>
      </c>
      <c r="GL13" s="32">
        <v>26548.37</v>
      </c>
      <c r="GM13" s="32">
        <v>282603.90000000002</v>
      </c>
      <c r="GN13" s="32">
        <v>200987.03</v>
      </c>
      <c r="GO13" s="32">
        <v>127106.85</v>
      </c>
      <c r="GP13" s="32">
        <v>0</v>
      </c>
      <c r="GQ13" s="32">
        <v>122931.31</v>
      </c>
      <c r="GR13" s="32">
        <v>302091.62</v>
      </c>
      <c r="GS13" s="32">
        <v>142485.94</v>
      </c>
      <c r="GT13" s="123">
        <v>167398.10999999999</v>
      </c>
      <c r="GU13" s="32">
        <v>232958.52</v>
      </c>
      <c r="GV13" s="32">
        <v>100046.15</v>
      </c>
      <c r="GW13" s="32">
        <v>56645.89</v>
      </c>
      <c r="GX13" s="32">
        <v>139769.53</v>
      </c>
      <c r="GY13" s="32">
        <v>116691.31</v>
      </c>
      <c r="GZ13" s="32">
        <v>134640.74</v>
      </c>
      <c r="HA13" s="32">
        <v>96227.4</v>
      </c>
      <c r="HB13" s="32">
        <v>301845.01</v>
      </c>
      <c r="HC13" s="32">
        <v>134013.39000000001</v>
      </c>
      <c r="HD13" s="32">
        <v>132446.5</v>
      </c>
      <c r="HE13" s="32">
        <v>90465.52</v>
      </c>
      <c r="HF13" s="32">
        <v>155510.93</v>
      </c>
      <c r="HG13" s="32">
        <v>150040.25</v>
      </c>
      <c r="HH13" s="32">
        <v>110569.27</v>
      </c>
      <c r="HI13" s="32">
        <v>121289.2</v>
      </c>
      <c r="HJ13" s="32">
        <v>1336971.6000000001</v>
      </c>
      <c r="HK13" s="32">
        <v>188368.72</v>
      </c>
      <c r="HL13" s="32">
        <v>197790.77</v>
      </c>
      <c r="HM13" s="32">
        <v>183669.56</v>
      </c>
      <c r="HN13" s="32">
        <v>74304.45</v>
      </c>
      <c r="HO13" s="123">
        <v>176323.9</v>
      </c>
      <c r="HP13" s="32">
        <v>211116.21</v>
      </c>
      <c r="HQ13" s="32">
        <v>224921.99</v>
      </c>
      <c r="HR13" s="32">
        <v>230843.78</v>
      </c>
      <c r="HS13" s="32">
        <v>6544814.9199999999</v>
      </c>
      <c r="HT13" s="32">
        <v>110450.02</v>
      </c>
      <c r="HU13" s="32">
        <v>141888.26999999999</v>
      </c>
      <c r="HV13" s="32">
        <v>105368.16</v>
      </c>
      <c r="HW13" s="32">
        <v>167777.07</v>
      </c>
      <c r="HX13" s="32">
        <v>115426.48</v>
      </c>
      <c r="HY13" s="32">
        <v>162926.96</v>
      </c>
      <c r="HZ13" s="32">
        <v>111628.77</v>
      </c>
      <c r="IA13" s="32">
        <v>128624.14</v>
      </c>
      <c r="IB13" s="32">
        <v>161633</v>
      </c>
      <c r="IC13" s="32">
        <v>124216.94</v>
      </c>
      <c r="ID13" s="32">
        <v>173935.06</v>
      </c>
      <c r="IE13" s="32">
        <v>63328.5</v>
      </c>
      <c r="IF13" s="32">
        <v>135311.25</v>
      </c>
      <c r="IG13" s="32">
        <v>191074.36</v>
      </c>
      <c r="IH13" s="32">
        <v>177401.68</v>
      </c>
      <c r="II13" s="32">
        <v>174991.98</v>
      </c>
      <c r="IJ13" s="123">
        <v>185024.84</v>
      </c>
      <c r="IK13" s="32">
        <v>109581.95</v>
      </c>
      <c r="IL13" s="32">
        <v>175613.17</v>
      </c>
      <c r="IM13" s="32">
        <v>159559.34</v>
      </c>
      <c r="IN13" s="32">
        <v>482337.56</v>
      </c>
      <c r="IO13" s="32">
        <v>212737.65</v>
      </c>
      <c r="IP13" s="32">
        <v>520106.2</v>
      </c>
      <c r="IQ13" s="32">
        <v>451697.44</v>
      </c>
      <c r="IR13" s="32">
        <v>459989.16</v>
      </c>
      <c r="IS13" s="32">
        <v>325335.06</v>
      </c>
      <c r="IT13" s="201"/>
      <c r="IU13" s="32">
        <f t="shared" si="4"/>
        <v>69694897.26000002</v>
      </c>
    </row>
    <row r="14" spans="1:255" ht="14.1" customHeight="1">
      <c r="A14" s="58" t="s">
        <v>4</v>
      </c>
      <c r="B14" s="210"/>
      <c r="C14" s="155">
        <v>18254836.280000001</v>
      </c>
      <c r="D14" s="4">
        <v>30509824.16</v>
      </c>
      <c r="E14" s="4">
        <v>38960755.060000002</v>
      </c>
      <c r="F14" s="4">
        <v>50827649.200000003</v>
      </c>
      <c r="G14" s="4">
        <v>38723111.280000001</v>
      </c>
      <c r="H14" s="4">
        <v>14859434.35</v>
      </c>
      <c r="I14" s="4">
        <v>10886900.85</v>
      </c>
      <c r="J14" s="4">
        <v>268147.14</v>
      </c>
      <c r="K14" s="4">
        <v>43521895.329999998</v>
      </c>
      <c r="L14" s="4">
        <v>15478587.539999999</v>
      </c>
      <c r="M14" s="189">
        <v>27192473.23</v>
      </c>
      <c r="N14" s="4">
        <v>30351865.16</v>
      </c>
      <c r="O14" s="4">
        <v>11617545.02</v>
      </c>
      <c r="P14" s="4">
        <v>28694688.309999999</v>
      </c>
      <c r="Q14" s="4">
        <v>7739150.6200000001</v>
      </c>
      <c r="R14" s="4">
        <v>21488598.140000001</v>
      </c>
      <c r="S14" s="4">
        <v>0</v>
      </c>
      <c r="T14" s="4">
        <v>2109402.2200000002</v>
      </c>
      <c r="U14" s="4">
        <v>2670608.36</v>
      </c>
      <c r="V14" s="4">
        <v>673682.89</v>
      </c>
      <c r="W14" s="4">
        <v>2119506.77</v>
      </c>
      <c r="X14" s="4">
        <v>1190266.32</v>
      </c>
      <c r="Y14" s="4">
        <v>957621.42</v>
      </c>
      <c r="Z14" s="4">
        <v>1287375.24</v>
      </c>
      <c r="AA14" s="4">
        <v>1588156.02</v>
      </c>
      <c r="AB14" s="4">
        <v>512366.13</v>
      </c>
      <c r="AC14" s="4">
        <v>0</v>
      </c>
      <c r="AD14" s="4">
        <v>660950.44999999995</v>
      </c>
      <c r="AE14" s="4">
        <v>318825.59000000003</v>
      </c>
      <c r="AF14" s="189">
        <v>427853.2</v>
      </c>
      <c r="AG14" s="4">
        <v>771889.05</v>
      </c>
      <c r="AH14" s="4">
        <v>903915.96</v>
      </c>
      <c r="AI14" s="4">
        <v>0</v>
      </c>
      <c r="AJ14" s="4">
        <v>152612.32999999999</v>
      </c>
      <c r="AK14" s="4">
        <v>235906.92</v>
      </c>
      <c r="AL14" s="4">
        <v>358465.67</v>
      </c>
      <c r="AM14" s="4">
        <v>463945.15</v>
      </c>
      <c r="AN14" s="4">
        <v>1104753.03</v>
      </c>
      <c r="AO14" s="4">
        <v>355530.63</v>
      </c>
      <c r="AP14" s="4">
        <v>1549348.79</v>
      </c>
      <c r="AQ14" s="4">
        <v>329961.32</v>
      </c>
      <c r="AR14" s="4">
        <v>907979.2</v>
      </c>
      <c r="AS14" s="4">
        <v>586348.07999999996</v>
      </c>
      <c r="AT14" s="4">
        <v>1610234.73</v>
      </c>
      <c r="AU14" s="4">
        <v>1260007.17</v>
      </c>
      <c r="AV14" s="4">
        <v>675839.79</v>
      </c>
      <c r="AW14" s="4">
        <v>500435.62</v>
      </c>
      <c r="AX14" s="4">
        <v>172391.4</v>
      </c>
      <c r="AY14" s="4">
        <v>380236</v>
      </c>
      <c r="AZ14" s="4">
        <v>466717.21</v>
      </c>
      <c r="BA14" s="4">
        <v>554843.74</v>
      </c>
      <c r="BB14" s="4">
        <v>427955.31</v>
      </c>
      <c r="BC14" s="189">
        <v>0</v>
      </c>
      <c r="BD14" s="4"/>
      <c r="BE14" s="4">
        <v>251432.26</v>
      </c>
      <c r="BF14" s="4">
        <v>0</v>
      </c>
      <c r="BG14" s="4">
        <v>239313.65</v>
      </c>
      <c r="BH14" s="4">
        <v>286665.08</v>
      </c>
      <c r="BI14" s="4">
        <v>302404.33</v>
      </c>
      <c r="BJ14" s="4">
        <v>412265.74</v>
      </c>
      <c r="BK14" s="4">
        <v>0</v>
      </c>
      <c r="BL14" s="4">
        <v>0</v>
      </c>
      <c r="BM14" s="4">
        <v>0</v>
      </c>
      <c r="BN14" s="4">
        <v>405674.99</v>
      </c>
      <c r="BO14" s="4">
        <v>187760.68</v>
      </c>
      <c r="BP14" s="4">
        <v>635022.73</v>
      </c>
      <c r="BQ14" s="4">
        <v>488041.85</v>
      </c>
      <c r="BR14" s="4">
        <v>0</v>
      </c>
      <c r="BS14" s="4">
        <v>0</v>
      </c>
      <c r="BT14" s="4">
        <v>146225.75</v>
      </c>
      <c r="BU14" s="4">
        <v>612339.48</v>
      </c>
      <c r="BV14" s="4">
        <v>139644.9</v>
      </c>
      <c r="BW14" s="4">
        <v>347526.01</v>
      </c>
      <c r="BX14" s="4">
        <v>206841.9</v>
      </c>
      <c r="BY14" s="189">
        <v>174509.45</v>
      </c>
      <c r="BZ14" s="4">
        <v>35639.43</v>
      </c>
      <c r="CA14" s="4">
        <v>351920.81</v>
      </c>
      <c r="CB14" s="4">
        <v>0</v>
      </c>
      <c r="CC14" s="4">
        <v>0</v>
      </c>
      <c r="CD14" s="4">
        <v>0</v>
      </c>
      <c r="CE14" s="4">
        <v>96303.57</v>
      </c>
      <c r="CF14" s="4">
        <v>0</v>
      </c>
      <c r="CG14" s="4">
        <v>0</v>
      </c>
      <c r="CH14" s="4">
        <v>174624.53</v>
      </c>
      <c r="CI14" s="4">
        <v>305272.65000000002</v>
      </c>
      <c r="CJ14" s="4">
        <v>626686.71</v>
      </c>
      <c r="CK14" s="4">
        <v>649004.93999999994</v>
      </c>
      <c r="CL14" s="4">
        <v>323716.5</v>
      </c>
      <c r="CM14" s="4">
        <v>728114.27</v>
      </c>
      <c r="CN14" s="4">
        <v>309237</v>
      </c>
      <c r="CO14" s="4">
        <v>175552.34</v>
      </c>
      <c r="CP14" s="4">
        <v>0</v>
      </c>
      <c r="CQ14" s="4">
        <v>0</v>
      </c>
      <c r="CR14" s="4"/>
      <c r="CS14" s="189">
        <v>0</v>
      </c>
      <c r="CT14" s="4">
        <v>122086.13</v>
      </c>
      <c r="CU14" s="4"/>
      <c r="CV14" s="4">
        <v>0</v>
      </c>
      <c r="CW14" s="4">
        <v>0</v>
      </c>
      <c r="CX14" s="4">
        <v>0</v>
      </c>
      <c r="CY14" s="4"/>
      <c r="CZ14" s="4">
        <v>1268.5</v>
      </c>
      <c r="DA14" s="4">
        <v>342987.83</v>
      </c>
      <c r="DB14" s="4">
        <v>940638.44</v>
      </c>
      <c r="DC14" s="4">
        <v>214699.74</v>
      </c>
      <c r="DD14" s="4">
        <v>412421.63</v>
      </c>
      <c r="DE14" s="4">
        <v>750013.58</v>
      </c>
      <c r="DF14" s="4">
        <v>1721162.03</v>
      </c>
      <c r="DG14" s="4">
        <v>307937.27</v>
      </c>
      <c r="DH14" s="4">
        <v>465546.92</v>
      </c>
      <c r="DI14" s="4">
        <v>225272.12</v>
      </c>
      <c r="DJ14" s="4">
        <v>506773.52</v>
      </c>
      <c r="DK14" s="4">
        <v>207560.95999999999</v>
      </c>
      <c r="DL14" s="4">
        <v>0</v>
      </c>
      <c r="DM14" s="4"/>
      <c r="DN14" s="189">
        <v>0</v>
      </c>
      <c r="DO14" s="4">
        <v>0</v>
      </c>
      <c r="DP14" s="4">
        <v>0</v>
      </c>
      <c r="DQ14" s="4">
        <v>0</v>
      </c>
      <c r="DR14" s="4">
        <v>0</v>
      </c>
      <c r="DS14" s="4">
        <v>327728.25</v>
      </c>
      <c r="DT14" s="4">
        <v>134245.04</v>
      </c>
      <c r="DU14" s="4">
        <v>223658.14</v>
      </c>
      <c r="DV14" s="4">
        <v>115905.3</v>
      </c>
      <c r="DW14" s="4">
        <v>152321.17000000001</v>
      </c>
      <c r="DX14" s="4">
        <v>233457.27</v>
      </c>
      <c r="DY14" s="4">
        <v>296680.92</v>
      </c>
      <c r="DZ14" s="4">
        <v>238795.2</v>
      </c>
      <c r="EA14" s="4">
        <v>263559.28999999998</v>
      </c>
      <c r="EB14" s="4">
        <v>461926.66</v>
      </c>
      <c r="EC14" s="4">
        <v>0</v>
      </c>
      <c r="ED14" s="4">
        <v>0</v>
      </c>
      <c r="EE14" s="4">
        <v>0</v>
      </c>
      <c r="EF14" s="4"/>
      <c r="EG14" s="4">
        <f>+'FY-08, FEB-08 - Jan-09, DATA'!EG14*$V$73</f>
        <v>0</v>
      </c>
      <c r="EH14" s="4">
        <f>+'FY-08, FEB-08 - Jan-09, DATA'!EH14*$V$73</f>
        <v>0</v>
      </c>
      <c r="EI14" s="4">
        <v>0</v>
      </c>
      <c r="EJ14" s="189">
        <v>0</v>
      </c>
      <c r="EK14" s="332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189">
        <v>0</v>
      </c>
      <c r="FF14" s="4">
        <v>0</v>
      </c>
      <c r="FG14" s="4">
        <v>0</v>
      </c>
      <c r="FH14" s="4">
        <v>0</v>
      </c>
      <c r="FI14" s="4">
        <v>0</v>
      </c>
      <c r="FJ14" s="189">
        <v>0</v>
      </c>
      <c r="FK14" s="4">
        <v>0</v>
      </c>
      <c r="FL14" s="4">
        <v>243387.4</v>
      </c>
      <c r="FM14" s="4">
        <v>112389.51</v>
      </c>
      <c r="FN14" s="4">
        <v>65699.02</v>
      </c>
      <c r="FO14" s="4">
        <v>69712.81</v>
      </c>
      <c r="FP14" s="4">
        <v>84760.55</v>
      </c>
      <c r="FQ14" s="4">
        <v>343609.36</v>
      </c>
      <c r="FR14" s="4">
        <v>264970</v>
      </c>
      <c r="FS14" s="4">
        <v>0</v>
      </c>
      <c r="FT14" s="4">
        <v>0</v>
      </c>
      <c r="FU14" s="4">
        <f>'[1]10-7'!C18</f>
        <v>474579.05</v>
      </c>
      <c r="FV14" s="4">
        <v>282158.76</v>
      </c>
      <c r="FW14" s="4">
        <v>309077.95</v>
      </c>
      <c r="FX14" s="4">
        <v>177333.98</v>
      </c>
      <c r="FY14" s="4">
        <v>979884.99</v>
      </c>
      <c r="FZ14" s="189">
        <v>406018.12</v>
      </c>
      <c r="GA14" s="4">
        <v>1000064.93</v>
      </c>
      <c r="GB14" s="4">
        <v>955345.06</v>
      </c>
      <c r="GC14" s="4">
        <v>612974.71</v>
      </c>
      <c r="GD14" s="4">
        <v>783050.4</v>
      </c>
      <c r="GE14" s="4">
        <v>1107713.7</v>
      </c>
      <c r="GF14" s="4">
        <v>1408689.24</v>
      </c>
      <c r="GG14" s="4">
        <v>662404.05000000005</v>
      </c>
      <c r="GH14" s="4">
        <v>881825.26</v>
      </c>
      <c r="GI14" s="4">
        <v>1457375.33</v>
      </c>
      <c r="GJ14" s="4">
        <v>800383.45</v>
      </c>
      <c r="GK14" s="4">
        <v>973433</v>
      </c>
      <c r="GL14" s="4">
        <v>991666.38</v>
      </c>
      <c r="GM14" s="4">
        <v>1291852.95</v>
      </c>
      <c r="GN14" s="387">
        <v>888369.38</v>
      </c>
      <c r="GO14" s="4">
        <v>581148.30000000005</v>
      </c>
      <c r="GP14" s="4">
        <v>1258105.42</v>
      </c>
      <c r="GQ14" s="4">
        <v>1165060.6499999999</v>
      </c>
      <c r="GR14" s="4">
        <v>1062478.6599999999</v>
      </c>
      <c r="GS14" s="4">
        <v>1106385.83</v>
      </c>
      <c r="GT14" s="189">
        <v>1000804.78</v>
      </c>
      <c r="GU14" s="4">
        <v>521578.84</v>
      </c>
      <c r="GV14" s="4">
        <v>2763013.96</v>
      </c>
      <c r="GW14" s="4">
        <v>0</v>
      </c>
      <c r="GX14" s="4">
        <v>1113538.3999999999</v>
      </c>
      <c r="GY14" s="4">
        <v>894129</v>
      </c>
      <c r="GZ14" s="4">
        <v>891341.11</v>
      </c>
      <c r="HA14" s="4">
        <v>1001194.96</v>
      </c>
      <c r="HB14" s="4">
        <v>1224649.6299999999</v>
      </c>
      <c r="HC14" s="4">
        <v>1605357.42</v>
      </c>
      <c r="HD14" s="4">
        <v>0</v>
      </c>
      <c r="HE14" s="4">
        <v>981172.92</v>
      </c>
      <c r="HF14" s="4">
        <v>1382212.19</v>
      </c>
      <c r="HG14" s="4">
        <v>1968573.84</v>
      </c>
      <c r="HH14" s="4">
        <v>1241362.49</v>
      </c>
      <c r="HI14" s="4">
        <v>1916345.52</v>
      </c>
      <c r="HJ14" s="4">
        <v>1658489.19</v>
      </c>
      <c r="HK14" s="4">
        <v>2112809.19</v>
      </c>
      <c r="HL14" s="4">
        <v>3117093.18</v>
      </c>
      <c r="HM14" s="4">
        <v>2687027.87</v>
      </c>
      <c r="HN14" s="4">
        <v>4269038.78</v>
      </c>
      <c r="HO14" s="189">
        <v>2644122.7999999998</v>
      </c>
      <c r="HP14" s="4">
        <v>6614536.5599999996</v>
      </c>
      <c r="HQ14" s="4">
        <v>5050741.3899999997</v>
      </c>
      <c r="HR14" s="4">
        <v>1309282.77</v>
      </c>
      <c r="HS14" s="4">
        <v>5564666.6900000004</v>
      </c>
      <c r="HT14" s="4">
        <v>4763640.58</v>
      </c>
      <c r="HU14" s="4">
        <v>3927568.17</v>
      </c>
      <c r="HV14" s="4">
        <v>30899156.940000001</v>
      </c>
      <c r="HW14" s="4">
        <v>0</v>
      </c>
      <c r="HX14" s="4">
        <v>6479642.2199999997</v>
      </c>
      <c r="HY14" s="4">
        <v>9128607.1899999995</v>
      </c>
      <c r="HZ14" s="4">
        <v>15185022.689999999</v>
      </c>
      <c r="IA14" s="4">
        <v>4356035.75</v>
      </c>
      <c r="IB14" s="4">
        <v>33104850.370000001</v>
      </c>
      <c r="IC14" s="4">
        <v>31156863.98</v>
      </c>
      <c r="ID14" s="4">
        <v>9465015.9900000002</v>
      </c>
      <c r="IE14" s="4">
        <v>9111614.3599999994</v>
      </c>
      <c r="IF14" s="4">
        <v>8403597</v>
      </c>
      <c r="IG14" s="4">
        <v>309741.17</v>
      </c>
      <c r="IH14" s="4">
        <v>65583479.060000002</v>
      </c>
      <c r="II14" s="4">
        <v>10462993.390000001</v>
      </c>
      <c r="IJ14" s="189">
        <v>7289494.8099999996</v>
      </c>
      <c r="IK14" s="4">
        <v>7989293.3200000003</v>
      </c>
      <c r="IL14" s="4">
        <v>12291099.75</v>
      </c>
      <c r="IM14" s="4">
        <v>11520775.85</v>
      </c>
      <c r="IN14" s="4">
        <v>20405021.629999999</v>
      </c>
      <c r="IO14" s="4">
        <v>10439151.09</v>
      </c>
      <c r="IP14" s="4">
        <v>13894514.880000001</v>
      </c>
      <c r="IQ14" s="4">
        <v>17498073.420000002</v>
      </c>
      <c r="IR14" s="4">
        <v>34360882.18</v>
      </c>
      <c r="IS14" s="4">
        <v>29948738.489999998</v>
      </c>
      <c r="IT14" s="200"/>
      <c r="IU14" s="4">
        <f t="shared" si="4"/>
        <v>919249646.79999948</v>
      </c>
    </row>
    <row r="15" spans="1:255" ht="14.1" customHeight="1" thickBot="1">
      <c r="A15" s="58" t="s">
        <v>53</v>
      </c>
      <c r="B15" s="210"/>
      <c r="C15" s="155">
        <v>246.82</v>
      </c>
      <c r="D15" s="4">
        <v>22766.95</v>
      </c>
      <c r="E15" s="4">
        <v>112</v>
      </c>
      <c r="F15" s="4">
        <v>1349.42</v>
      </c>
      <c r="G15" s="4">
        <v>237.98</v>
      </c>
      <c r="H15" s="4">
        <v>82.75</v>
      </c>
      <c r="I15" s="4">
        <v>1233.4000000000001</v>
      </c>
      <c r="J15" s="4"/>
      <c r="K15" s="4"/>
      <c r="L15" s="4"/>
      <c r="M15" s="189">
        <v>1758.62</v>
      </c>
      <c r="N15" s="4">
        <v>59.89</v>
      </c>
      <c r="O15" s="4">
        <v>432.55</v>
      </c>
      <c r="P15" s="4">
        <v>582.92999999999995</v>
      </c>
      <c r="Q15" s="4">
        <v>350.24</v>
      </c>
      <c r="R15" s="4">
        <v>934.31</v>
      </c>
      <c r="S15" s="4"/>
      <c r="T15" s="5">
        <v>0</v>
      </c>
      <c r="U15" s="4">
        <v>5665.45</v>
      </c>
      <c r="V15" s="4">
        <v>78.56</v>
      </c>
      <c r="W15" s="4">
        <v>811.06</v>
      </c>
      <c r="X15" s="4">
        <v>1340.47</v>
      </c>
      <c r="Y15" s="4">
        <v>648.07000000000005</v>
      </c>
      <c r="Z15" s="4">
        <v>202.25</v>
      </c>
      <c r="AA15" s="4">
        <v>520.30999999999995</v>
      </c>
      <c r="AB15" s="4">
        <v>4444.82</v>
      </c>
      <c r="AC15" s="4">
        <v>635.85</v>
      </c>
      <c r="AD15" s="4"/>
      <c r="AE15" s="4">
        <v>2069.98</v>
      </c>
      <c r="AF15" s="189">
        <v>1569.08</v>
      </c>
      <c r="AG15" s="4">
        <v>50.18</v>
      </c>
      <c r="AH15" s="4">
        <v>0</v>
      </c>
      <c r="AI15" s="4">
        <v>2410.34</v>
      </c>
      <c r="AJ15" s="4">
        <v>534.88</v>
      </c>
      <c r="AK15" s="4"/>
      <c r="AL15" s="4">
        <v>451.29</v>
      </c>
      <c r="AM15" s="4">
        <v>371.77</v>
      </c>
      <c r="AN15" s="4">
        <v>0</v>
      </c>
      <c r="AO15" s="4">
        <v>681.78</v>
      </c>
      <c r="AP15" s="4">
        <v>192.7</v>
      </c>
      <c r="AQ15" s="4">
        <v>480.99</v>
      </c>
      <c r="AR15" s="4">
        <v>4901.83</v>
      </c>
      <c r="AS15" s="4">
        <v>1440.95</v>
      </c>
      <c r="AT15" s="4">
        <v>4065.1</v>
      </c>
      <c r="AU15" s="4">
        <v>69.41</v>
      </c>
      <c r="AV15" s="4">
        <v>56.18</v>
      </c>
      <c r="AW15" s="4">
        <v>0</v>
      </c>
      <c r="AX15" s="4">
        <v>3604.48</v>
      </c>
      <c r="AY15" s="4">
        <v>204.05</v>
      </c>
      <c r="AZ15" s="4">
        <v>4143.1499999999996</v>
      </c>
      <c r="BA15" s="4">
        <v>618.55999999999995</v>
      </c>
      <c r="BB15" s="4">
        <v>1394.91</v>
      </c>
      <c r="BC15" s="189">
        <v>232.11</v>
      </c>
      <c r="BD15" s="4">
        <v>802.29</v>
      </c>
      <c r="BE15" s="4"/>
      <c r="BF15" s="4">
        <v>2393.3000000000002</v>
      </c>
      <c r="BG15" s="4">
        <v>50.33</v>
      </c>
      <c r="BH15" s="4">
        <v>1343.38</v>
      </c>
      <c r="BI15" s="4">
        <v>243.56</v>
      </c>
      <c r="BJ15" s="4">
        <v>230.79</v>
      </c>
      <c r="BK15" s="4">
        <v>153.32</v>
      </c>
      <c r="BL15" s="4">
        <v>4548.37</v>
      </c>
      <c r="BM15" s="4">
        <v>212.04</v>
      </c>
      <c r="BN15" s="4">
        <v>9328.86</v>
      </c>
      <c r="BO15" s="4">
        <v>778.23</v>
      </c>
      <c r="BP15" s="4">
        <v>309.69</v>
      </c>
      <c r="BQ15" s="4">
        <v>9421.67</v>
      </c>
      <c r="BR15" s="4">
        <v>4120.37</v>
      </c>
      <c r="BS15" s="4">
        <v>374.53</v>
      </c>
      <c r="BT15" s="4">
        <v>2443.75</v>
      </c>
      <c r="BU15" s="4">
        <v>741.13</v>
      </c>
      <c r="BV15" s="4">
        <v>249.74</v>
      </c>
      <c r="BW15" s="4">
        <v>2459.25</v>
      </c>
      <c r="BX15" s="4">
        <v>859.18</v>
      </c>
      <c r="BY15" s="189">
        <v>343.09</v>
      </c>
      <c r="BZ15" s="4">
        <v>1169.26</v>
      </c>
      <c r="CA15" s="4">
        <v>644.29999999999995</v>
      </c>
      <c r="CB15" s="4">
        <v>0</v>
      </c>
      <c r="CC15" s="4">
        <v>986.04</v>
      </c>
      <c r="CD15" s="4">
        <v>196.96</v>
      </c>
      <c r="CE15" s="4">
        <v>0</v>
      </c>
      <c r="CF15" s="4">
        <v>5297.76</v>
      </c>
      <c r="CG15" s="4">
        <v>1166.9100000000001</v>
      </c>
      <c r="CH15" s="4">
        <v>0</v>
      </c>
      <c r="CI15" s="4">
        <v>95.04</v>
      </c>
      <c r="CJ15" s="4">
        <v>908.26</v>
      </c>
      <c r="CK15" s="4">
        <v>1709.9</v>
      </c>
      <c r="CL15" s="4">
        <v>0</v>
      </c>
      <c r="CM15" s="4">
        <v>1739.27</v>
      </c>
      <c r="CN15" s="4">
        <v>748.82</v>
      </c>
      <c r="CO15" s="4">
        <v>142.86000000000001</v>
      </c>
      <c r="CP15" s="4">
        <v>0</v>
      </c>
      <c r="CQ15" s="4">
        <v>315.72000000000003</v>
      </c>
      <c r="CR15" s="4"/>
      <c r="CS15" s="189">
        <v>678.29</v>
      </c>
      <c r="CT15" s="4">
        <v>1286.58</v>
      </c>
      <c r="CU15" s="4"/>
      <c r="CV15" s="4">
        <v>43.26</v>
      </c>
      <c r="CW15" s="4">
        <v>249.74</v>
      </c>
      <c r="CX15" s="4">
        <v>0</v>
      </c>
      <c r="CY15" s="4"/>
      <c r="CZ15" s="4">
        <v>231.38</v>
      </c>
      <c r="DA15" s="4">
        <v>569.01</v>
      </c>
      <c r="DB15" s="4">
        <v>1948.19</v>
      </c>
      <c r="DC15" s="4">
        <v>272.97000000000003</v>
      </c>
      <c r="DD15" s="4">
        <v>2398.54</v>
      </c>
      <c r="DE15" s="4">
        <v>400.04</v>
      </c>
      <c r="DF15" s="4">
        <v>4698.6499999999996</v>
      </c>
      <c r="DG15" s="4">
        <v>40.74</v>
      </c>
      <c r="DH15" s="4">
        <v>1275.9100000000001</v>
      </c>
      <c r="DI15" s="4">
        <v>889.43</v>
      </c>
      <c r="DJ15" s="4">
        <v>283.33999999999997</v>
      </c>
      <c r="DK15" s="4">
        <v>83.1</v>
      </c>
      <c r="DL15" s="4">
        <v>28.26</v>
      </c>
      <c r="DM15" s="4"/>
      <c r="DN15" s="189">
        <v>113.27</v>
      </c>
      <c r="DO15" s="4">
        <v>681.49</v>
      </c>
      <c r="DP15" s="4">
        <v>800.76</v>
      </c>
      <c r="DQ15" s="4">
        <v>1363.3</v>
      </c>
      <c r="DR15" s="4">
        <v>189.69</v>
      </c>
      <c r="DS15" s="4">
        <v>139.66</v>
      </c>
      <c r="DT15" s="4">
        <v>198.49</v>
      </c>
      <c r="DU15" s="4">
        <v>197.8</v>
      </c>
      <c r="DV15" s="4">
        <v>121.88</v>
      </c>
      <c r="DW15" s="4">
        <v>2009.35</v>
      </c>
      <c r="DX15" s="4">
        <v>2304.12</v>
      </c>
      <c r="DY15" s="4">
        <v>879.97</v>
      </c>
      <c r="DZ15" s="4">
        <v>166.28</v>
      </c>
      <c r="EA15" s="4">
        <v>0</v>
      </c>
      <c r="EB15" s="4">
        <v>398.59</v>
      </c>
      <c r="EC15" s="4">
        <v>815.81</v>
      </c>
      <c r="ED15" s="4">
        <v>1275.32</v>
      </c>
      <c r="EE15" s="4">
        <v>2079.2399999999998</v>
      </c>
      <c r="EF15" s="4">
        <v>290.26</v>
      </c>
      <c r="EG15" s="4">
        <v>9289.52</v>
      </c>
      <c r="EH15" s="4">
        <v>980.41</v>
      </c>
      <c r="EI15" s="4">
        <v>0</v>
      </c>
      <c r="EJ15" s="189">
        <v>555.34</v>
      </c>
      <c r="EK15" s="332">
        <v>0</v>
      </c>
      <c r="EL15" s="4">
        <v>85.69</v>
      </c>
      <c r="EM15" s="4">
        <v>0</v>
      </c>
      <c r="EN15" s="4">
        <v>230.82</v>
      </c>
      <c r="EO15" s="4">
        <v>0</v>
      </c>
      <c r="EP15" s="4">
        <v>0</v>
      </c>
      <c r="EQ15" s="4">
        <v>59.98</v>
      </c>
      <c r="ER15" s="4">
        <v>823.69</v>
      </c>
      <c r="ES15" s="4">
        <v>0</v>
      </c>
      <c r="ET15" s="4">
        <v>0</v>
      </c>
      <c r="EU15" s="4">
        <v>415.93</v>
      </c>
      <c r="EV15" s="4">
        <v>415.37</v>
      </c>
      <c r="EW15" s="4">
        <v>468.91</v>
      </c>
      <c r="EX15" s="4">
        <v>7885.91</v>
      </c>
      <c r="EY15" s="4">
        <v>4233.76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189">
        <v>0</v>
      </c>
      <c r="FF15" s="4">
        <v>0</v>
      </c>
      <c r="FG15" s="4">
        <v>0</v>
      </c>
      <c r="FH15" s="4">
        <v>0</v>
      </c>
      <c r="FI15" s="4">
        <v>0</v>
      </c>
      <c r="FJ15" s="189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f>'[1]10-7'!C19</f>
        <v>0</v>
      </c>
      <c r="FV15" s="4">
        <v>0</v>
      </c>
      <c r="FW15" s="4">
        <v>0</v>
      </c>
      <c r="FX15" s="4">
        <v>54.45</v>
      </c>
      <c r="FY15" s="4">
        <v>3266</v>
      </c>
      <c r="FZ15" s="189">
        <v>120.24</v>
      </c>
      <c r="GA15" s="4">
        <v>0</v>
      </c>
      <c r="GB15" s="4">
        <v>557.23</v>
      </c>
      <c r="GC15" s="4">
        <v>51.97</v>
      </c>
      <c r="GD15" s="4">
        <v>305.04000000000002</v>
      </c>
      <c r="GE15" s="4">
        <v>118.97</v>
      </c>
      <c r="GF15" s="4"/>
      <c r="GG15" s="4">
        <v>252.4</v>
      </c>
      <c r="GH15" s="4">
        <v>349.62</v>
      </c>
      <c r="GI15" s="4">
        <v>0</v>
      </c>
      <c r="GJ15" s="4">
        <v>1201.99</v>
      </c>
      <c r="GK15" s="4">
        <v>0</v>
      </c>
      <c r="GL15" s="4">
        <v>167.39</v>
      </c>
      <c r="GM15" s="4">
        <v>957.8</v>
      </c>
      <c r="GN15" s="4">
        <v>1770.79</v>
      </c>
      <c r="GO15" s="4">
        <v>207.19</v>
      </c>
      <c r="GP15" s="4">
        <v>114.53</v>
      </c>
      <c r="GQ15" s="4">
        <v>577.07000000000005</v>
      </c>
      <c r="GR15" s="4">
        <v>0</v>
      </c>
      <c r="GS15" s="4"/>
      <c r="GT15" s="189">
        <v>0</v>
      </c>
      <c r="GU15" s="4">
        <v>0</v>
      </c>
      <c r="GV15" s="4">
        <v>0</v>
      </c>
      <c r="GW15" s="4">
        <v>0</v>
      </c>
      <c r="GX15" s="4">
        <v>0</v>
      </c>
      <c r="GY15" s="4">
        <v>46.35</v>
      </c>
      <c r="GZ15" s="4">
        <v>0</v>
      </c>
      <c r="HA15" s="4">
        <v>0</v>
      </c>
      <c r="HB15" s="4">
        <v>1210.6099999999999</v>
      </c>
      <c r="HC15" s="4">
        <v>1295.3699999999999</v>
      </c>
      <c r="HD15" s="4">
        <v>0</v>
      </c>
      <c r="HE15" s="4">
        <v>2935.86</v>
      </c>
      <c r="HF15" s="4">
        <v>1851.27</v>
      </c>
      <c r="HG15" s="4">
        <v>29.04</v>
      </c>
      <c r="HH15" s="4">
        <v>502.79</v>
      </c>
      <c r="HI15" s="4">
        <v>2034.63</v>
      </c>
      <c r="HJ15" s="4">
        <v>154.44</v>
      </c>
      <c r="HK15" s="4">
        <v>172.18</v>
      </c>
      <c r="HL15" s="4">
        <v>200.55</v>
      </c>
      <c r="HM15" s="4">
        <v>124.48</v>
      </c>
      <c r="HN15" s="4">
        <v>0</v>
      </c>
      <c r="HO15" s="189">
        <v>0</v>
      </c>
      <c r="HP15" s="4">
        <v>213</v>
      </c>
      <c r="HQ15" s="4">
        <v>0</v>
      </c>
      <c r="HR15" s="4">
        <v>0</v>
      </c>
      <c r="HS15" s="4">
        <v>0</v>
      </c>
      <c r="HT15" s="4">
        <v>382.22</v>
      </c>
      <c r="HU15" s="4">
        <v>1089.29</v>
      </c>
      <c r="HV15" s="4">
        <v>242.22</v>
      </c>
      <c r="HW15" s="4">
        <v>0</v>
      </c>
      <c r="HX15" s="4">
        <v>0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189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109.33</v>
      </c>
      <c r="IQ15" s="4">
        <v>303.57</v>
      </c>
      <c r="IR15" s="4">
        <v>253.96</v>
      </c>
      <c r="IS15" s="4">
        <v>0</v>
      </c>
      <c r="IT15" s="200"/>
      <c r="IU15" s="4">
        <f t="shared" si="4"/>
        <v>208638.26999999996</v>
      </c>
    </row>
    <row r="16" spans="1:255" s="376" customFormat="1" ht="14.1" customHeight="1" thickBot="1">
      <c r="A16" s="87" t="s">
        <v>82</v>
      </c>
      <c r="B16" s="343"/>
      <c r="C16" s="87"/>
      <c r="D16" s="87">
        <v>25193.63</v>
      </c>
      <c r="E16" s="87">
        <v>447.9</v>
      </c>
      <c r="F16" s="87"/>
      <c r="G16" s="87">
        <v>65380.79</v>
      </c>
      <c r="H16" s="87">
        <v>846.65</v>
      </c>
      <c r="I16" s="87"/>
      <c r="J16" s="87"/>
      <c r="K16" s="87"/>
      <c r="L16" s="87">
        <v>122373.05</v>
      </c>
      <c r="M16" s="344">
        <v>308724.53999999998</v>
      </c>
      <c r="N16" s="87"/>
      <c r="O16" s="87">
        <v>4962.29</v>
      </c>
      <c r="P16" s="87"/>
      <c r="Q16" s="87">
        <v>5698884.9199999999</v>
      </c>
      <c r="R16" s="87">
        <v>82670</v>
      </c>
      <c r="S16" s="87">
        <v>2494278.75</v>
      </c>
      <c r="T16" s="87">
        <v>271575.07</v>
      </c>
      <c r="U16" s="87"/>
      <c r="V16" s="89"/>
      <c r="W16" s="89">
        <v>245502.95</v>
      </c>
      <c r="X16" s="87">
        <v>125071.18</v>
      </c>
      <c r="Y16" s="87">
        <v>47745.38</v>
      </c>
      <c r="Z16" s="87">
        <v>1047643.66</v>
      </c>
      <c r="AA16" s="87"/>
      <c r="AB16" s="87">
        <v>10912045.189999999</v>
      </c>
      <c r="AC16" s="87">
        <v>3698974.55</v>
      </c>
      <c r="AD16" s="89"/>
      <c r="AE16" s="87">
        <v>356455.15</v>
      </c>
      <c r="AF16" s="344">
        <v>196172.51</v>
      </c>
      <c r="AG16" s="87">
        <v>973997.33</v>
      </c>
      <c r="AH16" s="87"/>
      <c r="AI16" s="87">
        <v>920892.52</v>
      </c>
      <c r="AJ16" s="87"/>
      <c r="AK16" s="87">
        <v>7367712</v>
      </c>
      <c r="AL16" s="87">
        <v>0</v>
      </c>
      <c r="AM16" s="87">
        <v>568265</v>
      </c>
      <c r="AN16" s="87">
        <v>6114858</v>
      </c>
      <c r="AO16" s="87">
        <v>360133.04</v>
      </c>
      <c r="AP16" s="87">
        <v>0</v>
      </c>
      <c r="AQ16" s="87">
        <v>16611.57</v>
      </c>
      <c r="AR16" s="87">
        <v>206534.69</v>
      </c>
      <c r="AS16" s="87">
        <v>31192.560000000001</v>
      </c>
      <c r="AT16" s="87"/>
      <c r="AU16" s="87">
        <v>1360904.41</v>
      </c>
      <c r="AV16" s="87">
        <v>168265.8</v>
      </c>
      <c r="AW16" s="87">
        <v>3975292.88</v>
      </c>
      <c r="AX16" s="87">
        <v>155888.14000000001</v>
      </c>
      <c r="AY16" s="87"/>
      <c r="AZ16" s="87">
        <v>171825.34</v>
      </c>
      <c r="BA16" s="87">
        <v>1349823.95</v>
      </c>
      <c r="BB16" s="87">
        <v>6228242.5099999998</v>
      </c>
      <c r="BC16" s="344">
        <v>28486.080000000002</v>
      </c>
      <c r="BD16" s="87"/>
      <c r="BE16" s="87"/>
      <c r="BF16" s="87">
        <v>0</v>
      </c>
      <c r="BG16" s="87">
        <v>0</v>
      </c>
      <c r="BH16" s="87">
        <v>6307634.2199999997</v>
      </c>
      <c r="BI16" s="87">
        <v>72423.72</v>
      </c>
      <c r="BJ16" s="87"/>
      <c r="BK16" s="87">
        <v>4611489</v>
      </c>
      <c r="BL16" s="87">
        <v>3150</v>
      </c>
      <c r="BM16" s="87"/>
      <c r="BN16" s="87">
        <v>1911.51</v>
      </c>
      <c r="BO16" s="87">
        <v>0</v>
      </c>
      <c r="BP16" s="87">
        <v>6256.61</v>
      </c>
      <c r="BQ16" s="87">
        <v>1383291.18</v>
      </c>
      <c r="BR16" s="87">
        <v>7238360.0599999996</v>
      </c>
      <c r="BS16" s="87">
        <v>18108.41</v>
      </c>
      <c r="BT16" s="87">
        <v>396387.13</v>
      </c>
      <c r="BU16" s="87">
        <v>6634.27</v>
      </c>
      <c r="BV16" s="87">
        <v>156352.12</v>
      </c>
      <c r="BW16" s="87">
        <v>0</v>
      </c>
      <c r="BX16" s="87">
        <v>0</v>
      </c>
      <c r="BY16" s="344">
        <v>122982.64</v>
      </c>
      <c r="BZ16" s="87">
        <v>35165.800000000003</v>
      </c>
      <c r="CA16" s="87">
        <v>36200.32</v>
      </c>
      <c r="CB16" s="87">
        <v>0</v>
      </c>
      <c r="CC16" s="87">
        <v>31171.73</v>
      </c>
      <c r="CD16" s="87">
        <v>8762128.7200000007</v>
      </c>
      <c r="CE16" s="87">
        <v>3902712.3</v>
      </c>
      <c r="CF16" s="87">
        <v>3251320.96</v>
      </c>
      <c r="CG16" s="87">
        <v>291013.59999999998</v>
      </c>
      <c r="CH16" s="87">
        <v>198</v>
      </c>
      <c r="CI16" s="87">
        <v>214011.37</v>
      </c>
      <c r="CJ16" s="87"/>
      <c r="CK16" s="87"/>
      <c r="CL16" s="87"/>
      <c r="CM16" s="87">
        <v>1696451.37</v>
      </c>
      <c r="CN16" s="87">
        <v>324808.26</v>
      </c>
      <c r="CO16" s="87">
        <v>6027.73</v>
      </c>
      <c r="CP16" s="87">
        <v>6903.76</v>
      </c>
      <c r="CQ16" s="87">
        <v>562865.88</v>
      </c>
      <c r="CR16" s="87">
        <v>7731821.8099999996</v>
      </c>
      <c r="CS16" s="344">
        <v>713105.82</v>
      </c>
      <c r="CT16" s="87">
        <v>1115225.19</v>
      </c>
      <c r="CU16" s="87">
        <v>2719033.55</v>
      </c>
      <c r="CV16" s="87">
        <v>0</v>
      </c>
      <c r="CW16" s="87">
        <v>7333210.9800000004</v>
      </c>
      <c r="CX16" s="87">
        <v>489383.27</v>
      </c>
      <c r="CY16" s="87"/>
      <c r="CZ16" s="87"/>
      <c r="DA16" s="87">
        <v>6828021.71</v>
      </c>
      <c r="DB16" s="87">
        <v>3469848.09</v>
      </c>
      <c r="DC16" s="87">
        <v>0</v>
      </c>
      <c r="DD16" s="87">
        <v>0</v>
      </c>
      <c r="DE16" s="87">
        <v>35000</v>
      </c>
      <c r="DF16" s="87">
        <v>5000</v>
      </c>
      <c r="DG16" s="87">
        <f>10243805.51+213963.82</f>
        <v>10457769.33</v>
      </c>
      <c r="DH16" s="87">
        <v>806160</v>
      </c>
      <c r="DI16" s="87">
        <v>0</v>
      </c>
      <c r="DJ16" s="87"/>
      <c r="DK16" s="87">
        <v>148629.92000000001</v>
      </c>
      <c r="DL16" s="87">
        <v>0</v>
      </c>
      <c r="DM16" s="87"/>
      <c r="DN16" s="344">
        <v>0</v>
      </c>
      <c r="DO16" s="87">
        <v>0</v>
      </c>
      <c r="DP16" s="87">
        <v>0</v>
      </c>
      <c r="DQ16" s="87">
        <v>256858.57</v>
      </c>
      <c r="DR16" s="87">
        <v>5984.61</v>
      </c>
      <c r="DS16" s="87"/>
      <c r="DT16" s="87"/>
      <c r="DU16" s="87"/>
      <c r="DV16" s="87">
        <v>3676803.56</v>
      </c>
      <c r="DW16" s="87">
        <v>9553916.4600000009</v>
      </c>
      <c r="DX16" s="87">
        <v>0</v>
      </c>
      <c r="DY16" s="87">
        <v>0</v>
      </c>
      <c r="DZ16" s="87">
        <v>4743.45</v>
      </c>
      <c r="EA16" s="87">
        <v>75291.88</v>
      </c>
      <c r="EB16" s="87">
        <v>4060807.05</v>
      </c>
      <c r="EC16" s="87">
        <v>4635.38</v>
      </c>
      <c r="ED16" s="87">
        <v>1724425.54</v>
      </c>
      <c r="EE16" s="87">
        <v>170328.69</v>
      </c>
      <c r="EF16" s="87">
        <v>0</v>
      </c>
      <c r="EG16" s="87">
        <v>163003.38</v>
      </c>
      <c r="EH16" s="87">
        <v>0</v>
      </c>
      <c r="EI16" s="87">
        <v>841272.02</v>
      </c>
      <c r="EJ16" s="344">
        <v>123553.16</v>
      </c>
      <c r="EK16" s="368">
        <v>9623059.8800000008</v>
      </c>
      <c r="EL16" s="87">
        <v>13730957.380000001</v>
      </c>
      <c r="EM16" s="87">
        <v>1559925.31</v>
      </c>
      <c r="EN16" s="87">
        <v>0</v>
      </c>
      <c r="EO16" s="87">
        <v>0</v>
      </c>
      <c r="EP16" s="87">
        <v>41339.58</v>
      </c>
      <c r="EQ16" s="355">
        <f>66633052</f>
        <v>66633052</v>
      </c>
      <c r="ER16" s="87">
        <v>3003.15</v>
      </c>
      <c r="ES16" s="87">
        <v>111759.18</v>
      </c>
      <c r="ET16" s="87">
        <v>0</v>
      </c>
      <c r="EU16" s="87">
        <v>224015.94</v>
      </c>
      <c r="EV16" s="87">
        <v>0</v>
      </c>
      <c r="EW16" s="87">
        <v>0</v>
      </c>
      <c r="EX16" s="87">
        <v>0</v>
      </c>
      <c r="EY16" s="87">
        <v>706730.18</v>
      </c>
      <c r="EZ16" s="87">
        <v>2591.6</v>
      </c>
      <c r="FA16" s="87">
        <v>0</v>
      </c>
      <c r="FB16" s="87">
        <v>152278.35</v>
      </c>
      <c r="FC16" s="87">
        <v>0</v>
      </c>
      <c r="FD16" s="87">
        <v>11589.6</v>
      </c>
      <c r="FE16" s="344">
        <v>0</v>
      </c>
      <c r="FF16" s="87">
        <v>0</v>
      </c>
      <c r="FG16" s="87">
        <v>0</v>
      </c>
      <c r="FH16" s="87">
        <v>13103811.880000001</v>
      </c>
      <c r="FI16" s="87">
        <v>0</v>
      </c>
      <c r="FJ16" s="344">
        <v>0</v>
      </c>
      <c r="FK16" s="87">
        <v>347616.38</v>
      </c>
      <c r="FL16" s="87">
        <v>2519245.85</v>
      </c>
      <c r="FM16" s="355">
        <v>109117874</v>
      </c>
      <c r="FN16" s="87">
        <v>1194970.58</v>
      </c>
      <c r="FO16" s="87">
        <v>225970.76</v>
      </c>
      <c r="FP16" s="87">
        <v>827.95</v>
      </c>
      <c r="FQ16" s="87">
        <v>83320.17</v>
      </c>
      <c r="FR16" s="87">
        <v>36597.21</v>
      </c>
      <c r="FS16" s="87">
        <v>0</v>
      </c>
      <c r="FT16" s="87">
        <v>967858.48</v>
      </c>
      <c r="FU16" s="87">
        <f>'[1]10-7'!C20</f>
        <v>25628.32</v>
      </c>
      <c r="FV16" s="87">
        <v>0</v>
      </c>
      <c r="FW16" s="87">
        <v>0</v>
      </c>
      <c r="FX16" s="87">
        <v>173704.72</v>
      </c>
      <c r="FY16" s="87">
        <v>291048.61000000004</v>
      </c>
      <c r="FZ16" s="344">
        <v>0</v>
      </c>
      <c r="GA16" s="87">
        <v>100271.48</v>
      </c>
      <c r="GB16" s="87">
        <v>2470321.25</v>
      </c>
      <c r="GC16" s="87">
        <v>657098.94999999995</v>
      </c>
      <c r="GD16" s="87">
        <v>0</v>
      </c>
      <c r="GE16" s="87">
        <v>193954.46</v>
      </c>
      <c r="GF16" s="87">
        <v>1281941.2</v>
      </c>
      <c r="GG16" s="355">
        <v>84285041</v>
      </c>
      <c r="GH16" s="87">
        <v>0</v>
      </c>
      <c r="GI16" s="87">
        <v>13914834.99</v>
      </c>
      <c r="GJ16" s="87">
        <v>213545.48</v>
      </c>
      <c r="GK16" s="87">
        <v>0</v>
      </c>
      <c r="GL16" s="87">
        <v>12734.15</v>
      </c>
      <c r="GM16" s="87">
        <v>352557.37</v>
      </c>
      <c r="GN16" s="87">
        <v>283329.27</v>
      </c>
      <c r="GO16" s="87">
        <v>4337022.6900000004</v>
      </c>
      <c r="GP16" s="87">
        <v>32575.73</v>
      </c>
      <c r="GQ16" s="87">
        <v>0</v>
      </c>
      <c r="GR16" s="87">
        <v>0</v>
      </c>
      <c r="GS16" s="87"/>
      <c r="GT16" s="344">
        <v>136357.21</v>
      </c>
      <c r="GU16" s="87">
        <v>11969.72</v>
      </c>
      <c r="GV16" s="87">
        <v>6770.7</v>
      </c>
      <c r="GW16" s="87">
        <v>436289.65</v>
      </c>
      <c r="GX16" s="87">
        <v>684751.78</v>
      </c>
      <c r="GY16" s="87">
        <v>0</v>
      </c>
      <c r="GZ16" s="87">
        <v>135302.39999999999</v>
      </c>
      <c r="HA16" s="87">
        <v>432759.92</v>
      </c>
      <c r="HB16" s="87">
        <v>167443</v>
      </c>
      <c r="HC16" s="87">
        <v>8206361.5300000003</v>
      </c>
      <c r="HD16" s="87">
        <v>6054664.5499999998</v>
      </c>
      <c r="HE16" s="87">
        <v>0</v>
      </c>
      <c r="HF16" s="87">
        <v>71954.75</v>
      </c>
      <c r="HG16" s="87">
        <v>133630.26</v>
      </c>
      <c r="HH16" s="87">
        <v>2824784.63</v>
      </c>
      <c r="HI16" s="87">
        <v>18611.75</v>
      </c>
      <c r="HJ16" s="87">
        <v>144047.6</v>
      </c>
      <c r="HK16" s="87">
        <v>9445128.0399999991</v>
      </c>
      <c r="HL16" s="87">
        <v>0</v>
      </c>
      <c r="HM16" s="87">
        <v>0</v>
      </c>
      <c r="HN16" s="87">
        <v>10369.969999999999</v>
      </c>
      <c r="HO16" s="344">
        <v>182902.27</v>
      </c>
      <c r="HP16" s="87">
        <v>0</v>
      </c>
      <c r="HQ16" s="87">
        <v>0</v>
      </c>
      <c r="HR16" s="87">
        <v>1796890.39</v>
      </c>
      <c r="HS16" s="87">
        <v>7522248.3300000001</v>
      </c>
      <c r="HT16" s="87">
        <v>12675757.49</v>
      </c>
      <c r="HU16" s="87">
        <v>11622.89</v>
      </c>
      <c r="HV16" s="87">
        <v>766297.28</v>
      </c>
      <c r="HW16" s="87">
        <v>837215</v>
      </c>
      <c r="HX16" s="87"/>
      <c r="HY16" s="87"/>
      <c r="HZ16" s="87">
        <v>8300.02</v>
      </c>
      <c r="IA16" s="87">
        <v>14142.31</v>
      </c>
      <c r="IB16" s="87">
        <v>22595.21</v>
      </c>
      <c r="IC16" s="87"/>
      <c r="ID16" s="87"/>
      <c r="IE16" s="87">
        <v>24994.720000000001</v>
      </c>
      <c r="IF16" s="87">
        <v>0</v>
      </c>
      <c r="IG16" s="87">
        <v>11362.51</v>
      </c>
      <c r="IH16" s="87"/>
      <c r="II16" s="87">
        <v>1047520.24</v>
      </c>
      <c r="IJ16" s="344">
        <f>8245333.19-1284.87</f>
        <v>8244048.3200000003</v>
      </c>
      <c r="IK16" s="87">
        <v>0</v>
      </c>
      <c r="IL16" s="87">
        <v>515375.32</v>
      </c>
      <c r="IM16" s="87">
        <v>0</v>
      </c>
      <c r="IN16" s="87">
        <v>0</v>
      </c>
      <c r="IO16" s="87">
        <v>0</v>
      </c>
      <c r="IP16" s="87">
        <v>5464925.8899999997</v>
      </c>
      <c r="IQ16" s="87"/>
      <c r="IR16" s="87">
        <v>0</v>
      </c>
      <c r="IS16" s="87">
        <v>0</v>
      </c>
      <c r="IT16" s="375"/>
      <c r="IU16" s="87">
        <f t="shared" si="4"/>
        <v>554755068.79999983</v>
      </c>
    </row>
    <row r="17" spans="1:255" s="38" customFormat="1" ht="14.1" customHeight="1">
      <c r="A17" s="32" t="s">
        <v>30</v>
      </c>
      <c r="B17" s="32"/>
      <c r="C17" s="155"/>
      <c r="D17" s="32"/>
      <c r="E17" s="32"/>
      <c r="F17" s="32"/>
      <c r="G17" s="32"/>
      <c r="H17" s="32"/>
      <c r="I17" s="32"/>
      <c r="J17" s="32"/>
      <c r="K17" s="32"/>
      <c r="L17" s="32"/>
      <c r="M17" s="123"/>
      <c r="N17" s="32"/>
      <c r="O17" s="32"/>
      <c r="P17" s="32"/>
      <c r="Q17" s="32"/>
      <c r="R17" s="32"/>
      <c r="S17" s="32">
        <v>407984.25</v>
      </c>
      <c r="T17" s="35">
        <f>3124.17+1660.36</f>
        <v>4784.53</v>
      </c>
      <c r="U17" s="32"/>
      <c r="V17" s="32"/>
      <c r="W17" s="32">
        <v>38675.15</v>
      </c>
      <c r="X17" s="32"/>
      <c r="Y17" s="32">
        <v>50.87</v>
      </c>
      <c r="Z17" s="32"/>
      <c r="AA17" s="32"/>
      <c r="AB17" s="32">
        <v>2869.49</v>
      </c>
      <c r="AC17" s="35">
        <v>695</v>
      </c>
      <c r="AD17" s="32">
        <f>917.34+54685.96+601.92</f>
        <v>56205.219999999994</v>
      </c>
      <c r="AE17" s="32"/>
      <c r="AF17" s="123"/>
      <c r="AG17" s="32">
        <v>4808.49</v>
      </c>
      <c r="AH17" s="32"/>
      <c r="AI17" s="32">
        <v>11738.36</v>
      </c>
      <c r="AJ17" s="32"/>
      <c r="AK17" s="32"/>
      <c r="AL17" s="32"/>
      <c r="AM17" s="32"/>
      <c r="AN17" s="35">
        <v>516549.19</v>
      </c>
      <c r="AO17" s="32">
        <v>1661</v>
      </c>
      <c r="AP17" s="32">
        <v>566.58000000000004</v>
      </c>
      <c r="AQ17" s="32"/>
      <c r="AR17" s="32">
        <v>1815.24</v>
      </c>
      <c r="AS17" s="32">
        <v>12594.9</v>
      </c>
      <c r="AT17" s="32">
        <v>1768</v>
      </c>
      <c r="AU17" s="32">
        <v>399</v>
      </c>
      <c r="AV17" s="32">
        <v>375</v>
      </c>
      <c r="AW17" s="32"/>
      <c r="AX17" s="32">
        <f>125+367.96+23717</f>
        <v>24209.96</v>
      </c>
      <c r="AY17" s="32"/>
      <c r="AZ17" s="32">
        <f>103.57+360</f>
        <v>463.57</v>
      </c>
      <c r="BA17" s="32">
        <v>398.39</v>
      </c>
      <c r="BB17" s="32">
        <v>2010</v>
      </c>
      <c r="BC17" s="123">
        <f>1646+1126.29+1317.27+3417.16</f>
        <v>7506.7199999999993</v>
      </c>
      <c r="BD17" s="32">
        <v>95</v>
      </c>
      <c r="BE17" s="32">
        <v>11824.27</v>
      </c>
      <c r="BF17" s="32">
        <v>1151.48</v>
      </c>
      <c r="BG17" s="32">
        <f>11186.6+381.42+425</f>
        <v>11993.02</v>
      </c>
      <c r="BH17" s="32">
        <f>3540+510192.35</f>
        <v>513732.35</v>
      </c>
      <c r="BI17" s="32">
        <v>3461.45</v>
      </c>
      <c r="BJ17" s="32">
        <v>450</v>
      </c>
      <c r="BK17" s="35">
        <v>197.95</v>
      </c>
      <c r="BL17" s="32">
        <v>1680</v>
      </c>
      <c r="BM17" s="32"/>
      <c r="BN17" s="32">
        <v>950.05</v>
      </c>
      <c r="BO17" s="32"/>
      <c r="BP17" s="32"/>
      <c r="BQ17" s="32">
        <v>104.5</v>
      </c>
      <c r="BR17" s="32"/>
      <c r="BS17" s="32">
        <f>1144.78+8689+2838.95+95</f>
        <v>12767.73</v>
      </c>
      <c r="BT17" s="32">
        <v>670</v>
      </c>
      <c r="BU17" s="32">
        <v>741.68</v>
      </c>
      <c r="BV17" s="32">
        <v>1099.25</v>
      </c>
      <c r="BW17" s="32"/>
      <c r="BX17" s="32">
        <f>900+867030.9</f>
        <v>867930.9</v>
      </c>
      <c r="BY17" s="123">
        <f>1005+1589.95</f>
        <v>2594.9499999999998</v>
      </c>
      <c r="BZ17" s="32">
        <v>450</v>
      </c>
      <c r="CA17" s="32"/>
      <c r="CB17" s="32"/>
      <c r="CC17" s="32">
        <v>3799.8</v>
      </c>
      <c r="CD17" s="32"/>
      <c r="CE17" s="35">
        <v>25377.65</v>
      </c>
      <c r="CF17" s="35">
        <v>575</v>
      </c>
      <c r="CG17" s="35">
        <v>1694.74</v>
      </c>
      <c r="CH17" s="32"/>
      <c r="CI17" s="32"/>
      <c r="CJ17" s="32"/>
      <c r="CK17" s="32">
        <v>532.95000000000005</v>
      </c>
      <c r="CL17" s="32">
        <v>44.06</v>
      </c>
      <c r="CM17" s="32"/>
      <c r="CN17" s="32"/>
      <c r="CO17" s="32">
        <v>77.97</v>
      </c>
      <c r="CP17" s="32">
        <f>790+2838.95+1888.3</f>
        <v>5517.25</v>
      </c>
      <c r="CQ17" s="32">
        <f>170+903753.71+275.92</f>
        <v>904199.63</v>
      </c>
      <c r="CR17" s="32">
        <v>1086.5</v>
      </c>
      <c r="CS17" s="123">
        <v>240.05</v>
      </c>
      <c r="CT17" s="32">
        <v>1811</v>
      </c>
      <c r="CU17" s="32">
        <v>0</v>
      </c>
      <c r="CV17" s="32">
        <v>148.22</v>
      </c>
      <c r="CW17" s="32">
        <v>76.45</v>
      </c>
      <c r="CX17" s="32"/>
      <c r="CY17" s="32">
        <v>870.15</v>
      </c>
      <c r="CZ17" s="32">
        <f>523.5+314.18</f>
        <v>837.68000000000006</v>
      </c>
      <c r="DA17" s="35">
        <f>275.92</f>
        <v>275.92</v>
      </c>
      <c r="DB17" s="32">
        <v>522.54999999999995</v>
      </c>
      <c r="DC17" s="32">
        <v>159</v>
      </c>
      <c r="DD17" s="32">
        <v>6525.17</v>
      </c>
      <c r="DE17" s="32">
        <v>12</v>
      </c>
      <c r="DF17" s="32">
        <v>71.5</v>
      </c>
      <c r="DG17" s="32"/>
      <c r="DH17" s="32"/>
      <c r="DI17" s="32"/>
      <c r="DJ17" s="32"/>
      <c r="DK17" s="32"/>
      <c r="DL17" s="32"/>
      <c r="DM17" s="32">
        <v>866.82</v>
      </c>
      <c r="DN17" s="123">
        <f>29.97+689</f>
        <v>718.97</v>
      </c>
      <c r="DO17" s="32">
        <v>874.76</v>
      </c>
      <c r="DP17" s="32"/>
      <c r="DQ17" s="32">
        <v>133.9</v>
      </c>
      <c r="DR17" s="32">
        <v>48.7</v>
      </c>
      <c r="DS17" s="32">
        <v>135.85</v>
      </c>
      <c r="DT17" s="32">
        <v>0.8</v>
      </c>
      <c r="DU17" s="32">
        <f>3941.08+188.17</f>
        <v>4129.25</v>
      </c>
      <c r="DV17" s="35"/>
      <c r="DW17" s="32"/>
      <c r="DX17" s="32">
        <v>93.54</v>
      </c>
      <c r="DY17" s="32"/>
      <c r="DZ17" s="32"/>
      <c r="EA17" s="32">
        <v>14452.79</v>
      </c>
      <c r="EB17" s="32">
        <v>1472991.93</v>
      </c>
      <c r="EC17" s="32"/>
      <c r="ED17" s="32">
        <v>3725.82</v>
      </c>
      <c r="EE17" s="32">
        <v>66</v>
      </c>
      <c r="EF17" s="32">
        <v>463.17</v>
      </c>
      <c r="EG17" s="33"/>
      <c r="EH17" s="32"/>
      <c r="EI17" s="32">
        <f>7070822.76+105.69</f>
        <v>7070928.4500000002</v>
      </c>
      <c r="EJ17" s="123"/>
      <c r="EK17" s="333"/>
      <c r="EL17" s="32"/>
      <c r="EM17" s="32"/>
      <c r="EN17" s="32">
        <v>998.7</v>
      </c>
      <c r="EO17" s="32">
        <v>104.6</v>
      </c>
      <c r="EP17" s="32"/>
      <c r="EQ17" s="35"/>
      <c r="ER17" s="32">
        <v>3687.31</v>
      </c>
      <c r="ES17" s="32">
        <v>2095.58</v>
      </c>
      <c r="ET17" s="32">
        <v>50198.43</v>
      </c>
      <c r="EU17" s="32">
        <v>14777.12</v>
      </c>
      <c r="EV17" s="32">
        <f>780802.55+1345.39</f>
        <v>782147.94000000006</v>
      </c>
      <c r="EW17" s="32">
        <v>703.5</v>
      </c>
      <c r="EX17" s="32">
        <v>815</v>
      </c>
      <c r="EY17" s="32">
        <v>176</v>
      </c>
      <c r="EZ17" s="32">
        <v>145</v>
      </c>
      <c r="FA17" s="32">
        <v>224</v>
      </c>
      <c r="FB17" s="35">
        <v>685.7</v>
      </c>
      <c r="FC17" s="32">
        <v>17.36</v>
      </c>
      <c r="FD17" s="32">
        <v>23494</v>
      </c>
      <c r="FE17" s="123">
        <v>490</v>
      </c>
      <c r="FF17" s="32"/>
      <c r="FG17" s="32">
        <f>169+66.4</f>
        <v>235.4</v>
      </c>
      <c r="FH17" s="32">
        <v>85</v>
      </c>
      <c r="FI17" s="32">
        <v>80073.8</v>
      </c>
      <c r="FJ17" s="436">
        <v>144</v>
      </c>
      <c r="FK17" s="32">
        <f>572+652.21</f>
        <v>1224.21</v>
      </c>
      <c r="FL17" s="32">
        <v>4295.46</v>
      </c>
      <c r="FM17" s="35">
        <v>143.91</v>
      </c>
      <c r="FN17" s="32">
        <f>2771.45+147018.35</f>
        <v>149789.80000000002</v>
      </c>
      <c r="FO17" s="32"/>
      <c r="FP17" s="32"/>
      <c r="FQ17" s="32">
        <v>107.8</v>
      </c>
      <c r="FR17" s="32"/>
      <c r="FS17" s="32">
        <v>3936.65</v>
      </c>
      <c r="FT17" s="32"/>
      <c r="FU17" s="32"/>
      <c r="FV17" s="32">
        <v>455.73</v>
      </c>
      <c r="FW17" s="32"/>
      <c r="FX17" s="32">
        <v>139883.5</v>
      </c>
      <c r="FY17" s="32">
        <v>107.8</v>
      </c>
      <c r="FZ17" s="123"/>
      <c r="GA17" s="32"/>
      <c r="GB17" s="32">
        <v>621.29999999999995</v>
      </c>
      <c r="GC17" s="32">
        <v>4740.5</v>
      </c>
      <c r="GD17" s="32">
        <v>24.5</v>
      </c>
      <c r="GE17" s="32">
        <v>12954.24</v>
      </c>
      <c r="GF17" s="32">
        <v>1192</v>
      </c>
      <c r="GG17" s="32">
        <v>574</v>
      </c>
      <c r="GH17" s="35"/>
      <c r="GI17" s="32">
        <v>1080032.8899999999</v>
      </c>
      <c r="GJ17" s="32">
        <v>10626</v>
      </c>
      <c r="GK17" s="32"/>
      <c r="GL17" s="32"/>
      <c r="GM17" s="32">
        <v>83.05</v>
      </c>
      <c r="GN17" s="32">
        <v>4421</v>
      </c>
      <c r="GO17" s="32">
        <v>320</v>
      </c>
      <c r="GP17" s="32">
        <f>240+342.16</f>
        <v>582.16000000000008</v>
      </c>
      <c r="GQ17" s="32">
        <v>380.42</v>
      </c>
      <c r="GR17" s="32">
        <f>160532+83.05+31.19</f>
        <v>160646.24</v>
      </c>
      <c r="GS17" s="32">
        <f>97.35+1296.45</f>
        <v>1393.8</v>
      </c>
      <c r="GT17" s="123">
        <v>789.9</v>
      </c>
      <c r="GU17" s="32">
        <v>44.55</v>
      </c>
      <c r="GV17" s="32"/>
      <c r="GW17" s="32">
        <v>499</v>
      </c>
      <c r="GX17" s="32"/>
      <c r="GY17" s="32"/>
      <c r="GZ17" s="32">
        <f>189+484598.51</f>
        <v>484787.51</v>
      </c>
      <c r="HA17" s="32">
        <v>80.849999999999994</v>
      </c>
      <c r="HB17" s="32"/>
      <c r="HC17" s="32"/>
      <c r="HD17" s="32"/>
      <c r="HE17" s="32"/>
      <c r="HF17" s="32">
        <v>70</v>
      </c>
      <c r="HG17" s="32">
        <v>1156.3599999999999</v>
      </c>
      <c r="HH17" s="32">
        <v>60</v>
      </c>
      <c r="HI17" s="32">
        <v>280</v>
      </c>
      <c r="HJ17" s="32">
        <f>163380+1418.31</f>
        <v>164798.31</v>
      </c>
      <c r="HK17" s="32">
        <v>4043.75</v>
      </c>
      <c r="HL17" s="32">
        <v>64.900000000000006</v>
      </c>
      <c r="HM17" s="32"/>
      <c r="HN17" s="32">
        <v>234.49</v>
      </c>
      <c r="HO17" s="123">
        <v>1220.6099999999999</v>
      </c>
      <c r="HP17" s="32">
        <v>643.45000000000005</v>
      </c>
      <c r="HQ17" s="32"/>
      <c r="HR17" s="32">
        <v>6567.46</v>
      </c>
      <c r="HS17" s="32">
        <v>1696.6</v>
      </c>
      <c r="HT17" s="32">
        <v>237.6</v>
      </c>
      <c r="HU17" s="32">
        <v>458.7</v>
      </c>
      <c r="HV17" s="32"/>
      <c r="HW17" s="32"/>
      <c r="HX17" s="32"/>
      <c r="HY17" s="32"/>
      <c r="HZ17" s="32"/>
      <c r="IA17" s="32"/>
      <c r="IB17" s="32"/>
      <c r="IC17" s="32">
        <v>155.59</v>
      </c>
      <c r="ID17" s="32">
        <f>535+2300+360</f>
        <v>3195</v>
      </c>
      <c r="IE17" s="32">
        <v>476.79</v>
      </c>
      <c r="IF17" s="32">
        <v>378</v>
      </c>
      <c r="IG17" s="32"/>
      <c r="IH17" s="32">
        <v>507.4</v>
      </c>
      <c r="II17" s="32">
        <f>225+66801.12+5500</f>
        <v>72526.12</v>
      </c>
      <c r="IJ17" s="123">
        <f>70+700.4</f>
        <v>770.4</v>
      </c>
      <c r="IK17" s="32">
        <v>269.2</v>
      </c>
      <c r="IL17" s="32"/>
      <c r="IM17" s="32"/>
      <c r="IN17" s="32">
        <f>299.21+155.1</f>
        <v>454.30999999999995</v>
      </c>
      <c r="IO17" s="32"/>
      <c r="IP17" s="32">
        <f>280+1716.47</f>
        <v>1996.47</v>
      </c>
      <c r="IQ17" s="32">
        <v>500</v>
      </c>
      <c r="IR17" s="32"/>
      <c r="IS17" s="32"/>
      <c r="IT17" s="32"/>
      <c r="IU17" s="32"/>
    </row>
    <row r="18" spans="1:255" s="38" customFormat="1" ht="14.1" customHeight="1">
      <c r="A18" s="32" t="s">
        <v>37</v>
      </c>
      <c r="B18" s="32"/>
      <c r="C18" s="155">
        <v>101461.89</v>
      </c>
      <c r="D18" s="32">
        <v>43915.86</v>
      </c>
      <c r="E18" s="32">
        <v>32763.58</v>
      </c>
      <c r="F18" s="32">
        <f>48540.62+133.7</f>
        <v>48674.32</v>
      </c>
      <c r="G18" s="32">
        <v>45672.01</v>
      </c>
      <c r="H18" s="32">
        <v>41907.51</v>
      </c>
      <c r="I18" s="32">
        <v>41128.120000000003</v>
      </c>
      <c r="J18" s="32">
        <v>43119.76</v>
      </c>
      <c r="K18" s="32">
        <f>46522.43+142.95</f>
        <v>46665.38</v>
      </c>
      <c r="L18" s="32">
        <f>44401.82</f>
        <v>44401.82</v>
      </c>
      <c r="M18" s="123">
        <v>40135.94</v>
      </c>
      <c r="N18" s="32">
        <v>71083.48</v>
      </c>
      <c r="O18" s="32">
        <f>49359.86+97.2</f>
        <v>49457.06</v>
      </c>
      <c r="P18" s="32">
        <f>47912.41+237.2</f>
        <v>48149.61</v>
      </c>
      <c r="Q18" s="32">
        <f>40747.54+229.35</f>
        <v>40976.89</v>
      </c>
      <c r="R18" s="32">
        <v>40988.910000000003</v>
      </c>
      <c r="S18" s="32">
        <f>40060.26+312.55</f>
        <v>40372.810000000005</v>
      </c>
      <c r="T18" s="32">
        <v>101817.56</v>
      </c>
      <c r="U18" s="32">
        <v>44172.47</v>
      </c>
      <c r="V18" s="32">
        <v>39587.449999999997</v>
      </c>
      <c r="W18" s="32"/>
      <c r="X18" s="32">
        <v>39077.14</v>
      </c>
      <c r="Y18" s="32">
        <f>46922.62+62</f>
        <v>46984.62</v>
      </c>
      <c r="Z18" s="32">
        <v>33810.42</v>
      </c>
      <c r="AA18" s="32">
        <v>40445.160000000003</v>
      </c>
      <c r="AB18" s="32">
        <v>40595.410000000003</v>
      </c>
      <c r="AC18" s="32">
        <v>39491.919999999998</v>
      </c>
      <c r="AD18" s="32">
        <v>45057.77</v>
      </c>
      <c r="AE18" s="32">
        <v>43615.63</v>
      </c>
      <c r="AF18" s="123">
        <v>41739.39</v>
      </c>
      <c r="AG18" s="32">
        <v>36377.949999999997</v>
      </c>
      <c r="AH18" s="32">
        <v>3018.98</v>
      </c>
      <c r="AI18" s="32">
        <v>978.54</v>
      </c>
      <c r="AJ18" s="32">
        <v>563</v>
      </c>
      <c r="AK18" s="32">
        <v>120</v>
      </c>
      <c r="AL18" s="32">
        <v>131.80000000000001</v>
      </c>
      <c r="AM18" s="32">
        <v>34332.160000000003</v>
      </c>
      <c r="AN18" s="32">
        <v>48183.28</v>
      </c>
      <c r="AO18" s="32">
        <f>44940.1+40</f>
        <v>44980.1</v>
      </c>
      <c r="AP18" s="32">
        <v>41472.870000000003</v>
      </c>
      <c r="AQ18" s="32">
        <v>67183.23</v>
      </c>
      <c r="AR18" s="32">
        <v>42165.22</v>
      </c>
      <c r="AS18" s="32">
        <v>44308.9</v>
      </c>
      <c r="AT18" s="32">
        <v>42324.85</v>
      </c>
      <c r="AU18" s="32">
        <f>37376.39+215.75</f>
        <v>37592.14</v>
      </c>
      <c r="AV18" s="32">
        <v>46533.42</v>
      </c>
      <c r="AW18" s="32">
        <f>37699.96+377.2</f>
        <v>38077.159999999996</v>
      </c>
      <c r="AX18" s="32">
        <v>49636.59</v>
      </c>
      <c r="AY18" s="32">
        <v>42505.57</v>
      </c>
      <c r="AZ18" s="32">
        <v>29256.32</v>
      </c>
      <c r="BA18" s="32">
        <v>48734.11</v>
      </c>
      <c r="BB18" s="32">
        <v>38148.74</v>
      </c>
      <c r="BC18" s="123">
        <v>45948.66</v>
      </c>
      <c r="BD18" s="32">
        <v>40297.410000000003</v>
      </c>
      <c r="BE18" s="32">
        <v>42079.39</v>
      </c>
      <c r="BF18" s="32">
        <f>37297.22+106.8</f>
        <v>37404.020000000004</v>
      </c>
      <c r="BG18" s="32">
        <f>44683.92+317.75</f>
        <v>45001.67</v>
      </c>
      <c r="BH18" s="32">
        <v>44046.83</v>
      </c>
      <c r="BI18" s="32">
        <v>45664.79</v>
      </c>
      <c r="BJ18" s="32">
        <v>31473.119999999999</v>
      </c>
      <c r="BK18" s="32">
        <v>51702.87</v>
      </c>
      <c r="BL18" s="32">
        <v>39138.949999999997</v>
      </c>
      <c r="BM18" s="32">
        <v>39703.93</v>
      </c>
      <c r="BN18" s="32">
        <v>65173.15</v>
      </c>
      <c r="BO18" s="32">
        <v>30879.1</v>
      </c>
      <c r="BP18" s="32">
        <v>32535.35</v>
      </c>
      <c r="BQ18" s="32">
        <v>33347.78</v>
      </c>
      <c r="BR18" s="32">
        <v>41535.599999999999</v>
      </c>
      <c r="BS18" s="32">
        <v>43672.34</v>
      </c>
      <c r="BT18" s="32">
        <v>36894.870000000003</v>
      </c>
      <c r="BU18" s="32">
        <f>35793.7+292.2</f>
        <v>36085.899999999994</v>
      </c>
      <c r="BV18" s="32">
        <v>35628.58</v>
      </c>
      <c r="BW18" s="32">
        <v>44651.94</v>
      </c>
      <c r="BX18" s="32">
        <v>42492.98</v>
      </c>
      <c r="BY18" s="123">
        <v>32091.09</v>
      </c>
      <c r="BZ18" s="32">
        <v>39565.67</v>
      </c>
      <c r="CA18" s="32">
        <v>35017.24</v>
      </c>
      <c r="CB18" s="32">
        <v>42294.66</v>
      </c>
      <c r="CC18" s="32">
        <v>38705.35</v>
      </c>
      <c r="CD18" s="32">
        <f>34672.63+280.3</f>
        <v>34952.93</v>
      </c>
      <c r="CE18" s="32">
        <v>345.26</v>
      </c>
      <c r="CF18" s="32">
        <v>58344.29</v>
      </c>
      <c r="CG18" s="32">
        <f>33609.09+141.5</f>
        <v>33750.589999999997</v>
      </c>
      <c r="CH18" s="32">
        <v>34032.93</v>
      </c>
      <c r="CI18" s="32">
        <v>27707.86</v>
      </c>
      <c r="CJ18" s="32">
        <v>16991.88</v>
      </c>
      <c r="CK18" s="32">
        <v>16800.68</v>
      </c>
      <c r="CL18" s="32">
        <v>16769.36</v>
      </c>
      <c r="CM18" s="32">
        <v>19820.810000000001</v>
      </c>
      <c r="CN18" s="32">
        <v>116</v>
      </c>
      <c r="CO18" s="32">
        <v>167.3</v>
      </c>
      <c r="CP18" s="32">
        <v>269.14999999999998</v>
      </c>
      <c r="CQ18" s="32">
        <v>54.25</v>
      </c>
      <c r="CR18" s="32">
        <v>1685.9</v>
      </c>
      <c r="CS18" s="123">
        <v>0</v>
      </c>
      <c r="CT18" s="32">
        <v>104.91</v>
      </c>
      <c r="CU18" s="32">
        <v>8978.33</v>
      </c>
      <c r="CV18" s="32"/>
      <c r="CW18" s="32">
        <v>6054.73</v>
      </c>
      <c r="CX18" s="32">
        <v>16858.25</v>
      </c>
      <c r="CY18" s="32">
        <v>7050.22</v>
      </c>
      <c r="CZ18" s="32">
        <v>13.75</v>
      </c>
      <c r="DA18" s="32"/>
      <c r="DB18" s="32">
        <v>3156.11</v>
      </c>
      <c r="DC18" s="32">
        <v>8637.14</v>
      </c>
      <c r="DD18" s="32">
        <v>4162.6400000000003</v>
      </c>
      <c r="DE18" s="32"/>
      <c r="DF18" s="32">
        <v>28997.24</v>
      </c>
      <c r="DG18" s="32">
        <v>4543.6499999999996</v>
      </c>
      <c r="DH18" s="32"/>
      <c r="DI18" s="32">
        <v>0</v>
      </c>
      <c r="DJ18" s="32"/>
      <c r="DK18" s="32">
        <v>240.7</v>
      </c>
      <c r="DL18" s="32">
        <v>52028.12</v>
      </c>
      <c r="DM18" s="32"/>
      <c r="DN18" s="123"/>
      <c r="DO18" s="32"/>
      <c r="DP18" s="32">
        <v>2819.04</v>
      </c>
      <c r="DQ18" s="32"/>
      <c r="DR18" s="32"/>
      <c r="DS18" s="32"/>
      <c r="DT18" s="32"/>
      <c r="DU18" s="32">
        <v>175.5</v>
      </c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>
        <v>1452.8855000000001</v>
      </c>
      <c r="EH18" s="32">
        <f>+'FY-08, FEB-08 - Jan-09, DATA'!EH18*$V$73</f>
        <v>0</v>
      </c>
      <c r="EI18" s="32"/>
      <c r="EJ18" s="197"/>
      <c r="EK18" s="333"/>
      <c r="EL18" s="32"/>
      <c r="EM18" s="32"/>
      <c r="EN18" s="32">
        <v>1216.5</v>
      </c>
      <c r="EO18" s="32">
        <v>431.35</v>
      </c>
      <c r="EP18" s="32">
        <v>569.69000000000005</v>
      </c>
      <c r="EQ18" s="32">
        <v>11078.32</v>
      </c>
      <c r="ER18" s="32">
        <v>57559.88</v>
      </c>
      <c r="ES18" s="32">
        <v>55243.62</v>
      </c>
      <c r="ET18" s="32">
        <v>46066.28</v>
      </c>
      <c r="EU18" s="32">
        <v>42863.839999999997</v>
      </c>
      <c r="EV18" s="32">
        <v>41831.25</v>
      </c>
      <c r="EW18" s="32">
        <v>46900.58</v>
      </c>
      <c r="EX18" s="32">
        <v>44767.34</v>
      </c>
      <c r="EY18" s="32">
        <v>48778.15</v>
      </c>
      <c r="EZ18" s="32">
        <v>42663.96</v>
      </c>
      <c r="FA18" s="32">
        <v>41922.99</v>
      </c>
      <c r="FB18" s="33">
        <v>44677.41</v>
      </c>
      <c r="FC18" s="32">
        <v>40595.370000000003</v>
      </c>
      <c r="FD18" s="32">
        <v>39565.339999999997</v>
      </c>
      <c r="FE18" s="123">
        <v>40182.78</v>
      </c>
      <c r="FF18" s="32">
        <v>42263.11</v>
      </c>
      <c r="FG18" s="32">
        <v>42389.26</v>
      </c>
      <c r="FH18" s="32">
        <v>40419.18</v>
      </c>
      <c r="FI18" s="32">
        <v>40098.99</v>
      </c>
      <c r="FJ18" s="436">
        <v>39211.480000000003</v>
      </c>
      <c r="FK18" s="32">
        <v>36680.49</v>
      </c>
      <c r="FL18" s="32">
        <v>39938.080000000002</v>
      </c>
      <c r="FM18" s="32">
        <v>60000.6</v>
      </c>
      <c r="FN18" s="32">
        <v>35633.699999999997</v>
      </c>
      <c r="FO18" s="32">
        <v>3664.55</v>
      </c>
      <c r="FP18" s="32">
        <v>33005.86</v>
      </c>
      <c r="FQ18" s="32">
        <v>37701.78</v>
      </c>
      <c r="FR18" s="32">
        <v>34100.379999999997</v>
      </c>
      <c r="FS18" s="32">
        <v>19767.62</v>
      </c>
      <c r="FT18" s="32">
        <v>36127.550000000003</v>
      </c>
      <c r="FU18" s="32">
        <v>41829.370000000003</v>
      </c>
      <c r="FV18" s="32">
        <v>42999.86</v>
      </c>
      <c r="FW18" s="32">
        <v>38263.43</v>
      </c>
      <c r="FX18" s="32">
        <v>56773.55</v>
      </c>
      <c r="FY18" s="32">
        <v>47937.86</v>
      </c>
      <c r="FZ18" s="123">
        <v>36277.449999999997</v>
      </c>
      <c r="GA18" s="32">
        <v>42593.43</v>
      </c>
      <c r="GB18" s="32">
        <v>40546.879999999997</v>
      </c>
      <c r="GC18" s="32">
        <v>40248.61</v>
      </c>
      <c r="GD18" s="32">
        <v>46552.86</v>
      </c>
      <c r="GE18" s="32">
        <v>46037.18</v>
      </c>
      <c r="GF18" s="32">
        <v>38064.769999999997</v>
      </c>
      <c r="GG18" s="32">
        <v>38391.910000000003</v>
      </c>
      <c r="GH18" s="32">
        <v>32364.23</v>
      </c>
      <c r="GI18" s="32">
        <v>42866.96</v>
      </c>
      <c r="GJ18" s="32">
        <v>69462.100000000006</v>
      </c>
      <c r="GK18" s="32">
        <v>33848.35</v>
      </c>
      <c r="GL18" s="32">
        <v>38558.97</v>
      </c>
      <c r="GM18" s="32">
        <v>37285.42</v>
      </c>
      <c r="GN18" s="32">
        <v>45532.160000000003</v>
      </c>
      <c r="GO18" s="32">
        <v>40663.99</v>
      </c>
      <c r="GP18" s="32">
        <v>39067.49</v>
      </c>
      <c r="GQ18" s="32">
        <v>37012.85</v>
      </c>
      <c r="GR18" s="32">
        <v>40346.949999999997</v>
      </c>
      <c r="GS18" s="32">
        <v>82644.070000000007</v>
      </c>
      <c r="GT18" s="123">
        <v>38015.39</v>
      </c>
      <c r="GU18" s="32">
        <v>45641.05</v>
      </c>
      <c r="GV18" s="32">
        <v>41968.24</v>
      </c>
      <c r="GW18" s="32">
        <v>43661.53</v>
      </c>
      <c r="GX18" s="32">
        <v>40240.61</v>
      </c>
      <c r="GY18" s="32">
        <v>49998.91</v>
      </c>
      <c r="GZ18" s="32">
        <v>36892.22</v>
      </c>
      <c r="HA18" s="32">
        <v>5514.74</v>
      </c>
      <c r="HB18" s="32">
        <v>766</v>
      </c>
      <c r="HC18" s="32">
        <v>207.75</v>
      </c>
      <c r="HD18" s="32">
        <v>301.85000000000002</v>
      </c>
      <c r="HE18" s="32">
        <v>29784.65</v>
      </c>
      <c r="HF18" s="32">
        <v>45442.21</v>
      </c>
      <c r="HG18" s="32">
        <v>42719.91</v>
      </c>
      <c r="HH18" s="32">
        <v>38988.400000000001</v>
      </c>
      <c r="HI18" s="32">
        <v>40236.120000000003</v>
      </c>
      <c r="HJ18" s="32">
        <v>38299.56</v>
      </c>
      <c r="HK18" s="32">
        <v>39435.599999999999</v>
      </c>
      <c r="HL18" s="32">
        <v>38702.300000000003</v>
      </c>
      <c r="HM18" s="32">
        <v>36473.69</v>
      </c>
      <c r="HN18" s="32">
        <f>37263.18+173.45</f>
        <v>37436.629999999997</v>
      </c>
      <c r="HO18" s="123">
        <f>38094.4+187.3</f>
        <v>38281.700000000004</v>
      </c>
      <c r="HP18" s="32">
        <f>36774.14+117.1</f>
        <v>36891.24</v>
      </c>
      <c r="HQ18" s="32">
        <v>37383.85</v>
      </c>
      <c r="HR18" s="32">
        <v>33354.74</v>
      </c>
      <c r="HS18" s="32">
        <v>32872.01</v>
      </c>
      <c r="HT18" s="32">
        <v>1960.35</v>
      </c>
      <c r="HU18" s="32">
        <v>330.8</v>
      </c>
      <c r="HV18" s="32">
        <v>34668.639999999999</v>
      </c>
      <c r="HW18" s="32">
        <v>106.25</v>
      </c>
      <c r="HX18" s="32">
        <v>184</v>
      </c>
      <c r="HY18" s="32">
        <v>285</v>
      </c>
      <c r="HZ18" s="32">
        <v>80</v>
      </c>
      <c r="IA18" s="32">
        <v>222.85</v>
      </c>
      <c r="IB18" s="32">
        <v>985.55</v>
      </c>
      <c r="IC18" s="32">
        <v>25371.47</v>
      </c>
      <c r="ID18" s="32">
        <v>84921.07</v>
      </c>
      <c r="IE18" s="32">
        <f>41808.74+291.5</f>
        <v>42100.24</v>
      </c>
      <c r="IF18" s="32">
        <f>36060.76+120.2</f>
        <v>36180.959999999999</v>
      </c>
      <c r="IG18" s="32">
        <v>41671.69</v>
      </c>
      <c r="IH18" s="32">
        <v>38991.78</v>
      </c>
      <c r="II18" s="32">
        <v>27293.34</v>
      </c>
      <c r="IJ18" s="123">
        <v>20861.7</v>
      </c>
      <c r="IK18" s="32">
        <v>23700.43</v>
      </c>
      <c r="IL18" s="32">
        <v>3701.35</v>
      </c>
      <c r="IM18" s="32">
        <v>22230.16</v>
      </c>
      <c r="IN18" s="32">
        <v>41037.15</v>
      </c>
      <c r="IO18" s="32">
        <v>38838.839999999997</v>
      </c>
      <c r="IP18" s="32">
        <v>39024.879999999997</v>
      </c>
      <c r="IQ18" s="32">
        <v>39175.14</v>
      </c>
      <c r="IR18" s="32">
        <v>42012.99</v>
      </c>
      <c r="IS18" s="32">
        <v>37297.300000000003</v>
      </c>
      <c r="IT18" s="32"/>
      <c r="IU18" s="32">
        <f>SUM(C18:IT18)</f>
        <v>7410843.2755000014</v>
      </c>
    </row>
    <row r="19" spans="1:255" s="38" customFormat="1" ht="14.1" customHeight="1">
      <c r="A19" s="32" t="s">
        <v>29</v>
      </c>
      <c r="B19" s="32"/>
      <c r="C19" s="156"/>
      <c r="D19" s="37"/>
      <c r="E19" s="37"/>
      <c r="F19" s="37"/>
      <c r="G19" s="37"/>
      <c r="H19" s="37">
        <v>24150.37</v>
      </c>
      <c r="I19" s="37"/>
      <c r="J19" s="37">
        <v>698926.51</v>
      </c>
      <c r="K19" s="37"/>
      <c r="L19" s="37"/>
      <c r="M19" s="195"/>
      <c r="N19" s="37"/>
      <c r="O19" s="37"/>
      <c r="P19" s="37">
        <v>373093.91</v>
      </c>
      <c r="Q19" s="37"/>
      <c r="R19" s="37"/>
      <c r="S19" s="32">
        <f>102480.05+1343713.99</f>
        <v>1446194.04</v>
      </c>
      <c r="T19" s="37"/>
      <c r="U19" s="37"/>
      <c r="V19" s="37"/>
      <c r="W19" s="37"/>
      <c r="X19" s="37">
        <f>4050.12+23148.58</f>
        <v>27198.7</v>
      </c>
      <c r="Y19" s="37"/>
      <c r="Z19" s="37"/>
      <c r="AA19" s="37"/>
      <c r="AB19" s="37"/>
      <c r="AC19" s="37"/>
      <c r="AD19" s="37"/>
      <c r="AE19" s="37"/>
      <c r="AF19" s="195"/>
      <c r="AG19" s="37">
        <v>3547462.5</v>
      </c>
      <c r="AH19" s="37"/>
      <c r="AI19" s="37"/>
      <c r="AJ19" s="37"/>
      <c r="AK19" s="37"/>
      <c r="AL19" s="37"/>
      <c r="AM19" s="37">
        <f>305705.12+7024.54</f>
        <v>312729.65999999997</v>
      </c>
      <c r="AN19" s="37"/>
      <c r="AO19" s="37"/>
      <c r="AP19" s="37"/>
      <c r="AQ19" s="37"/>
      <c r="AR19" s="37">
        <f>42345.32+880.9</f>
        <v>43226.22</v>
      </c>
      <c r="AS19" s="37"/>
      <c r="AT19" s="37"/>
      <c r="AU19" s="37"/>
      <c r="AV19" s="37"/>
      <c r="AW19" s="37"/>
      <c r="AX19" s="37">
        <f>477796.85+250000+3.22</f>
        <v>727800.07</v>
      </c>
      <c r="AY19" s="37"/>
      <c r="AZ19" s="37"/>
      <c r="BA19" s="37">
        <v>2433712.94</v>
      </c>
      <c r="BB19" s="37">
        <f>407340.75+139769.1</f>
        <v>547109.85</v>
      </c>
      <c r="BC19" s="195"/>
      <c r="BD19" s="37"/>
      <c r="BE19" s="37"/>
      <c r="BF19" s="37"/>
      <c r="BG19" s="37">
        <f>113747.96+12134.55</f>
        <v>125882.51000000001</v>
      </c>
      <c r="BH19" s="37"/>
      <c r="BI19" s="37"/>
      <c r="BJ19" s="37">
        <f>201812.37+138571.04</f>
        <v>340383.41000000003</v>
      </c>
      <c r="BK19" s="37"/>
      <c r="BL19" s="37">
        <f>264401.72+40975</f>
        <v>305376.71999999997</v>
      </c>
      <c r="BM19" s="37"/>
      <c r="BN19" s="37">
        <v>8.42</v>
      </c>
      <c r="BO19" s="37"/>
      <c r="BP19" s="37"/>
      <c r="BQ19" s="37">
        <f>105253.29+2119</f>
        <v>107372.29</v>
      </c>
      <c r="BR19" s="37"/>
      <c r="BS19" s="37"/>
      <c r="BT19" s="37"/>
      <c r="BU19" s="37"/>
      <c r="BV19" s="37">
        <f>172160.52+46617.44</f>
        <v>218777.96</v>
      </c>
      <c r="BW19" s="37"/>
      <c r="BX19" s="37"/>
      <c r="BY19" s="195">
        <v>1136073.21</v>
      </c>
      <c r="BZ19" s="37"/>
      <c r="CA19" s="37">
        <v>307678.92</v>
      </c>
      <c r="CB19" s="37"/>
      <c r="CC19" s="37"/>
      <c r="CD19" s="37"/>
      <c r="CE19" s="37"/>
      <c r="CF19" s="37"/>
      <c r="CG19" s="37"/>
      <c r="CH19" s="37">
        <v>536018.15</v>
      </c>
      <c r="CI19" s="37"/>
      <c r="CJ19" s="37">
        <f>124524.04+28822.58</f>
        <v>153346.62</v>
      </c>
      <c r="CK19" s="37"/>
      <c r="CL19" s="37"/>
      <c r="CM19" s="37"/>
      <c r="CN19" s="37"/>
      <c r="CO19" s="37"/>
      <c r="CP19" s="37">
        <f>83847.85+113700.33+1488031.2</f>
        <v>1685579.38</v>
      </c>
      <c r="CQ19" s="37"/>
      <c r="CR19" s="37"/>
      <c r="CS19" s="195"/>
      <c r="CT19" s="37">
        <f>323164.51+22830.05</f>
        <v>345994.56</v>
      </c>
      <c r="CU19" s="37"/>
      <c r="CV19" s="37"/>
      <c r="CW19" s="37"/>
      <c r="CX19" s="37"/>
      <c r="CY19" s="37">
        <f>366629.98+63250.31</f>
        <v>429880.29</v>
      </c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>
        <f>1307738.86+300056.6</f>
        <v>1607795.46</v>
      </c>
      <c r="DN19" s="195">
        <f>1638667.71+1168981.47+133347.84</f>
        <v>2940997.0199999996</v>
      </c>
      <c r="DO19" s="37">
        <v>81468.75</v>
      </c>
      <c r="DP19" s="37"/>
      <c r="DQ19" s="37"/>
      <c r="DR19" s="37">
        <f>22080+2412934.88+453318.78</f>
        <v>2888333.66</v>
      </c>
      <c r="DS19" s="37"/>
      <c r="DT19" s="37"/>
      <c r="DU19" s="37"/>
      <c r="DV19" s="37"/>
      <c r="DW19" s="37">
        <f>358714.72+271041.52</f>
        <v>629756.24</v>
      </c>
      <c r="DX19" s="37">
        <v>2447779.17</v>
      </c>
      <c r="DY19" s="37"/>
      <c r="DZ19" s="37"/>
      <c r="EA19" s="37"/>
      <c r="EB19" s="37">
        <f>170564.64+4383.82</f>
        <v>174948.46000000002</v>
      </c>
      <c r="EC19" s="37"/>
      <c r="ED19" s="37"/>
      <c r="EE19" s="37"/>
      <c r="EF19" s="201"/>
      <c r="EG19" s="201"/>
      <c r="EH19" s="37"/>
      <c r="EI19" s="37">
        <f>13703.83+140841.65+194965.91+135913.69+634875.52+479954.23</f>
        <v>1600254.83</v>
      </c>
      <c r="EJ19" s="500"/>
      <c r="EK19" s="351"/>
      <c r="EL19" s="37">
        <f>606472.2+401093.61</f>
        <v>1007565.8099999999</v>
      </c>
      <c r="EM19" s="37"/>
      <c r="EN19" s="37">
        <v>3074.2</v>
      </c>
      <c r="EO19" s="37"/>
      <c r="EP19" s="37"/>
      <c r="EQ19" s="37">
        <f>829425.53+21755.3</f>
        <v>851180.83000000007</v>
      </c>
      <c r="ER19" s="37"/>
      <c r="ES19" s="37"/>
      <c r="ET19" s="37"/>
      <c r="EU19" s="37"/>
      <c r="EV19" s="37"/>
      <c r="EW19" s="37">
        <v>1924505.74</v>
      </c>
      <c r="EX19" s="37"/>
      <c r="EY19" s="37">
        <v>177771.81</v>
      </c>
      <c r="EZ19" s="37"/>
      <c r="FA19" s="37">
        <f>111501.33+360265.41+195603.6</f>
        <v>667370.34</v>
      </c>
      <c r="FC19" s="37"/>
      <c r="FD19" s="37"/>
      <c r="FE19" s="195">
        <v>734759.06</v>
      </c>
      <c r="FF19" s="37"/>
      <c r="FG19" s="37"/>
      <c r="FH19" s="37"/>
      <c r="FI19" s="37"/>
      <c r="FJ19" s="440">
        <v>186323.15</v>
      </c>
      <c r="FK19" s="37">
        <v>158224.84</v>
      </c>
      <c r="FL19" s="37"/>
      <c r="FM19" s="37"/>
      <c r="FN19" s="37"/>
      <c r="FO19" s="32">
        <f>2376926.13+235162.98</f>
        <v>2612089.11</v>
      </c>
      <c r="FP19" s="37"/>
      <c r="FQ19" s="37"/>
      <c r="FR19" s="37"/>
      <c r="FS19" s="37"/>
      <c r="FT19" s="37">
        <f>2908511.14-407.4</f>
        <v>2908103.74</v>
      </c>
      <c r="FU19" s="37"/>
      <c r="FV19" s="37"/>
      <c r="FW19" s="37"/>
      <c r="FX19" s="37"/>
      <c r="FY19" s="37">
        <v>368340.17</v>
      </c>
      <c r="FZ19" s="195"/>
      <c r="GA19" s="37"/>
      <c r="GB19" s="37"/>
      <c r="GC19" s="37">
        <f>1466940.64+487.75</f>
        <v>1467428.39</v>
      </c>
      <c r="GD19" s="37"/>
      <c r="GE19" s="37"/>
      <c r="GF19" s="37"/>
      <c r="GG19" s="37"/>
      <c r="GH19" s="37">
        <v>2266866.9</v>
      </c>
      <c r="GI19" s="37"/>
      <c r="GJ19" s="37"/>
      <c r="GK19" s="37"/>
      <c r="GL19" s="37"/>
      <c r="GM19" s="37">
        <v>2015951.7</v>
      </c>
      <c r="GN19" s="37"/>
      <c r="GO19" s="37"/>
      <c r="GP19" s="37"/>
      <c r="GQ19" s="37"/>
      <c r="GR19" s="37">
        <v>332455.74</v>
      </c>
      <c r="GS19" s="37"/>
      <c r="GT19" s="195"/>
      <c r="GU19" s="37"/>
      <c r="GV19" s="37">
        <v>4616933.8099999996</v>
      </c>
      <c r="GW19" s="37"/>
      <c r="GX19" s="37">
        <v>132567.51</v>
      </c>
      <c r="GY19" s="37"/>
      <c r="GZ19" s="37"/>
      <c r="HA19" s="37"/>
      <c r="HB19" s="37"/>
      <c r="HC19" s="37"/>
      <c r="HD19" s="37"/>
      <c r="HE19" s="37"/>
      <c r="HF19" s="37">
        <f>2046023.08+380801.99</f>
        <v>2426825.0700000003</v>
      </c>
      <c r="HG19" s="37"/>
      <c r="HH19" s="37"/>
      <c r="HI19" s="37"/>
      <c r="HJ19" s="37">
        <v>127168.84</v>
      </c>
      <c r="HK19" s="37"/>
      <c r="HL19" s="37"/>
      <c r="HM19" s="37"/>
      <c r="HN19" s="37"/>
      <c r="HO19" s="195">
        <f>530524.25+290616.86</f>
        <v>821141.11</v>
      </c>
      <c r="HP19" s="37">
        <v>124631.02</v>
      </c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>
        <v>6664562.6600000001</v>
      </c>
      <c r="IC19" s="37"/>
      <c r="ID19" s="37"/>
      <c r="IE19" s="37"/>
      <c r="IF19" s="37"/>
      <c r="IG19" s="37">
        <f>1793138.4+285681.02</f>
        <v>2078819.42</v>
      </c>
      <c r="IH19" s="37"/>
      <c r="II19" s="37"/>
      <c r="IJ19" s="195"/>
      <c r="IK19" s="37"/>
      <c r="IL19" s="37">
        <f>2192482.42+886242.06</f>
        <v>3078724.48</v>
      </c>
      <c r="IM19" s="37">
        <v>3703.48</v>
      </c>
      <c r="IN19" s="37"/>
      <c r="IO19" s="37"/>
      <c r="IP19" s="37">
        <v>519406.91</v>
      </c>
      <c r="IQ19" s="37"/>
      <c r="IR19" s="37"/>
      <c r="IS19" s="37"/>
      <c r="IT19" s="37"/>
      <c r="IU19" s="32"/>
    </row>
    <row r="20" spans="1:255" s="152" customFormat="1" ht="14.1" customHeight="1">
      <c r="A20" s="155" t="s">
        <v>31</v>
      </c>
      <c r="B20" s="155"/>
      <c r="C20" s="155"/>
      <c r="D20" s="155"/>
      <c r="E20" s="155"/>
      <c r="F20" s="155"/>
      <c r="G20" s="155"/>
      <c r="H20" s="155">
        <v>2600000</v>
      </c>
      <c r="I20" s="155">
        <v>140600000</v>
      </c>
      <c r="J20" s="155">
        <v>250000</v>
      </c>
      <c r="K20" s="155"/>
      <c r="L20" s="155">
        <v>52000000</v>
      </c>
      <c r="M20" s="238">
        <v>41800000</v>
      </c>
      <c r="N20" s="155"/>
      <c r="O20" s="155"/>
      <c r="P20" s="155"/>
      <c r="Q20" s="155"/>
      <c r="R20" s="155"/>
      <c r="S20" s="155">
        <v>2400000</v>
      </c>
      <c r="T20" s="155">
        <v>57900000</v>
      </c>
      <c r="U20" s="155"/>
      <c r="V20" s="158">
        <v>450000</v>
      </c>
      <c r="W20" s="158">
        <v>350000</v>
      </c>
      <c r="X20" s="155">
        <v>1300000</v>
      </c>
      <c r="Y20" s="155">
        <v>600000</v>
      </c>
      <c r="Z20" s="155">
        <v>0</v>
      </c>
      <c r="AA20" s="155">
        <v>16600000</v>
      </c>
      <c r="AB20" s="155">
        <v>0</v>
      </c>
      <c r="AC20" s="155">
        <v>0</v>
      </c>
      <c r="AD20" s="156"/>
      <c r="AE20" s="155"/>
      <c r="AF20" s="238">
        <v>67000000</v>
      </c>
      <c r="AG20" s="155"/>
      <c r="AH20" s="155">
        <v>700000</v>
      </c>
      <c r="AI20" s="155"/>
      <c r="AJ20" s="155">
        <v>1100000</v>
      </c>
      <c r="AK20" s="155"/>
      <c r="AL20" s="155">
        <v>2600000</v>
      </c>
      <c r="AM20" s="155"/>
      <c r="AN20" s="155"/>
      <c r="AO20" s="155"/>
      <c r="AP20" s="155"/>
      <c r="AQ20" s="155">
        <v>2600000</v>
      </c>
      <c r="AR20" s="155"/>
      <c r="AS20" s="155">
        <v>2900000</v>
      </c>
      <c r="AT20" s="155"/>
      <c r="AU20" s="155">
        <v>200000</v>
      </c>
      <c r="AV20" s="155">
        <v>15600000</v>
      </c>
      <c r="AW20" s="155"/>
      <c r="AX20" s="155">
        <v>300000</v>
      </c>
      <c r="AY20" s="155">
        <v>500000</v>
      </c>
      <c r="AZ20" s="155"/>
      <c r="BA20" s="155"/>
      <c r="BB20" s="155"/>
      <c r="BC20" s="238">
        <v>68700000</v>
      </c>
      <c r="BD20" s="155">
        <v>700000</v>
      </c>
      <c r="BE20" s="155">
        <v>4200000</v>
      </c>
      <c r="BF20" s="155">
        <v>5000000</v>
      </c>
      <c r="BG20" s="155"/>
      <c r="BH20" s="155"/>
      <c r="BI20" s="155"/>
      <c r="BJ20" s="155">
        <v>500000</v>
      </c>
      <c r="BK20" s="155"/>
      <c r="BL20" s="155">
        <v>700000</v>
      </c>
      <c r="BM20" s="155">
        <v>1400000</v>
      </c>
      <c r="BN20" s="155">
        <v>3400000</v>
      </c>
      <c r="BO20" s="155">
        <v>4600000</v>
      </c>
      <c r="BP20" s="155">
        <v>2600000</v>
      </c>
      <c r="BQ20" s="155"/>
      <c r="BR20" s="155">
        <v>8200000</v>
      </c>
      <c r="BS20" s="155">
        <v>1000000</v>
      </c>
      <c r="BT20" s="155">
        <v>400000</v>
      </c>
      <c r="BU20" s="155">
        <v>100000</v>
      </c>
      <c r="BV20" s="155"/>
      <c r="BW20" s="155">
        <v>800000</v>
      </c>
      <c r="BX20" s="155">
        <v>100000</v>
      </c>
      <c r="BY20" s="238">
        <v>70500000</v>
      </c>
      <c r="BZ20" s="155">
        <v>1600000</v>
      </c>
      <c r="CA20" s="155">
        <v>400000</v>
      </c>
      <c r="CB20" s="155">
        <v>9600000</v>
      </c>
      <c r="CC20" s="155">
        <v>100000</v>
      </c>
      <c r="CD20" s="155"/>
      <c r="CE20" s="155"/>
      <c r="CF20" s="155"/>
      <c r="CG20" s="155">
        <v>1400000</v>
      </c>
      <c r="CH20" s="155">
        <v>5300000</v>
      </c>
      <c r="CI20" s="155">
        <v>600000</v>
      </c>
      <c r="CJ20" s="155"/>
      <c r="CK20" s="155">
        <v>700000</v>
      </c>
      <c r="CL20" s="155">
        <v>350000</v>
      </c>
      <c r="CM20" s="155">
        <v>16000000</v>
      </c>
      <c r="CN20" s="155">
        <v>750000</v>
      </c>
      <c r="CO20" s="155">
        <v>800000</v>
      </c>
      <c r="CP20" s="155">
        <v>250000</v>
      </c>
      <c r="CQ20" s="155"/>
      <c r="CR20" s="155"/>
      <c r="CS20" s="238">
        <v>64900000</v>
      </c>
      <c r="CT20" s="155">
        <v>850000</v>
      </c>
      <c r="CU20" s="155">
        <v>100000</v>
      </c>
      <c r="CV20" s="155">
        <v>1600000</v>
      </c>
      <c r="CW20" s="155"/>
      <c r="CX20" s="155">
        <v>1900000</v>
      </c>
      <c r="CY20" s="155">
        <v>1200000</v>
      </c>
      <c r="CZ20" s="155">
        <v>1150000</v>
      </c>
      <c r="DA20" s="155"/>
      <c r="DB20" s="155">
        <v>2650000</v>
      </c>
      <c r="DC20" s="155">
        <v>950000</v>
      </c>
      <c r="DD20" s="155">
        <v>14800000</v>
      </c>
      <c r="DE20" s="155">
        <v>1400000</v>
      </c>
      <c r="DF20" s="155"/>
      <c r="DG20" s="155"/>
      <c r="DH20" s="155"/>
      <c r="DI20" s="155">
        <v>200000</v>
      </c>
      <c r="DJ20" s="155">
        <v>300000</v>
      </c>
      <c r="DK20" s="155">
        <v>1800000</v>
      </c>
      <c r="DL20" s="155">
        <v>150000</v>
      </c>
      <c r="DM20" s="155"/>
      <c r="DN20" s="238">
        <v>65000000</v>
      </c>
      <c r="DO20" s="155">
        <v>500000</v>
      </c>
      <c r="DP20" s="155">
        <v>7350000</v>
      </c>
      <c r="DQ20" s="155">
        <v>1050000</v>
      </c>
      <c r="DR20" s="155">
        <v>1350000</v>
      </c>
      <c r="DS20" s="155">
        <v>1200000</v>
      </c>
      <c r="DT20" s="155">
        <v>2800000</v>
      </c>
      <c r="DU20" s="155">
        <v>2800000</v>
      </c>
      <c r="DV20" s="155"/>
      <c r="DW20" s="155"/>
      <c r="DX20" s="155">
        <v>1950000</v>
      </c>
      <c r="DY20" s="155"/>
      <c r="DZ20" s="155">
        <v>4100000</v>
      </c>
      <c r="EA20" s="155">
        <v>150000</v>
      </c>
      <c r="EB20" s="155"/>
      <c r="EC20" s="155">
        <v>1650000</v>
      </c>
      <c r="ED20" s="155"/>
      <c r="EE20" s="155">
        <v>2350000</v>
      </c>
      <c r="EF20" s="158"/>
      <c r="EG20" s="158">
        <v>100000</v>
      </c>
      <c r="EH20" s="155">
        <v>1800000</v>
      </c>
      <c r="EI20" s="155"/>
      <c r="EJ20" s="252">
        <v>65350000</v>
      </c>
      <c r="EK20" s="336"/>
      <c r="EL20" s="155"/>
      <c r="EM20" s="155">
        <v>1900000</v>
      </c>
      <c r="EN20" s="155">
        <v>450000</v>
      </c>
      <c r="EO20" s="155">
        <v>2100000</v>
      </c>
      <c r="EP20" s="155">
        <v>4100000</v>
      </c>
      <c r="EQ20" s="155"/>
      <c r="ER20" s="155">
        <v>2750000</v>
      </c>
      <c r="ES20" s="155">
        <v>250000</v>
      </c>
      <c r="ET20" s="155">
        <v>950000</v>
      </c>
      <c r="EU20" s="155">
        <v>3550000</v>
      </c>
      <c r="EV20" s="155">
        <v>2400000</v>
      </c>
      <c r="EW20" s="155"/>
      <c r="EX20" s="155">
        <v>100000</v>
      </c>
      <c r="EY20" s="155"/>
      <c r="EZ20" s="155">
        <v>1300000</v>
      </c>
      <c r="FA20" s="155"/>
      <c r="FB20" s="158">
        <v>1500000</v>
      </c>
      <c r="FC20" s="155">
        <v>300000</v>
      </c>
      <c r="FD20" s="155">
        <v>1500000</v>
      </c>
      <c r="FE20" s="238"/>
      <c r="FF20" s="155">
        <v>1200000</v>
      </c>
      <c r="FG20" s="155">
        <v>600000</v>
      </c>
      <c r="FH20" s="155"/>
      <c r="FI20" s="155">
        <v>4500000</v>
      </c>
      <c r="FJ20" s="238">
        <v>350000</v>
      </c>
      <c r="FK20" s="155">
        <v>1800000</v>
      </c>
      <c r="FL20" s="155"/>
      <c r="FM20" s="155"/>
      <c r="FN20" s="155">
        <v>4300000</v>
      </c>
      <c r="FO20" s="155">
        <v>33250000</v>
      </c>
      <c r="FP20" s="155"/>
      <c r="FQ20" s="155">
        <v>350000</v>
      </c>
      <c r="FR20" s="155">
        <v>3900000</v>
      </c>
      <c r="FS20" s="155">
        <v>3400000</v>
      </c>
      <c r="FT20" s="155">
        <v>16250000</v>
      </c>
      <c r="FU20" s="155">
        <v>350000</v>
      </c>
      <c r="FV20" s="155">
        <v>300000</v>
      </c>
      <c r="FW20" s="155">
        <v>100000</v>
      </c>
      <c r="FX20" s="155">
        <v>3000000</v>
      </c>
      <c r="FY20" s="155"/>
      <c r="FZ20" s="238"/>
      <c r="GA20" s="155">
        <v>6850000</v>
      </c>
      <c r="GB20" s="155"/>
      <c r="GC20" s="155"/>
      <c r="GD20" s="155">
        <v>1900000</v>
      </c>
      <c r="GE20" s="155"/>
      <c r="GF20" s="155"/>
      <c r="GG20" s="155"/>
      <c r="GH20" s="155"/>
      <c r="GI20" s="155"/>
      <c r="GJ20" s="155">
        <v>150000</v>
      </c>
      <c r="GK20" s="155">
        <v>22700000</v>
      </c>
      <c r="GL20" s="155">
        <v>1750000</v>
      </c>
      <c r="GM20" s="155"/>
      <c r="GN20" s="155">
        <v>400000</v>
      </c>
      <c r="GO20" s="155"/>
      <c r="GP20" s="155">
        <v>14500000</v>
      </c>
      <c r="GQ20" s="155">
        <v>600000</v>
      </c>
      <c r="GR20" s="155"/>
      <c r="GS20" s="155">
        <v>900000</v>
      </c>
      <c r="GT20" s="238">
        <v>13400000</v>
      </c>
      <c r="GU20" s="155">
        <v>1950000</v>
      </c>
      <c r="GV20" s="155"/>
      <c r="GW20" s="155">
        <v>2700000</v>
      </c>
      <c r="GX20" s="155"/>
      <c r="GY20" s="155"/>
      <c r="GZ20" s="155">
        <v>7750000</v>
      </c>
      <c r="HA20" s="155"/>
      <c r="HB20" s="155">
        <v>250000</v>
      </c>
      <c r="HC20" s="155"/>
      <c r="HD20" s="155"/>
      <c r="HE20" s="155"/>
      <c r="HF20" s="155"/>
      <c r="HG20" s="155"/>
      <c r="HH20" s="155">
        <v>11150000</v>
      </c>
      <c r="HI20" s="155">
        <v>3700000</v>
      </c>
      <c r="HJ20" s="155"/>
      <c r="HK20" s="155"/>
      <c r="HL20" s="155"/>
      <c r="HM20" s="155">
        <v>600000</v>
      </c>
      <c r="HN20" s="155"/>
      <c r="HO20" s="238">
        <v>17050000</v>
      </c>
      <c r="HP20" s="155"/>
      <c r="HQ20" s="155"/>
      <c r="HR20" s="155"/>
      <c r="HS20" s="155"/>
      <c r="HT20" s="155"/>
      <c r="HU20" s="155"/>
      <c r="HV20" s="155"/>
      <c r="HW20" s="155">
        <v>1000000</v>
      </c>
      <c r="HX20" s="155"/>
      <c r="HY20" s="155"/>
      <c r="HZ20" s="155"/>
      <c r="IA20" s="155">
        <v>300000</v>
      </c>
      <c r="IB20" s="155"/>
      <c r="IC20" s="155"/>
      <c r="ID20" s="155"/>
      <c r="IE20" s="155"/>
      <c r="IF20" s="155"/>
      <c r="IG20" s="155"/>
      <c r="IH20" s="155"/>
      <c r="II20" s="155"/>
      <c r="IJ20" s="238">
        <v>25700000</v>
      </c>
      <c r="IK20" s="155"/>
      <c r="IL20" s="155"/>
      <c r="IM20" s="155">
        <v>900000</v>
      </c>
      <c r="IN20" s="155"/>
      <c r="IO20" s="155"/>
      <c r="IP20" s="155"/>
      <c r="IQ20" s="155"/>
      <c r="IR20" s="155"/>
      <c r="IS20" s="155"/>
      <c r="IT20" s="155"/>
      <c r="IU20" s="155"/>
    </row>
    <row r="21" spans="1:255" s="152" customFormat="1" ht="14.1" customHeight="1">
      <c r="A21" s="155" t="s">
        <v>141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238"/>
      <c r="N21" s="155"/>
      <c r="O21" s="155"/>
      <c r="P21" s="155"/>
      <c r="Q21" s="155"/>
      <c r="R21" s="155"/>
      <c r="S21" s="155"/>
      <c r="T21" s="155"/>
      <c r="U21" s="155"/>
      <c r="V21" s="158"/>
      <c r="W21" s="158"/>
      <c r="X21" s="155"/>
      <c r="Y21" s="155"/>
      <c r="Z21" s="155"/>
      <c r="AA21" s="155"/>
      <c r="AB21" s="155"/>
      <c r="AC21" s="155"/>
      <c r="AD21" s="159"/>
      <c r="AE21" s="155"/>
      <c r="AF21" s="238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238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238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373" t="s">
        <v>142</v>
      </c>
      <c r="CP21" s="155">
        <v>0</v>
      </c>
      <c r="CQ21" s="155">
        <v>0</v>
      </c>
      <c r="CR21" s="155"/>
      <c r="CS21" s="238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>
        <v>25000000</v>
      </c>
      <c r="DN21" s="238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>
        <v>20000000</v>
      </c>
      <c r="EE21" s="155"/>
      <c r="EF21" s="155"/>
      <c r="EG21" s="158"/>
      <c r="EH21" s="155"/>
      <c r="EI21" s="155"/>
      <c r="EJ21" s="252"/>
      <c r="EK21" s="336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>
        <v>15500000</v>
      </c>
      <c r="EZ21" s="155"/>
      <c r="FA21" s="155"/>
      <c r="FB21" s="155"/>
      <c r="FC21" s="155"/>
      <c r="FD21" s="155"/>
      <c r="FE21" s="238">
        <v>66700000</v>
      </c>
      <c r="FF21" s="155"/>
      <c r="FG21" s="155"/>
      <c r="FH21" s="155"/>
      <c r="FI21" s="155"/>
      <c r="FJ21" s="238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238">
        <v>59700000</v>
      </c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238">
        <v>55000000</v>
      </c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238">
        <v>40900000</v>
      </c>
      <c r="HP21" s="155"/>
      <c r="HQ21" s="155"/>
      <c r="HR21" s="155">
        <v>6400000</v>
      </c>
      <c r="HS21" s="155"/>
      <c r="HT21" s="155"/>
      <c r="HU21" s="155"/>
      <c r="HV21" s="155"/>
      <c r="HW21" s="155"/>
      <c r="HX21" s="155"/>
      <c r="HY21" s="155">
        <v>9350000</v>
      </c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238">
        <v>25000000</v>
      </c>
      <c r="IK21" s="155"/>
      <c r="IL21" s="155"/>
      <c r="IM21" s="155">
        <v>79200000</v>
      </c>
      <c r="IN21" s="155"/>
      <c r="IO21" s="155"/>
      <c r="IP21" s="155"/>
      <c r="IQ21" s="155"/>
      <c r="IR21" s="155"/>
      <c r="IS21" s="155"/>
      <c r="IT21" s="155"/>
      <c r="IU21" s="155"/>
    </row>
    <row r="22" spans="1:255" s="38" customFormat="1" ht="14.1" customHeight="1">
      <c r="A22" s="32" t="s">
        <v>57</v>
      </c>
      <c r="B22" s="32"/>
      <c r="C22" s="155"/>
      <c r="D22" s="32"/>
      <c r="E22" s="32"/>
      <c r="F22" s="32"/>
      <c r="G22" s="32"/>
      <c r="H22" s="32"/>
      <c r="I22" s="32"/>
      <c r="J22" s="32"/>
      <c r="K22" s="32"/>
      <c r="L22" s="32">
        <v>15000000</v>
      </c>
      <c r="M22" s="123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5"/>
      <c r="AE22" s="32"/>
      <c r="AF22" s="123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>
        <v>30000000</v>
      </c>
      <c r="BC22" s="123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>
        <v>10000000</v>
      </c>
      <c r="BW22" s="32"/>
      <c r="BX22" s="32"/>
      <c r="BY22" s="123"/>
      <c r="BZ22" s="32"/>
      <c r="CA22" s="32"/>
      <c r="CB22" s="32"/>
      <c r="CC22" s="32"/>
      <c r="CD22" s="32"/>
      <c r="CE22" s="32">
        <v>8000000</v>
      </c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>
        <v>30000000</v>
      </c>
      <c r="CR22" s="32"/>
      <c r="CS22" s="123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>
        <v>7970000</v>
      </c>
      <c r="DN22" s="123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123"/>
      <c r="EK22" s="333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123"/>
      <c r="FF22" s="32"/>
      <c r="FG22" s="32"/>
      <c r="FH22" s="32"/>
      <c r="FI22" s="32"/>
      <c r="FJ22" s="436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123">
        <v>5000000</v>
      </c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123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123">
        <v>5000000</v>
      </c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123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</row>
    <row r="23" spans="1:255" s="38" customFormat="1" ht="14.1" customHeight="1">
      <c r="A23" s="32" t="s">
        <v>35</v>
      </c>
      <c r="B23" s="32"/>
      <c r="C23" s="155"/>
      <c r="D23" s="32"/>
      <c r="E23" s="32"/>
      <c r="F23" s="32"/>
      <c r="G23" s="32"/>
      <c r="H23" s="32"/>
      <c r="I23" s="32"/>
      <c r="J23" s="32"/>
      <c r="K23" s="32"/>
      <c r="L23" s="32">
        <v>10000000</v>
      </c>
      <c r="M23" s="123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123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123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>
        <v>12000000</v>
      </c>
      <c r="BW23" s="32"/>
      <c r="BX23" s="32"/>
      <c r="BY23" s="123"/>
      <c r="BZ23" s="32"/>
      <c r="CA23" s="32"/>
      <c r="CB23" s="32"/>
      <c r="CC23" s="32"/>
      <c r="CD23" s="32"/>
      <c r="CE23" s="32">
        <v>8000000</v>
      </c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>
        <v>17000000</v>
      </c>
      <c r="CR23" s="32"/>
      <c r="CS23" s="123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>
        <v>3080000</v>
      </c>
      <c r="DN23" s="123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123"/>
      <c r="EK23" s="333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123"/>
      <c r="FF23" s="32"/>
      <c r="FG23" s="32"/>
      <c r="FH23" s="32"/>
      <c r="FI23" s="32"/>
      <c r="FJ23" s="436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>
        <v>5000000</v>
      </c>
      <c r="FZ23" s="123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123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123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123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</row>
    <row r="24" spans="1:255" s="38" customFormat="1" ht="14.1" customHeight="1">
      <c r="A24" s="32" t="s">
        <v>32</v>
      </c>
      <c r="B24" s="32"/>
      <c r="C24" s="155"/>
      <c r="D24" s="32"/>
      <c r="E24" s="32"/>
      <c r="F24" s="32"/>
      <c r="G24" s="32"/>
      <c r="H24" s="32"/>
      <c r="I24" s="32"/>
      <c r="J24" s="32"/>
      <c r="K24" s="32"/>
      <c r="L24" s="32">
        <v>10000000</v>
      </c>
      <c r="M24" s="123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>
        <f>1725235.85+930477.25+150926.95</f>
        <v>2806640.0500000003</v>
      </c>
      <c r="AD24" s="32"/>
      <c r="AE24" s="32"/>
      <c r="AF24" s="123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>
        <v>5000000</v>
      </c>
      <c r="BC24" s="123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>
        <v>15000000</v>
      </c>
      <c r="BW24" s="32"/>
      <c r="BX24" s="32"/>
      <c r="BY24" s="123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>
        <v>18000000</v>
      </c>
      <c r="CR24" s="32"/>
      <c r="CS24" s="123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>
        <v>3100000</v>
      </c>
      <c r="DN24" s="123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123"/>
      <c r="EK24" s="333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123"/>
      <c r="FF24" s="32"/>
      <c r="FG24" s="32"/>
      <c r="FH24" s="32"/>
      <c r="FI24" s="32"/>
      <c r="FJ24" s="436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123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123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>
        <v>5000000</v>
      </c>
      <c r="HO24" s="123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123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</row>
    <row r="25" spans="1:255" s="38" customFormat="1" ht="14.1" customHeight="1">
      <c r="A25" s="32" t="s">
        <v>33</v>
      </c>
      <c r="B25" s="32"/>
      <c r="C25" s="155"/>
      <c r="D25" s="32"/>
      <c r="E25" s="32"/>
      <c r="F25" s="32"/>
      <c r="G25" s="32"/>
      <c r="H25" s="32"/>
      <c r="I25" s="32"/>
      <c r="J25" s="32"/>
      <c r="K25" s="32"/>
      <c r="L25" s="32">
        <v>10000000</v>
      </c>
      <c r="M25" s="123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123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>
        <v>30000000</v>
      </c>
      <c r="BC25" s="123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>
        <v>13000000</v>
      </c>
      <c r="BW25" s="32"/>
      <c r="BX25" s="32"/>
      <c r="BY25" s="123"/>
      <c r="BZ25" s="32"/>
      <c r="CA25" s="32"/>
      <c r="CB25" s="32"/>
      <c r="CC25" s="32"/>
      <c r="CD25" s="32"/>
      <c r="CE25" s="32">
        <v>8000000</v>
      </c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>
        <v>17000000</v>
      </c>
      <c r="CR25" s="32"/>
      <c r="CS25" s="123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>
        <v>3180000</v>
      </c>
      <c r="DN25" s="123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123"/>
      <c r="EK25" s="333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123"/>
      <c r="FF25" s="32"/>
      <c r="FG25" s="32"/>
      <c r="FH25" s="32"/>
      <c r="FI25" s="32"/>
      <c r="FJ25" s="436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123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123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123">
        <v>5000000</v>
      </c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123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</row>
    <row r="26" spans="1:255" s="38" customFormat="1" ht="14.1" customHeight="1">
      <c r="A26" s="33" t="s">
        <v>34</v>
      </c>
      <c r="B26" s="53"/>
      <c r="C26" s="157"/>
      <c r="D26" s="33"/>
      <c r="E26" s="33"/>
      <c r="F26" s="33"/>
      <c r="G26" s="33"/>
      <c r="H26" s="33"/>
      <c r="I26" s="33"/>
      <c r="J26" s="33"/>
      <c r="K26" s="33"/>
      <c r="L26" s="33">
        <v>15000000</v>
      </c>
      <c r="M26" s="197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>
        <v>581806.02</v>
      </c>
      <c r="AD26" s="33"/>
      <c r="AE26" s="33"/>
      <c r="AF26" s="197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197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>
        <v>20000000</v>
      </c>
      <c r="BW26" s="33"/>
      <c r="BX26" s="33"/>
      <c r="BY26" s="197"/>
      <c r="BZ26" s="33"/>
      <c r="CA26" s="33"/>
      <c r="CB26" s="33"/>
      <c r="CC26" s="33"/>
      <c r="CD26" s="33"/>
      <c r="CE26" s="33">
        <v>10000000</v>
      </c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>
        <v>38000000</v>
      </c>
      <c r="CR26" s="33"/>
      <c r="CS26" s="197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>
        <v>2670000</v>
      </c>
      <c r="DN26" s="197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197"/>
      <c r="EK26" s="334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197"/>
      <c r="FF26" s="33"/>
      <c r="FG26" s="33"/>
      <c r="FH26" s="33"/>
      <c r="FI26" s="33"/>
      <c r="FJ26" s="439"/>
      <c r="FK26" s="33"/>
      <c r="FL26" s="202"/>
      <c r="FM26" s="33"/>
      <c r="FN26" s="33"/>
      <c r="FO26" s="33"/>
      <c r="FP26" s="33">
        <v>5000000</v>
      </c>
      <c r="FQ26" s="33"/>
      <c r="FR26" s="33"/>
      <c r="FS26" s="33"/>
      <c r="FT26" s="33"/>
      <c r="FU26" s="33"/>
      <c r="FV26" s="33"/>
      <c r="FW26" s="33"/>
      <c r="FX26" s="33"/>
      <c r="FY26" s="33">
        <v>5000000</v>
      </c>
      <c r="FZ26" s="22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22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202"/>
      <c r="HN26" s="33"/>
      <c r="HO26" s="197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202"/>
      <c r="IG26" s="33"/>
      <c r="IH26" s="33"/>
      <c r="II26" s="33"/>
      <c r="IJ26" s="197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2"/>
    </row>
    <row r="27" spans="1:255" s="42" customFormat="1" ht="13.5" customHeight="1" thickBot="1">
      <c r="A27" s="43" t="s">
        <v>8</v>
      </c>
      <c r="B27" s="43"/>
      <c r="C27" s="43">
        <f t="shared" ref="C27:BN27" si="5">SUM(C8:C26)</f>
        <v>18566011.800000001</v>
      </c>
      <c r="D27" s="43">
        <f t="shared" si="5"/>
        <v>31861634.719999999</v>
      </c>
      <c r="E27" s="43">
        <f t="shared" si="5"/>
        <v>39253438.049999997</v>
      </c>
      <c r="F27" s="43">
        <f t="shared" si="5"/>
        <v>51077592.640000008</v>
      </c>
      <c r="G27" s="43">
        <f t="shared" si="5"/>
        <v>39445264.349999994</v>
      </c>
      <c r="H27" s="43">
        <f t="shared" si="5"/>
        <v>18033891.729999997</v>
      </c>
      <c r="I27" s="43">
        <f t="shared" si="5"/>
        <v>151931073.56</v>
      </c>
      <c r="J27" s="43">
        <f t="shared" si="5"/>
        <v>1648074.71</v>
      </c>
      <c r="K27" s="43">
        <f t="shared" si="5"/>
        <v>43857707.950000003</v>
      </c>
      <c r="L27" s="43">
        <f t="shared" si="5"/>
        <v>127925259.84</v>
      </c>
      <c r="M27" s="65">
        <f t="shared" si="5"/>
        <v>69818655.849999994</v>
      </c>
      <c r="N27" s="43">
        <f t="shared" si="5"/>
        <v>34639369.339999996</v>
      </c>
      <c r="O27" s="43">
        <f t="shared" si="5"/>
        <v>11985817.130000001</v>
      </c>
      <c r="P27" s="43">
        <f t="shared" si="5"/>
        <v>29300268.419999998</v>
      </c>
      <c r="Q27" s="43">
        <f t="shared" si="5"/>
        <v>13792091.800000001</v>
      </c>
      <c r="R27" s="43">
        <f t="shared" si="5"/>
        <v>21920246.759999998</v>
      </c>
      <c r="S27" s="43">
        <f t="shared" si="5"/>
        <v>7026637.6099999994</v>
      </c>
      <c r="T27" s="43">
        <f t="shared" si="5"/>
        <v>63859031.740000002</v>
      </c>
      <c r="U27" s="43">
        <f t="shared" si="5"/>
        <v>3040533.95</v>
      </c>
      <c r="V27" s="43">
        <f t="shared" si="5"/>
        <v>1418817.29</v>
      </c>
      <c r="W27" s="43">
        <f t="shared" si="5"/>
        <v>3036839.68</v>
      </c>
      <c r="X27" s="43">
        <f t="shared" si="5"/>
        <v>2863732.4099999997</v>
      </c>
      <c r="Y27" s="43">
        <f t="shared" si="5"/>
        <v>1875214.6500000001</v>
      </c>
      <c r="Z27" s="43">
        <f t="shared" si="5"/>
        <v>2676768.9899999998</v>
      </c>
      <c r="AA27" s="43">
        <f t="shared" si="5"/>
        <v>19287420.010000002</v>
      </c>
      <c r="AB27" s="43">
        <f t="shared" si="5"/>
        <v>12133185.060000001</v>
      </c>
      <c r="AC27" s="43">
        <f t="shared" si="5"/>
        <v>7421026.4299999997</v>
      </c>
      <c r="AD27" s="43">
        <f t="shared" si="5"/>
        <v>1119962.6599999999</v>
      </c>
      <c r="AE27" s="43">
        <f t="shared" si="5"/>
        <v>920539.9</v>
      </c>
      <c r="AF27" s="65">
        <f t="shared" si="5"/>
        <v>68082801.370000005</v>
      </c>
      <c r="AG27" s="43">
        <f t="shared" si="5"/>
        <v>5620165.8200000003</v>
      </c>
      <c r="AH27" s="43">
        <f t="shared" si="5"/>
        <v>2635390.3199999998</v>
      </c>
      <c r="AI27" s="43">
        <f t="shared" si="5"/>
        <v>1130979.4700000002</v>
      </c>
      <c r="AJ27" s="43">
        <f t="shared" si="5"/>
        <v>1379784.46</v>
      </c>
      <c r="AK27" s="43">
        <f t="shared" si="5"/>
        <v>7790078.8499999996</v>
      </c>
      <c r="AL27" s="43">
        <f t="shared" si="5"/>
        <v>3180797.2</v>
      </c>
      <c r="AM27" s="43">
        <f t="shared" si="5"/>
        <v>1525745.2999999998</v>
      </c>
      <c r="AN27" s="43">
        <f t="shared" si="5"/>
        <v>8014823.2100000009</v>
      </c>
      <c r="AO27" s="43">
        <f t="shared" si="5"/>
        <v>1765903.6900000002</v>
      </c>
      <c r="AP27" s="43">
        <f t="shared" si="5"/>
        <v>1774396.2400000002</v>
      </c>
      <c r="AQ27" s="43">
        <f t="shared" si="5"/>
        <v>3206083.07</v>
      </c>
      <c r="AR27" s="43">
        <f t="shared" si="5"/>
        <v>1686676.68</v>
      </c>
      <c r="AS27" s="43">
        <f t="shared" si="5"/>
        <v>3786596.71</v>
      </c>
      <c r="AT27" s="43">
        <f t="shared" si="5"/>
        <v>2075602.2300000002</v>
      </c>
      <c r="AU27" s="43">
        <f t="shared" si="5"/>
        <v>3091290.39</v>
      </c>
      <c r="AV27" s="43">
        <f t="shared" si="5"/>
        <v>16620166.6</v>
      </c>
      <c r="AW27" s="43">
        <f t="shared" si="5"/>
        <v>4745239.04</v>
      </c>
      <c r="AX27" s="43">
        <f t="shared" si="5"/>
        <v>1743944.46</v>
      </c>
      <c r="AY27" s="43">
        <f t="shared" si="5"/>
        <v>1382204.77</v>
      </c>
      <c r="AZ27" s="43">
        <f t="shared" si="5"/>
        <v>1457354.9800000002</v>
      </c>
      <c r="BA27" s="43">
        <f t="shared" si="5"/>
        <v>5103401.0399999991</v>
      </c>
      <c r="BB27" s="43">
        <f t="shared" si="5"/>
        <v>72496075.390000001</v>
      </c>
      <c r="BC27" s="65">
        <f t="shared" si="5"/>
        <v>68976367.379999995</v>
      </c>
      <c r="BD27" s="43">
        <f t="shared" si="5"/>
        <v>1113166.6299999999</v>
      </c>
      <c r="BE27" s="43">
        <f t="shared" si="5"/>
        <v>4768594.76</v>
      </c>
      <c r="BF27" s="43">
        <f t="shared" si="5"/>
        <v>5320599.4000000004</v>
      </c>
      <c r="BG27" s="43">
        <f t="shared" si="5"/>
        <v>611874.03</v>
      </c>
      <c r="BH27" s="43">
        <f t="shared" si="5"/>
        <v>7310972.6999999993</v>
      </c>
      <c r="BI27" s="43">
        <f t="shared" si="5"/>
        <v>1202263.03</v>
      </c>
      <c r="BJ27" s="43">
        <f t="shared" si="5"/>
        <v>1519285.6600000001</v>
      </c>
      <c r="BK27" s="43">
        <f t="shared" si="5"/>
        <v>4866865.75</v>
      </c>
      <c r="BL27" s="43">
        <f t="shared" si="5"/>
        <v>1238401.95</v>
      </c>
      <c r="BM27" s="43">
        <f t="shared" si="5"/>
        <v>1599983.66</v>
      </c>
      <c r="BN27" s="43">
        <f t="shared" si="5"/>
        <v>4170282.24</v>
      </c>
      <c r="BO27" s="43">
        <f t="shared" ref="BO27:DZ27" si="6">SUM(BO8:BO26)</f>
        <v>5162833.78</v>
      </c>
      <c r="BP27" s="43">
        <f t="shared" si="6"/>
        <v>3507472.98</v>
      </c>
      <c r="BQ27" s="43">
        <f t="shared" si="6"/>
        <v>2208192.34</v>
      </c>
      <c r="BR27" s="43">
        <f t="shared" si="6"/>
        <v>15674948.049999999</v>
      </c>
      <c r="BS27" s="43">
        <f t="shared" si="6"/>
        <v>1540241</v>
      </c>
      <c r="BT27" s="43">
        <f t="shared" si="6"/>
        <v>1195089.5</v>
      </c>
      <c r="BU27" s="43">
        <f t="shared" si="6"/>
        <v>1195421.5699999996</v>
      </c>
      <c r="BV27" s="43">
        <f t="shared" si="6"/>
        <v>70562009.680000007</v>
      </c>
      <c r="BW27" s="43">
        <f t="shared" si="6"/>
        <v>1384616.72</v>
      </c>
      <c r="BX27" s="43">
        <f t="shared" si="6"/>
        <v>1495425.07</v>
      </c>
      <c r="BY27" s="65">
        <f t="shared" si="6"/>
        <v>72147236.260000005</v>
      </c>
      <c r="BZ27" s="43">
        <f t="shared" si="6"/>
        <v>2022836.71</v>
      </c>
      <c r="CA27" s="43">
        <f t="shared" si="6"/>
        <v>1320639.3599999999</v>
      </c>
      <c r="CB27" s="43">
        <f t="shared" si="6"/>
        <v>9834200.8900000006</v>
      </c>
      <c r="CC27" s="43">
        <f t="shared" si="6"/>
        <v>465636.82999999996</v>
      </c>
      <c r="CD27" s="43">
        <f t="shared" si="6"/>
        <v>9003318.4199999999</v>
      </c>
      <c r="CE27" s="43">
        <f t="shared" si="6"/>
        <v>39109824.450000003</v>
      </c>
      <c r="CF27" s="43">
        <f t="shared" si="6"/>
        <v>3514868.29</v>
      </c>
      <c r="CG27" s="43">
        <f t="shared" si="6"/>
        <v>1960696.5499999998</v>
      </c>
      <c r="CH27" s="43">
        <f t="shared" si="6"/>
        <v>6401113.7200000007</v>
      </c>
      <c r="CI27" s="43">
        <f t="shared" si="6"/>
        <v>3408106.92</v>
      </c>
      <c r="CJ27" s="43">
        <f t="shared" si="6"/>
        <v>2749081.99</v>
      </c>
      <c r="CK27" s="43">
        <f t="shared" si="6"/>
        <v>1517601.58</v>
      </c>
      <c r="CL27" s="43">
        <f t="shared" si="6"/>
        <v>894752.07000000007</v>
      </c>
      <c r="CM27" s="43">
        <f t="shared" si="6"/>
        <v>18619724.300000001</v>
      </c>
      <c r="CN27" s="43">
        <f t="shared" si="6"/>
        <v>1549237.99</v>
      </c>
      <c r="CO27" s="43">
        <f t="shared" si="6"/>
        <v>1540152.9</v>
      </c>
      <c r="CP27" s="43">
        <f t="shared" si="6"/>
        <v>2189743.46</v>
      </c>
      <c r="CQ27" s="43">
        <f t="shared" si="6"/>
        <v>121818195.98999999</v>
      </c>
      <c r="CR27" s="43">
        <f t="shared" si="6"/>
        <v>7940252.4800000004</v>
      </c>
      <c r="CS27" s="65">
        <f t="shared" si="6"/>
        <v>65738724.759999998</v>
      </c>
      <c r="CT27" s="43">
        <f t="shared" si="6"/>
        <v>2660618.46</v>
      </c>
      <c r="CU27" s="43">
        <f t="shared" si="6"/>
        <v>3129195.2199999997</v>
      </c>
      <c r="CV27" s="43">
        <f t="shared" si="6"/>
        <v>2127197.56</v>
      </c>
      <c r="CW27" s="43">
        <f t="shared" si="6"/>
        <v>7461536.4200000009</v>
      </c>
      <c r="CX27" s="43">
        <f t="shared" si="6"/>
        <v>2464922.7599999998</v>
      </c>
      <c r="CY27" s="43">
        <f t="shared" si="6"/>
        <v>2151675.2999999998</v>
      </c>
      <c r="CZ27" s="43">
        <f t="shared" si="6"/>
        <v>1410163.02</v>
      </c>
      <c r="DA27" s="43">
        <f t="shared" si="6"/>
        <v>7528808.4500000002</v>
      </c>
      <c r="DB27" s="43">
        <f t="shared" si="6"/>
        <v>7259417.8899999997</v>
      </c>
      <c r="DC27" s="43">
        <f t="shared" si="6"/>
        <v>1329804.56</v>
      </c>
      <c r="DD27" s="43">
        <f t="shared" si="6"/>
        <v>15379525.300000001</v>
      </c>
      <c r="DE27" s="43">
        <f t="shared" si="6"/>
        <v>2376162.4</v>
      </c>
      <c r="DF27" s="43">
        <f t="shared" si="6"/>
        <v>2046817.88</v>
      </c>
      <c r="DG27" s="43">
        <f t="shared" si="6"/>
        <v>11006291.300000001</v>
      </c>
      <c r="DH27" s="43">
        <f t="shared" si="6"/>
        <v>1463504.17</v>
      </c>
      <c r="DI27" s="43">
        <f t="shared" si="6"/>
        <v>575564.90999999992</v>
      </c>
      <c r="DJ27" s="43">
        <f t="shared" si="6"/>
        <v>832513.79</v>
      </c>
      <c r="DK27" s="43">
        <f t="shared" si="6"/>
        <v>2534788.48</v>
      </c>
      <c r="DL27" s="43">
        <f t="shared" si="6"/>
        <v>400619.62</v>
      </c>
      <c r="DM27" s="43">
        <f t="shared" si="6"/>
        <v>46827587.68</v>
      </c>
      <c r="DN27" s="65">
        <f t="shared" si="6"/>
        <v>73780877.480000004</v>
      </c>
      <c r="DO27" s="43">
        <f t="shared" si="6"/>
        <v>912568.31</v>
      </c>
      <c r="DP27" s="43">
        <f t="shared" si="6"/>
        <v>7434578.2599999998</v>
      </c>
      <c r="DQ27" s="43">
        <f t="shared" si="6"/>
        <v>1639662.81</v>
      </c>
      <c r="DR27" s="43">
        <f t="shared" si="6"/>
        <v>4383127.62</v>
      </c>
      <c r="DS27" s="43">
        <f t="shared" si="6"/>
        <v>3127564.9800000004</v>
      </c>
      <c r="DT27" s="43">
        <f t="shared" si="6"/>
        <v>3040995.33</v>
      </c>
      <c r="DU27" s="43">
        <f t="shared" si="6"/>
        <v>5340694.41</v>
      </c>
      <c r="DV27" s="43">
        <f t="shared" si="6"/>
        <v>3914840.65</v>
      </c>
      <c r="DW27" s="43">
        <f t="shared" si="6"/>
        <v>10708174.250000002</v>
      </c>
      <c r="DX27" s="43">
        <f t="shared" si="6"/>
        <v>5179674.2300000004</v>
      </c>
      <c r="DY27" s="43">
        <f t="shared" si="6"/>
        <v>327133.87999999995</v>
      </c>
      <c r="DZ27" s="43">
        <f t="shared" si="6"/>
        <v>4410560.67</v>
      </c>
      <c r="EA27" s="43">
        <f t="shared" ref="EA27:GL27" si="7">SUM(EA8:EA26)</f>
        <v>985772.99000000011</v>
      </c>
      <c r="EB27" s="43">
        <f t="shared" si="7"/>
        <v>6761488.4299999997</v>
      </c>
      <c r="EC27" s="43">
        <f t="shared" si="7"/>
        <v>3279986.75</v>
      </c>
      <c r="ED27" s="43">
        <f t="shared" si="7"/>
        <v>21862083.489999998</v>
      </c>
      <c r="EE27" s="43">
        <f t="shared" si="7"/>
        <v>2690603.69</v>
      </c>
      <c r="EF27" s="43">
        <f t="shared" si="7"/>
        <v>102001.21</v>
      </c>
      <c r="EG27" s="43">
        <f t="shared" si="7"/>
        <v>491848.07549999992</v>
      </c>
      <c r="EH27" s="43">
        <f t="shared" si="7"/>
        <v>1936234.55</v>
      </c>
      <c r="EI27" s="43">
        <f t="shared" si="7"/>
        <v>9689120.1099999994</v>
      </c>
      <c r="EJ27" s="65">
        <f t="shared" si="7"/>
        <v>65843344.630000003</v>
      </c>
      <c r="EK27" s="335">
        <f t="shared" si="7"/>
        <v>9716094.3000000007</v>
      </c>
      <c r="EL27" s="43">
        <f t="shared" si="7"/>
        <v>14738710.670000002</v>
      </c>
      <c r="EM27" s="43">
        <f t="shared" si="7"/>
        <v>3596891.06</v>
      </c>
      <c r="EN27" s="43">
        <f t="shared" si="7"/>
        <v>597712.48</v>
      </c>
      <c r="EO27" s="43">
        <f t="shared" si="7"/>
        <v>2333848.7200000002</v>
      </c>
      <c r="EP27" s="43">
        <f t="shared" si="7"/>
        <v>4220093.76</v>
      </c>
      <c r="EQ27" s="43">
        <f t="shared" si="7"/>
        <v>74346344.289999992</v>
      </c>
      <c r="ER27" s="43">
        <f t="shared" si="7"/>
        <v>2968552.6</v>
      </c>
      <c r="ES27" s="43">
        <f t="shared" si="7"/>
        <v>558439.03</v>
      </c>
      <c r="ET27" s="43">
        <f t="shared" si="7"/>
        <v>1477205.56</v>
      </c>
      <c r="EU27" s="43">
        <f t="shared" si="7"/>
        <v>4067056.63</v>
      </c>
      <c r="EV27" s="43">
        <f t="shared" si="7"/>
        <v>3475120.68</v>
      </c>
      <c r="EW27" s="43">
        <f t="shared" si="7"/>
        <v>2134799.5299999998</v>
      </c>
      <c r="EX27" s="43">
        <f t="shared" si="7"/>
        <v>352449.35</v>
      </c>
      <c r="EY27" s="43">
        <f t="shared" si="7"/>
        <v>16656189.07</v>
      </c>
      <c r="EZ27" s="43">
        <f t="shared" si="7"/>
        <v>2060935.13</v>
      </c>
      <c r="FA27" s="43">
        <f t="shared" si="7"/>
        <v>804815.37</v>
      </c>
      <c r="FB27" s="43">
        <f t="shared" si="7"/>
        <v>1717561.03</v>
      </c>
      <c r="FC27" s="43">
        <f t="shared" si="7"/>
        <v>575874.93999999994</v>
      </c>
      <c r="FD27" s="43">
        <f t="shared" si="7"/>
        <v>1710078.19</v>
      </c>
      <c r="FE27" s="65">
        <f t="shared" si="7"/>
        <v>67740126.849999994</v>
      </c>
      <c r="FF27" s="43">
        <f t="shared" si="7"/>
        <v>1509143.76</v>
      </c>
      <c r="FG27" s="43">
        <f t="shared" si="7"/>
        <v>825631.87</v>
      </c>
      <c r="FH27" s="43">
        <f t="shared" si="7"/>
        <v>13284989.6</v>
      </c>
      <c r="FI27" s="43">
        <f t="shared" si="7"/>
        <v>4778606.21</v>
      </c>
      <c r="FJ27" s="65">
        <f t="shared" si="7"/>
        <v>820255.64</v>
      </c>
      <c r="FK27" s="43">
        <f t="shared" si="7"/>
        <v>2550027.2199999997</v>
      </c>
      <c r="FL27" s="43">
        <f t="shared" si="7"/>
        <v>2974819.89</v>
      </c>
      <c r="FM27" s="43">
        <f t="shared" si="7"/>
        <v>123618681.23999999</v>
      </c>
      <c r="FN27" s="43">
        <f t="shared" si="7"/>
        <v>5968725.2300000004</v>
      </c>
      <c r="FO27" s="43">
        <f t="shared" si="7"/>
        <v>36507268.109999999</v>
      </c>
      <c r="FP27" s="43">
        <f t="shared" si="7"/>
        <v>5445716.5</v>
      </c>
      <c r="FQ27" s="43">
        <f t="shared" si="7"/>
        <v>943286.53</v>
      </c>
      <c r="FR27" s="43">
        <f t="shared" si="7"/>
        <v>4374125.93</v>
      </c>
      <c r="FS27" s="43">
        <f t="shared" si="7"/>
        <v>3560809.18</v>
      </c>
      <c r="FT27" s="43">
        <f t="shared" si="7"/>
        <v>20552939.629999999</v>
      </c>
      <c r="FU27" s="43">
        <f t="shared" si="7"/>
        <v>1307263.68</v>
      </c>
      <c r="FV27" s="43">
        <f t="shared" si="7"/>
        <v>4729209.0900000008</v>
      </c>
      <c r="FW27" s="43">
        <f t="shared" si="7"/>
        <v>684143.33000000007</v>
      </c>
      <c r="FX27" s="43">
        <f t="shared" si="7"/>
        <v>3860647.4000000004</v>
      </c>
      <c r="FY27" s="43">
        <f t="shared" si="7"/>
        <v>11885495.960000001</v>
      </c>
      <c r="FZ27" s="65">
        <f t="shared" si="7"/>
        <v>69421025.909999996</v>
      </c>
      <c r="GA27" s="43">
        <f t="shared" si="7"/>
        <v>8079295.46</v>
      </c>
      <c r="GB27" s="43">
        <f t="shared" si="7"/>
        <v>3895929.96</v>
      </c>
      <c r="GC27" s="43">
        <f t="shared" si="7"/>
        <v>2965376.38</v>
      </c>
      <c r="GD27" s="43">
        <f t="shared" si="7"/>
        <v>2869583.16</v>
      </c>
      <c r="GE27" s="43">
        <f t="shared" si="7"/>
        <v>3247187.1700000009</v>
      </c>
      <c r="GF27" s="43">
        <f t="shared" si="7"/>
        <v>2884229.96</v>
      </c>
      <c r="GG27" s="43">
        <f t="shared" si="7"/>
        <v>91199310.959999993</v>
      </c>
      <c r="GH27" s="43">
        <f t="shared" si="7"/>
        <v>3352345.44</v>
      </c>
      <c r="GI27" s="43">
        <f t="shared" si="7"/>
        <v>16643972.600000001</v>
      </c>
      <c r="GJ27" s="43">
        <f t="shared" si="7"/>
        <v>1766114.45</v>
      </c>
      <c r="GK27" s="43">
        <f t="shared" si="7"/>
        <v>24130207.140000001</v>
      </c>
      <c r="GL27" s="43">
        <f t="shared" si="7"/>
        <v>3067042.25</v>
      </c>
      <c r="GM27" s="43">
        <f t="shared" ref="GM27:IT27" si="8">SUM(GM8:GM26)</f>
        <v>4083576.4</v>
      </c>
      <c r="GN27" s="43">
        <f t="shared" si="8"/>
        <v>2382567.21</v>
      </c>
      <c r="GO27" s="43">
        <f t="shared" si="8"/>
        <v>5279607.6100000003</v>
      </c>
      <c r="GP27" s="43">
        <f t="shared" si="8"/>
        <v>15835377.82</v>
      </c>
      <c r="GQ27" s="43">
        <f t="shared" si="8"/>
        <v>2260123.09</v>
      </c>
      <c r="GR27" s="43">
        <f t="shared" si="8"/>
        <v>2079055.0199999998</v>
      </c>
      <c r="GS27" s="43">
        <f t="shared" si="8"/>
        <v>2257750.39</v>
      </c>
      <c r="GT27" s="65">
        <f t="shared" si="8"/>
        <v>69805202.319999993</v>
      </c>
      <c r="GU27" s="43">
        <f t="shared" si="8"/>
        <v>2836761.88</v>
      </c>
      <c r="GV27" s="43">
        <f t="shared" si="8"/>
        <v>7682219.6600000001</v>
      </c>
      <c r="GW27" s="43">
        <f t="shared" si="8"/>
        <v>3257507.59</v>
      </c>
      <c r="GX27" s="43">
        <f t="shared" si="8"/>
        <v>2423144.04</v>
      </c>
      <c r="GY27" s="43">
        <f t="shared" si="8"/>
        <v>1097123.72</v>
      </c>
      <c r="GZ27" s="43">
        <f t="shared" si="8"/>
        <v>9516756.7799999993</v>
      </c>
      <c r="HA27" s="43">
        <f t="shared" si="8"/>
        <v>1535777.8699999999</v>
      </c>
      <c r="HB27" s="43">
        <f t="shared" si="8"/>
        <v>1945914.25</v>
      </c>
      <c r="HC27" s="43">
        <f t="shared" si="8"/>
        <v>9968853.9600000009</v>
      </c>
      <c r="HD27" s="43">
        <f t="shared" si="8"/>
        <v>6187412.8999999994</v>
      </c>
      <c r="HE27" s="43">
        <f t="shared" si="8"/>
        <v>1116420.04</v>
      </c>
      <c r="HF27" s="43">
        <f t="shared" si="8"/>
        <v>4626768.01</v>
      </c>
      <c r="HG27" s="43">
        <f t="shared" si="8"/>
        <v>2518926.8000000003</v>
      </c>
      <c r="HH27" s="43">
        <f t="shared" si="8"/>
        <v>15414845.73</v>
      </c>
      <c r="HI27" s="43">
        <f t="shared" si="8"/>
        <v>5857754.8600000003</v>
      </c>
      <c r="HJ27" s="43">
        <f t="shared" si="8"/>
        <v>3637564.42</v>
      </c>
      <c r="HK27" s="43">
        <f t="shared" si="8"/>
        <v>11807529.42</v>
      </c>
      <c r="HL27" s="43">
        <f t="shared" si="8"/>
        <v>3466327.05</v>
      </c>
      <c r="HM27" s="43">
        <f t="shared" si="8"/>
        <v>4048711.45</v>
      </c>
      <c r="HN27" s="43">
        <f t="shared" si="8"/>
        <v>9394586.6500000004</v>
      </c>
      <c r="HO27" s="65">
        <f t="shared" si="8"/>
        <v>71836053.560000002</v>
      </c>
      <c r="HP27" s="43">
        <f t="shared" si="8"/>
        <v>6993974.5899999999</v>
      </c>
      <c r="HQ27" s="43">
        <f t="shared" si="8"/>
        <v>5447122.6799999997</v>
      </c>
      <c r="HR27" s="43">
        <f t="shared" si="8"/>
        <v>9812876.0199999996</v>
      </c>
      <c r="HS27" s="43">
        <f t="shared" si="8"/>
        <v>19737461.720000003</v>
      </c>
      <c r="HT27" s="43">
        <f t="shared" si="8"/>
        <v>17567508.720000003</v>
      </c>
      <c r="HU27" s="43">
        <f t="shared" si="8"/>
        <v>4082958.12</v>
      </c>
      <c r="HV27" s="43">
        <f t="shared" si="8"/>
        <v>31862791.100000001</v>
      </c>
      <c r="HW27" s="43">
        <f t="shared" si="8"/>
        <v>2005777.32</v>
      </c>
      <c r="HX27" s="43">
        <f t="shared" si="8"/>
        <v>6595252.7000000002</v>
      </c>
      <c r="HY27" s="43">
        <f t="shared" si="8"/>
        <v>18641819.149999999</v>
      </c>
      <c r="HZ27" s="43">
        <f t="shared" si="8"/>
        <v>15326421.699999999</v>
      </c>
      <c r="IA27" s="43">
        <f t="shared" si="8"/>
        <v>4799026.4999999991</v>
      </c>
      <c r="IB27" s="43">
        <f t="shared" si="8"/>
        <v>39954626.790000007</v>
      </c>
      <c r="IC27" s="43">
        <f t="shared" si="8"/>
        <v>31745967.43</v>
      </c>
      <c r="ID27" s="43">
        <f t="shared" si="8"/>
        <v>9905929.3200000003</v>
      </c>
      <c r="IE27" s="43">
        <f t="shared" si="8"/>
        <v>9247695.9499999993</v>
      </c>
      <c r="IF27" s="43">
        <f t="shared" si="8"/>
        <v>8751045.4000000004</v>
      </c>
      <c r="IG27" s="43">
        <f t="shared" si="8"/>
        <v>2661411.0199999996</v>
      </c>
      <c r="IH27" s="43">
        <f t="shared" si="8"/>
        <v>65819479.620000005</v>
      </c>
      <c r="II27" s="43">
        <f t="shared" si="8"/>
        <v>11983993.33</v>
      </c>
      <c r="IJ27" s="65">
        <f t="shared" si="8"/>
        <v>66451454.340000004</v>
      </c>
      <c r="IK27" s="43">
        <f t="shared" si="8"/>
        <v>8122844.9000000004</v>
      </c>
      <c r="IL27" s="43">
        <f t="shared" si="8"/>
        <v>16119477.65</v>
      </c>
      <c r="IM27" s="43">
        <f t="shared" si="8"/>
        <v>91841098.719999999</v>
      </c>
      <c r="IN27" s="43">
        <f t="shared" si="8"/>
        <v>20946394.929999996</v>
      </c>
      <c r="IO27" s="43">
        <f t="shared" si="8"/>
        <v>10751850.52</v>
      </c>
      <c r="IP27" s="43">
        <f t="shared" si="8"/>
        <v>20500161.59</v>
      </c>
      <c r="IQ27" s="43">
        <f t="shared" si="8"/>
        <v>17992404.690000001</v>
      </c>
      <c r="IR27" s="43">
        <f>SUM(IR8:IR26)</f>
        <v>34893241.120000005</v>
      </c>
      <c r="IS27" s="43">
        <f>SUM(IS8:IS26)</f>
        <v>30311370.849999998</v>
      </c>
      <c r="IT27" s="43">
        <f t="shared" si="8"/>
        <v>0</v>
      </c>
      <c r="IU27" s="43">
        <f>SUM(IU8:IV26)</f>
        <v>1616244920.2554994</v>
      </c>
    </row>
    <row r="28" spans="1:255" ht="14.1" customHeight="1" thickTop="1">
      <c r="A28" s="14"/>
      <c r="B28" s="14"/>
      <c r="C28" s="152"/>
      <c r="M28" s="213"/>
      <c r="AF28" s="213"/>
      <c r="BC28" s="213"/>
      <c r="BY28" s="213"/>
      <c r="CS28" s="213"/>
      <c r="CZ28" s="8"/>
      <c r="DN28" s="213"/>
      <c r="DR28" s="8"/>
      <c r="EB28" s="8"/>
      <c r="EH28" s="124"/>
      <c r="EJ28" s="213"/>
      <c r="EK28" s="140"/>
      <c r="EQ28" s="8"/>
      <c r="FD28" s="8"/>
      <c r="FE28" s="213"/>
      <c r="FJ28" s="213"/>
      <c r="FL28" s="212"/>
      <c r="FZ28" s="224"/>
      <c r="GT28" s="213"/>
      <c r="HK28" s="140"/>
      <c r="HL28" s="140"/>
      <c r="HM28" s="212"/>
      <c r="HO28" s="213"/>
      <c r="IF28" s="212"/>
      <c r="IJ28" s="213"/>
      <c r="IT28" s="8"/>
    </row>
    <row r="29" spans="1:255" ht="14.1" customHeight="1">
      <c r="A29" s="20" t="s">
        <v>9</v>
      </c>
      <c r="B29" s="20"/>
      <c r="C29" s="158"/>
      <c r="D29" s="3"/>
      <c r="E29" s="3"/>
      <c r="F29" s="3"/>
      <c r="G29" s="3"/>
      <c r="H29" s="3"/>
      <c r="I29" s="3"/>
      <c r="J29" s="3"/>
      <c r="K29" s="3"/>
      <c r="L29" s="3"/>
      <c r="M29" s="19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1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191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191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191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191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191"/>
      <c r="EK29" s="7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191"/>
      <c r="FF29" s="3"/>
      <c r="FG29" s="3"/>
      <c r="FH29" s="3"/>
      <c r="FI29" s="3"/>
      <c r="FJ29" s="229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91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191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191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191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ht="14.1" customHeight="1">
      <c r="A30" s="4" t="s">
        <v>13</v>
      </c>
      <c r="B30" s="12"/>
      <c r="C30" s="155"/>
      <c r="D30" s="4"/>
      <c r="E30" s="4"/>
      <c r="F30" s="4"/>
      <c r="G30" s="4"/>
      <c r="H30" s="4"/>
      <c r="I30" s="4"/>
      <c r="J30" s="4"/>
      <c r="K30" s="4"/>
      <c r="L30" s="4"/>
      <c r="M30" s="189"/>
      <c r="N30" s="4">
        <v>11388.67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>
        <f>+'FY-08, FEB-08 - Jan-09, DATA'!AB29*$V$75</f>
        <v>0</v>
      </c>
      <c r="AC30" s="4">
        <f>+'FY-08, FEB-08 - Jan-09, DATA'!AC29*$V$75</f>
        <v>0</v>
      </c>
      <c r="AD30" s="4"/>
      <c r="AE30" s="4"/>
      <c r="AF30" s="189"/>
      <c r="AG30" s="4">
        <v>12937.71</v>
      </c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>
        <v>27.25</v>
      </c>
      <c r="BA30" s="4"/>
      <c r="BB30" s="4"/>
      <c r="BC30" s="189">
        <f>8984.06+2838.25+124.69</f>
        <v>11947</v>
      </c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189">
        <v>13398.75</v>
      </c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>
        <f>-10386.64+11434.64</f>
        <v>1048</v>
      </c>
      <c r="CP30" s="4"/>
      <c r="CQ30" s="4"/>
      <c r="CR30" s="4"/>
      <c r="CS30" s="189">
        <v>14931.57</v>
      </c>
      <c r="CT30" s="4"/>
      <c r="CU30" s="4"/>
      <c r="CV30" s="4"/>
      <c r="CW30" s="4"/>
      <c r="CX30" s="4"/>
      <c r="CY30" s="4">
        <f>-11910.35-11434.64+11240.35+10764.64</f>
        <v>-1339.9999999999982</v>
      </c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189">
        <v>13137.3</v>
      </c>
      <c r="DO30" s="4"/>
      <c r="DP30" s="4"/>
      <c r="DQ30" s="4"/>
      <c r="DR30" s="4"/>
      <c r="DS30" s="4"/>
      <c r="DT30" s="4">
        <v>3640.62</v>
      </c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89"/>
      <c r="EK30" s="332">
        <v>15692.23</v>
      </c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89">
        <v>10714.13</v>
      </c>
      <c r="FF30" s="4"/>
      <c r="FG30" s="4"/>
      <c r="FH30" s="4"/>
      <c r="FI30" s="4"/>
      <c r="FJ30" s="189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89">
        <v>21757.5</v>
      </c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189"/>
      <c r="GU30" s="4">
        <v>20723.05</v>
      </c>
      <c r="GV30" s="4"/>
      <c r="GW30" s="4"/>
      <c r="GX30" s="4"/>
      <c r="GY30" s="4"/>
      <c r="GZ30" s="4"/>
      <c r="HA30" s="4"/>
      <c r="HB30" s="4">
        <f>34440.54-36520.9</f>
        <v>-2080.3600000000006</v>
      </c>
      <c r="HC30" s="4"/>
      <c r="HD30" s="4"/>
      <c r="HE30" s="4"/>
      <c r="HF30" s="4"/>
      <c r="HG30" s="4"/>
      <c r="HH30" s="4">
        <v>7266.01</v>
      </c>
      <c r="HI30" s="4">
        <f>5371.7-5491.7</f>
        <v>-120</v>
      </c>
      <c r="HJ30" s="4">
        <v>0</v>
      </c>
      <c r="HK30" s="4">
        <v>0</v>
      </c>
      <c r="HL30" s="4">
        <v>0</v>
      </c>
      <c r="HM30" s="4"/>
      <c r="HN30" s="4"/>
      <c r="HO30" s="189">
        <v>18184.349999999999</v>
      </c>
      <c r="HP30" s="4"/>
      <c r="HQ30" s="4"/>
      <c r="HR30" s="4"/>
      <c r="HS30" s="4"/>
      <c r="HT30" s="4"/>
      <c r="HU30" s="4">
        <f>-7266.01</f>
        <v>-7266.01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189">
        <v>16651.23</v>
      </c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>
        <f t="shared" ref="IU30:IU42" si="9">SUM(C30:IT30)</f>
        <v>182639</v>
      </c>
    </row>
    <row r="31" spans="1:255" ht="14.1" customHeight="1">
      <c r="A31" s="4" t="s">
        <v>85</v>
      </c>
      <c r="B31" s="12"/>
      <c r="C31" s="155"/>
      <c r="D31" s="4"/>
      <c r="E31" s="4"/>
      <c r="F31" s="4">
        <f>146793.59+1644.11</f>
        <v>148437.69999999998</v>
      </c>
      <c r="G31" s="4"/>
      <c r="H31" s="4"/>
      <c r="I31" s="4"/>
      <c r="J31" s="4"/>
      <c r="K31" s="4"/>
      <c r="L31" s="4"/>
      <c r="M31" s="189"/>
      <c r="N31" s="4">
        <v>1625.1</v>
      </c>
      <c r="O31" s="4"/>
      <c r="P31" s="4"/>
      <c r="Q31" s="4"/>
      <c r="R31" s="4"/>
      <c r="S31" s="4"/>
      <c r="T31" s="4"/>
      <c r="U31" s="4">
        <v>1675.1</v>
      </c>
      <c r="V31" s="4"/>
      <c r="W31" s="4"/>
      <c r="X31" s="4"/>
      <c r="Y31" s="4"/>
      <c r="Z31" s="4"/>
      <c r="AA31" s="4">
        <v>136140.09</v>
      </c>
      <c r="AB31" s="4">
        <f>+'FY-08, FEB-08 - Jan-09, DATA'!AB30*$V$75</f>
        <v>0</v>
      </c>
      <c r="AC31" s="4">
        <f>+'FY-08, FEB-08 - Jan-09, DATA'!AC30*$V$75</f>
        <v>0</v>
      </c>
      <c r="AD31" s="58"/>
      <c r="AE31" s="4"/>
      <c r="AF31" s="189"/>
      <c r="AG31" s="4">
        <v>1665.1</v>
      </c>
      <c r="AH31" s="4"/>
      <c r="AI31" s="4"/>
      <c r="AJ31" s="4"/>
      <c r="AK31" s="4"/>
      <c r="AL31" s="4"/>
      <c r="AM31" s="4"/>
      <c r="AN31" s="4"/>
      <c r="AO31" s="4"/>
      <c r="AP31" s="4"/>
      <c r="AQ31" s="4">
        <v>1665.1</v>
      </c>
      <c r="AR31" s="4"/>
      <c r="AS31" s="4"/>
      <c r="AT31" s="4"/>
      <c r="AU31" s="4"/>
      <c r="AV31" s="4">
        <v>128396.6</v>
      </c>
      <c r="AW31" s="58"/>
      <c r="AX31" s="4"/>
      <c r="AY31" s="4"/>
      <c r="AZ31" s="4"/>
      <c r="BA31" s="4"/>
      <c r="BB31" s="4"/>
      <c r="BC31" s="189"/>
      <c r="BD31" s="4"/>
      <c r="BE31" s="4"/>
      <c r="BF31" s="4">
        <v>1375.1</v>
      </c>
      <c r="BG31" s="4"/>
      <c r="BH31" s="4"/>
      <c r="BI31" s="4">
        <v>1578.79</v>
      </c>
      <c r="BJ31" s="4"/>
      <c r="BK31" s="4"/>
      <c r="BL31" s="4"/>
      <c r="BM31" s="4"/>
      <c r="BN31" s="4"/>
      <c r="BO31" s="4"/>
      <c r="BP31" s="4"/>
      <c r="BQ31" s="4"/>
      <c r="BR31" s="4"/>
      <c r="BS31" s="58">
        <v>129097.26</v>
      </c>
      <c r="BT31" s="4"/>
      <c r="BU31" s="4">
        <v>1720.1</v>
      </c>
      <c r="BV31" s="4"/>
      <c r="BW31" s="4"/>
      <c r="BX31" s="4"/>
      <c r="BY31" s="189"/>
      <c r="BZ31" s="4"/>
      <c r="CA31" s="4"/>
      <c r="CB31" s="4"/>
      <c r="CC31" s="4"/>
      <c r="CD31" s="4"/>
      <c r="CE31" s="4"/>
      <c r="CF31" s="4"/>
      <c r="CG31" s="4">
        <v>1720.1</v>
      </c>
      <c r="CH31" s="4"/>
      <c r="CI31" s="4"/>
      <c r="CJ31" s="4"/>
      <c r="CK31" s="4"/>
      <c r="CL31" s="58">
        <v>124499.76</v>
      </c>
      <c r="CM31" s="4"/>
      <c r="CN31" s="4"/>
      <c r="CO31" s="4"/>
      <c r="CP31" s="4"/>
      <c r="CQ31" s="4"/>
      <c r="CR31" s="4"/>
      <c r="CS31" s="189"/>
      <c r="CT31" s="4"/>
      <c r="CU31" s="4"/>
      <c r="CV31" s="4"/>
      <c r="CW31" s="4"/>
      <c r="CX31" s="4"/>
      <c r="CY31" s="4"/>
      <c r="CZ31" s="4">
        <v>1674.99</v>
      </c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189"/>
      <c r="DO31" s="58">
        <v>136224.29999999999</v>
      </c>
      <c r="DP31" s="4"/>
      <c r="DQ31" s="4">
        <v>1279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>
        <v>135062.29999999999</v>
      </c>
      <c r="EJ31" s="189"/>
      <c r="EK31" s="338"/>
      <c r="EL31" s="4"/>
      <c r="EM31" s="4"/>
      <c r="EN31" s="4"/>
      <c r="EO31" s="4"/>
      <c r="EP31" s="4">
        <v>1279</v>
      </c>
      <c r="EQ31" s="4"/>
      <c r="ER31" s="4"/>
      <c r="ES31" s="4"/>
      <c r="ET31" s="4"/>
      <c r="EU31" s="4">
        <v>1289</v>
      </c>
      <c r="EV31" s="4"/>
      <c r="EW31" s="4"/>
      <c r="EX31" s="4"/>
      <c r="EY31" s="58"/>
      <c r="EZ31" s="4">
        <v>139396.42000000001</v>
      </c>
      <c r="FA31" s="4"/>
      <c r="FB31" s="4"/>
      <c r="FC31" s="4"/>
      <c r="FD31" s="4"/>
      <c r="FE31" s="189"/>
      <c r="FF31" s="4"/>
      <c r="FG31" s="4">
        <v>1454</v>
      </c>
      <c r="FH31" s="4"/>
      <c r="FI31" s="4"/>
      <c r="FJ31" s="189"/>
      <c r="FK31" s="4"/>
      <c r="FL31" s="4"/>
      <c r="FM31" s="4"/>
      <c r="FN31" s="4"/>
      <c r="FO31" s="4"/>
      <c r="FP31" s="4"/>
      <c r="FQ31" s="4"/>
      <c r="FR31" s="4"/>
      <c r="FS31" s="4">
        <v>1525.42</v>
      </c>
      <c r="FT31" s="4"/>
      <c r="FU31" s="4"/>
      <c r="FV31" s="58">
        <v>125444.24</v>
      </c>
      <c r="FW31" s="4"/>
      <c r="FX31" s="4"/>
      <c r="FY31" s="4"/>
      <c r="FZ31" s="189">
        <v>1514</v>
      </c>
      <c r="GA31" s="4"/>
      <c r="GB31" s="4"/>
      <c r="GC31" s="4"/>
      <c r="GD31" s="4"/>
      <c r="GE31" s="4">
        <v>1534</v>
      </c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>
        <v>123927.6</v>
      </c>
      <c r="GQ31" s="4"/>
      <c r="GR31" s="58"/>
      <c r="GS31" s="4"/>
      <c r="GT31" s="189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>
        <v>1584</v>
      </c>
      <c r="HG31" s="4"/>
      <c r="HH31" s="58"/>
      <c r="HI31" s="4">
        <v>126776.4</v>
      </c>
      <c r="HJ31" s="4"/>
      <c r="HK31" s="4"/>
      <c r="HL31" s="4"/>
      <c r="HM31" s="4"/>
      <c r="HN31" s="4"/>
      <c r="HO31" s="189"/>
      <c r="HP31" s="4"/>
      <c r="HQ31" s="4"/>
      <c r="HR31" s="4">
        <v>1639</v>
      </c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>
        <v>121987.46</v>
      </c>
      <c r="IG31" s="4"/>
      <c r="IH31" s="4"/>
      <c r="II31" s="4"/>
      <c r="IJ31" s="189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>
        <f t="shared" si="9"/>
        <v>1603187.0299999996</v>
      </c>
    </row>
    <row r="32" spans="1:255" ht="14.1" customHeight="1">
      <c r="A32" s="4" t="s">
        <v>48</v>
      </c>
      <c r="B32" s="12"/>
      <c r="C32" s="155"/>
      <c r="D32" s="4"/>
      <c r="E32" s="4"/>
      <c r="F32" s="4"/>
      <c r="G32" s="4"/>
      <c r="H32" s="58">
        <v>14192701.109999999</v>
      </c>
      <c r="I32" s="4"/>
      <c r="J32" s="4"/>
      <c r="K32" s="4"/>
      <c r="L32" s="4"/>
      <c r="M32" s="189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55">
        <v>13617393.949999999</v>
      </c>
      <c r="AB32" s="4">
        <f>+'FY-08, FEB-08 - Jan-09, DATA'!AB31*$V$75</f>
        <v>0</v>
      </c>
      <c r="AC32" s="4">
        <f>+'FY-08, FEB-08 - Jan-09, DATA'!AC31*$V$75</f>
        <v>0</v>
      </c>
      <c r="AD32" s="4"/>
      <c r="AE32" s="4"/>
      <c r="AF32" s="189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155">
        <v>14098291.939999999</v>
      </c>
      <c r="AW32" s="4"/>
      <c r="AX32" s="4"/>
      <c r="AY32" s="4"/>
      <c r="AZ32" s="4"/>
      <c r="BA32" s="4"/>
      <c r="BB32" s="4"/>
      <c r="BC32" s="189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155">
        <v>14011092.67</v>
      </c>
      <c r="BS32" s="4"/>
      <c r="BT32" s="4"/>
      <c r="BU32" s="4"/>
      <c r="BV32" s="4"/>
      <c r="BW32" s="4"/>
      <c r="BX32" s="4"/>
      <c r="BY32" s="189"/>
      <c r="BZ32" s="4"/>
      <c r="CA32" s="4"/>
      <c r="CB32" s="4"/>
      <c r="CC32" s="4"/>
      <c r="CD32" s="4">
        <v>119454.22</v>
      </c>
      <c r="CE32" s="4"/>
      <c r="CF32" s="4"/>
      <c r="CG32" s="4"/>
      <c r="CH32" s="4"/>
      <c r="CI32" s="4"/>
      <c r="CJ32" s="4"/>
      <c r="CK32" s="4"/>
      <c r="CL32" s="4"/>
      <c r="CM32" s="155">
        <v>14348866.09</v>
      </c>
      <c r="CN32" s="4"/>
      <c r="CO32" s="4"/>
      <c r="CP32" s="4"/>
      <c r="CQ32" s="4"/>
      <c r="CR32" s="4"/>
      <c r="CS32" s="189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58">
        <v>13498719.99</v>
      </c>
      <c r="DE32" s="4"/>
      <c r="DF32" s="4"/>
      <c r="DG32" s="4"/>
      <c r="DH32" s="4"/>
      <c r="DI32" s="4"/>
      <c r="DJ32" s="4"/>
      <c r="DK32" s="4"/>
      <c r="DL32" s="4"/>
      <c r="DM32" s="4"/>
      <c r="DN32" s="189">
        <v>12458.13</v>
      </c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155">
        <v>13993135.58</v>
      </c>
      <c r="EE32" s="4"/>
      <c r="EF32" s="4"/>
      <c r="EG32" s="4"/>
      <c r="EH32" s="4"/>
      <c r="EI32" s="4"/>
      <c r="EJ32" s="189"/>
      <c r="EL32" s="4"/>
      <c r="EM32" s="4">
        <f>+'FY-08, FEB-08 - Jan-09, DATA'!EL31*$V$75</f>
        <v>2500000</v>
      </c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155">
        <v>13439072.890000001</v>
      </c>
      <c r="EZ32" s="4"/>
      <c r="FA32" s="4"/>
      <c r="FB32" s="4"/>
      <c r="FC32" s="4"/>
      <c r="FD32" s="4"/>
      <c r="FE32" s="189"/>
      <c r="FF32" s="4"/>
      <c r="FG32" s="4"/>
      <c r="FH32" s="4"/>
      <c r="FI32" s="4"/>
      <c r="FJ32" s="189"/>
      <c r="FK32" s="4"/>
      <c r="FL32" s="4"/>
      <c r="FM32" s="4"/>
      <c r="FN32" s="4"/>
      <c r="FO32" s="4"/>
      <c r="FP32" s="4"/>
      <c r="FQ32" s="4"/>
      <c r="FR32" s="4"/>
      <c r="FS32" s="4"/>
      <c r="FT32" s="155">
        <v>15211121.939999999</v>
      </c>
      <c r="FU32" s="4"/>
      <c r="FV32" s="4"/>
      <c r="FW32" s="4"/>
      <c r="FX32" s="4"/>
      <c r="FY32" s="4"/>
      <c r="FZ32" s="189"/>
      <c r="GA32" s="4"/>
      <c r="GB32" s="4"/>
      <c r="GC32" s="4"/>
      <c r="GD32" s="4"/>
      <c r="GE32" s="4"/>
      <c r="GF32" s="4"/>
      <c r="GG32" s="386"/>
      <c r="GI32" s="385">
        <v>11427384.720000001</v>
      </c>
      <c r="GJ32" s="4"/>
      <c r="GK32" s="4"/>
      <c r="GL32" s="4"/>
      <c r="GM32" s="4"/>
      <c r="GN32" s="4"/>
      <c r="GO32" s="4"/>
      <c r="GP32" s="155">
        <v>15464306.310000001</v>
      </c>
      <c r="GQ32" s="4"/>
      <c r="GR32" s="4"/>
      <c r="GS32" s="4"/>
      <c r="GT32" s="189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v>15002614.74</v>
      </c>
      <c r="HI32" s="4"/>
      <c r="HJ32" s="4"/>
      <c r="HK32" s="4"/>
      <c r="HL32" s="4"/>
      <c r="HM32" s="4"/>
      <c r="HN32" s="4"/>
      <c r="HO32" s="189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155">
        <v>15284098.890000001</v>
      </c>
      <c r="ID32" s="4"/>
      <c r="IE32" s="4"/>
      <c r="IF32" s="4"/>
      <c r="IG32" s="4"/>
      <c r="IH32" s="4"/>
      <c r="II32" s="4"/>
      <c r="IJ32" s="189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>
        <f t="shared" si="9"/>
        <v>186220713.17000002</v>
      </c>
    </row>
    <row r="33" spans="1:255" ht="14.1" customHeight="1">
      <c r="A33" s="4" t="s">
        <v>27</v>
      </c>
      <c r="B33" s="12"/>
      <c r="C33" s="155"/>
      <c r="D33" s="4"/>
      <c r="E33" s="4"/>
      <c r="F33" s="4"/>
      <c r="G33" s="4"/>
      <c r="H33" s="4">
        <v>111532.15</v>
      </c>
      <c r="I33" s="4"/>
      <c r="J33" s="4"/>
      <c r="K33" s="4">
        <v>270</v>
      </c>
      <c r="L33" s="4"/>
      <c r="M33" s="225">
        <v>1548062.81</v>
      </c>
      <c r="N33" s="4"/>
      <c r="O33" s="4"/>
      <c r="P33" s="4"/>
      <c r="Q33" s="4">
        <v>109556.42</v>
      </c>
      <c r="R33" s="4"/>
      <c r="S33" s="4"/>
      <c r="T33" s="4"/>
      <c r="U33" s="4"/>
      <c r="V33" s="4"/>
      <c r="W33" s="4"/>
      <c r="X33" s="4"/>
      <c r="Y33" s="4">
        <v>275</v>
      </c>
      <c r="Z33" s="4"/>
      <c r="AA33" s="58">
        <v>107521.27</v>
      </c>
      <c r="AB33" s="4">
        <v>0</v>
      </c>
      <c r="AC33" s="4">
        <f>+'FY-08, FEB-08 - Jan-09, DATA'!AC32*$V$75</f>
        <v>0</v>
      </c>
      <c r="AD33" s="4"/>
      <c r="AE33" s="4"/>
      <c r="AF33" s="238">
        <v>1543182.23</v>
      </c>
      <c r="AG33" s="4"/>
      <c r="AH33" s="4"/>
      <c r="AI33" s="4"/>
      <c r="AJ33" s="4"/>
      <c r="AK33" s="58">
        <v>108894.99</v>
      </c>
      <c r="AL33" s="4"/>
      <c r="AM33" s="4"/>
      <c r="AN33" s="4"/>
      <c r="AO33" s="4"/>
      <c r="AP33" s="4">
        <v>893.74</v>
      </c>
      <c r="AQ33" s="4"/>
      <c r="AR33" s="4"/>
      <c r="AS33" s="4"/>
      <c r="AT33" s="4"/>
      <c r="AU33" s="58">
        <v>107384.51</v>
      </c>
      <c r="AV33" s="4"/>
      <c r="AW33" s="4"/>
      <c r="AX33" s="4">
        <v>75</v>
      </c>
      <c r="AY33" s="4"/>
      <c r="AZ33" s="4"/>
      <c r="BA33" s="4"/>
      <c r="BB33" s="4"/>
      <c r="BC33" s="238">
        <f>1543762.82+2275.35</f>
        <v>1546038.1700000002</v>
      </c>
      <c r="BD33" s="4"/>
      <c r="BE33" s="58">
        <v>108672.4</v>
      </c>
      <c r="BF33" s="4"/>
      <c r="BG33" s="4"/>
      <c r="BH33" s="4"/>
      <c r="BI33" s="4"/>
      <c r="BJ33" s="4"/>
      <c r="BK33" s="4"/>
      <c r="BL33" s="4"/>
      <c r="BM33" s="4"/>
      <c r="BN33" s="4"/>
      <c r="BO33" s="58">
        <v>108440.43</v>
      </c>
      <c r="BQ33" s="4">
        <v>256.11</v>
      </c>
      <c r="BR33" s="4"/>
      <c r="BS33" s="4"/>
      <c r="BT33" s="4"/>
      <c r="BU33" s="4"/>
      <c r="BV33" s="4"/>
      <c r="BW33" s="4"/>
      <c r="BX33" s="4"/>
      <c r="BY33" s="238">
        <v>1655760.55</v>
      </c>
      <c r="BZ33" s="58">
        <v>1719.79</v>
      </c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>
        <v>50</v>
      </c>
      <c r="CQ33" s="4"/>
      <c r="CR33" s="58">
        <v>105741.6</v>
      </c>
      <c r="CS33" s="225">
        <v>1540483.9</v>
      </c>
      <c r="CT33" s="4"/>
      <c r="CU33" s="4"/>
      <c r="CV33" s="4">
        <v>544.20000000000005</v>
      </c>
      <c r="CW33" s="4"/>
      <c r="CX33" s="4"/>
      <c r="CY33" s="4"/>
      <c r="CZ33" s="4"/>
      <c r="DA33" s="4"/>
      <c r="DB33" s="58">
        <v>91891.61</v>
      </c>
      <c r="DC33" s="4"/>
      <c r="DD33" s="4"/>
      <c r="DE33" s="4"/>
      <c r="DF33" s="4"/>
      <c r="DG33" s="4"/>
      <c r="DH33" s="4"/>
      <c r="DI33" s="4"/>
      <c r="DJ33" s="4"/>
      <c r="DK33" s="58">
        <v>90372.41</v>
      </c>
      <c r="DL33" s="4"/>
      <c r="DM33" s="4">
        <v>851.5</v>
      </c>
      <c r="DN33" s="189">
        <v>1545708.38</v>
      </c>
      <c r="DO33" s="4"/>
      <c r="DP33" s="4"/>
      <c r="DQ33" s="4"/>
      <c r="DR33" s="4"/>
      <c r="DS33" s="4"/>
      <c r="DT33" s="4"/>
      <c r="DU33" s="58">
        <v>88089.74</v>
      </c>
      <c r="DV33" s="4"/>
      <c r="DW33" s="4">
        <v>1326</v>
      </c>
      <c r="DX33" s="4"/>
      <c r="DY33" s="4"/>
      <c r="DZ33" s="4"/>
      <c r="EA33" s="4">
        <v>150</v>
      </c>
      <c r="EB33" s="4"/>
      <c r="EC33" s="4">
        <v>202.21</v>
      </c>
      <c r="ED33" s="4"/>
      <c r="EE33" s="58">
        <v>88793.53</v>
      </c>
      <c r="EF33" s="4"/>
      <c r="EG33" s="4"/>
      <c r="EH33" s="4">
        <v>253.34</v>
      </c>
      <c r="EI33" s="4"/>
      <c r="EJ33" s="225">
        <v>1539974.08</v>
      </c>
      <c r="EK33" s="332"/>
      <c r="EL33" s="4">
        <f>1007.12+1329.24</f>
        <v>2336.36</v>
      </c>
      <c r="EM33" s="4"/>
      <c r="EN33" s="4"/>
      <c r="EO33" s="4">
        <v>91310.93</v>
      </c>
      <c r="EP33" s="4">
        <v>1416.86</v>
      </c>
      <c r="EQ33" s="4"/>
      <c r="ER33" s="4"/>
      <c r="ES33" s="4"/>
      <c r="ET33" s="4"/>
      <c r="EU33" s="4"/>
      <c r="EV33" s="4"/>
      <c r="EW33" s="4"/>
      <c r="EX33" s="4"/>
      <c r="EY33" s="58">
        <v>103991.63</v>
      </c>
      <c r="EZ33" s="4"/>
      <c r="FA33" s="4">
        <v>310</v>
      </c>
      <c r="FB33" s="4"/>
      <c r="FC33" s="4"/>
      <c r="FD33" s="4">
        <v>90</v>
      </c>
      <c r="FE33" s="238">
        <f>1491461.12+400</f>
        <v>1491861.12</v>
      </c>
      <c r="FF33" s="4">
        <v>325.14</v>
      </c>
      <c r="FG33" s="4">
        <v>250</v>
      </c>
      <c r="FH33" s="58">
        <f>102625.44+500</f>
        <v>103125.44</v>
      </c>
      <c r="FI33" s="4"/>
      <c r="FJ33" s="189"/>
      <c r="FK33" s="4">
        <v>2017.58</v>
      </c>
      <c r="FL33" s="4"/>
      <c r="FM33" s="4"/>
      <c r="FN33" s="4"/>
      <c r="FO33" s="4"/>
      <c r="FP33" s="4"/>
      <c r="FQ33" s="4">
        <v>136.46</v>
      </c>
      <c r="FR33" s="4">
        <v>103714.03</v>
      </c>
      <c r="FS33" s="4">
        <v>114.54</v>
      </c>
      <c r="FT33" s="4"/>
      <c r="FU33" s="4"/>
      <c r="FV33" s="4"/>
      <c r="FW33" s="4">
        <v>540.84</v>
      </c>
      <c r="FX33" s="4"/>
      <c r="FY33" s="4"/>
      <c r="FZ33" s="238">
        <v>1505028.19</v>
      </c>
      <c r="GA33" s="401">
        <v>104793.2</v>
      </c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388">
        <v>1615589.62</v>
      </c>
      <c r="GU33" s="4"/>
      <c r="GV33" s="4">
        <v>942.73</v>
      </c>
      <c r="GW33" s="4"/>
      <c r="GX33" s="4"/>
      <c r="GY33" s="4"/>
      <c r="GZ33" s="4"/>
      <c r="HA33" s="4"/>
      <c r="HB33" s="58">
        <v>105538.94</v>
      </c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58">
        <v>103198.5</v>
      </c>
      <c r="HN33" s="4"/>
      <c r="HO33" s="238">
        <v>1500499</v>
      </c>
      <c r="HP33" s="4"/>
      <c r="HQ33" s="4">
        <v>2539.23</v>
      </c>
      <c r="HR33" s="4"/>
      <c r="HS33" s="4"/>
      <c r="HT33" s="4"/>
      <c r="HU33" s="58">
        <v>105604.37</v>
      </c>
      <c r="HV33" s="4"/>
      <c r="HW33" s="4"/>
      <c r="HX33" s="4"/>
      <c r="HY33" s="4"/>
      <c r="HZ33" s="4"/>
      <c r="IA33" s="4"/>
      <c r="IB33" s="4"/>
      <c r="IC33" s="4"/>
      <c r="ID33" s="4"/>
      <c r="IE33" s="58">
        <v>88163.85</v>
      </c>
      <c r="IF33" s="4"/>
      <c r="IG33" s="4"/>
      <c r="II33" s="4"/>
      <c r="IJ33" s="238">
        <v>1502346.84</v>
      </c>
      <c r="IK33" s="4"/>
      <c r="IL33" s="4"/>
      <c r="IM33" s="4"/>
      <c r="IN33" s="58">
        <v>104341.22</v>
      </c>
      <c r="IO33" s="4"/>
      <c r="IP33" s="4"/>
      <c r="IQ33" s="4"/>
      <c r="IR33" s="4">
        <v>25</v>
      </c>
      <c r="IS33" s="4"/>
      <c r="IT33" s="4"/>
      <c r="IU33" s="4">
        <f t="shared" si="9"/>
        <v>20793119.690000001</v>
      </c>
    </row>
    <row r="34" spans="1:255" s="209" customFormat="1" ht="14.1" customHeight="1">
      <c r="A34" s="204" t="s">
        <v>78</v>
      </c>
      <c r="B34" s="211"/>
      <c r="C34" s="204"/>
      <c r="D34" s="204"/>
      <c r="E34" s="204"/>
      <c r="F34" s="204"/>
      <c r="G34" s="204"/>
      <c r="H34" s="204"/>
      <c r="I34" s="204"/>
      <c r="J34" s="204"/>
      <c r="K34" s="204"/>
      <c r="L34" s="204">
        <v>126906944.76000001</v>
      </c>
      <c r="M34" s="216">
        <v>3357462.5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>
        <f>+'FY-08, FEB-08 - Jan-09, DATA'!AB33*$V$75</f>
        <v>0</v>
      </c>
      <c r="AC34" s="204">
        <f>+'FY-08, FEB-08 - Jan-09, DATA'!AC33*$V$75</f>
        <v>0</v>
      </c>
      <c r="AD34" s="204"/>
      <c r="AE34" s="204"/>
      <c r="AF34" s="216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16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>
        <v>344321</v>
      </c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16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16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16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>
        <v>2447779.17</v>
      </c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16">
        <f>409850+5600</f>
        <v>415450</v>
      </c>
      <c r="EK34" s="337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16"/>
      <c r="FF34" s="204"/>
      <c r="FG34" s="204"/>
      <c r="FH34" s="204"/>
      <c r="FI34" s="204"/>
      <c r="FJ34" s="216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>
        <v>2917.81</v>
      </c>
      <c r="FW34" s="204"/>
      <c r="FX34" s="204"/>
      <c r="FY34" s="204"/>
      <c r="FZ34" s="216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16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16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16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  <c r="IU34" s="204">
        <f t="shared" si="9"/>
        <v>133474875.24000001</v>
      </c>
    </row>
    <row r="35" spans="1:255" ht="14.1" customHeight="1">
      <c r="A35" s="4" t="s">
        <v>84</v>
      </c>
      <c r="B35" s="12"/>
      <c r="C35" s="155"/>
      <c r="D35" s="4"/>
      <c r="E35" s="4"/>
      <c r="F35" s="4"/>
      <c r="G35" s="4"/>
      <c r="H35" s="4"/>
      <c r="I35" s="4">
        <f>3921.82+3672.03</f>
        <v>7593.85</v>
      </c>
      <c r="J35" s="4"/>
      <c r="K35" s="4"/>
      <c r="L35" s="4"/>
      <c r="M35" s="189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>
        <f>+'FY-08, FEB-08 - Jan-09, DATA'!AB34*$V$75</f>
        <v>0</v>
      </c>
      <c r="AC35" s="4">
        <f>4682.63+590.27</f>
        <v>5272.9</v>
      </c>
      <c r="AD35" s="4"/>
      <c r="AE35" s="4"/>
      <c r="AF35" s="189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>
        <v>1637.57</v>
      </c>
      <c r="AY35" s="4"/>
      <c r="AZ35" s="4"/>
      <c r="BA35" s="4"/>
      <c r="BB35" s="4"/>
      <c r="BC35" s="189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>
        <v>1625</v>
      </c>
      <c r="BW35" s="4"/>
      <c r="BX35" s="4">
        <v>2659.07</v>
      </c>
      <c r="BY35" s="189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>
        <f>3179.29+3109.45</f>
        <v>6288.74</v>
      </c>
      <c r="CO35" s="4"/>
      <c r="CP35" s="4"/>
      <c r="CQ35" s="4"/>
      <c r="CR35" s="4"/>
      <c r="CS35" s="189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189">
        <f>8920.63+3142.38</f>
        <v>12063.009999999998</v>
      </c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89"/>
      <c r="EK35" s="332"/>
      <c r="EL35" s="4"/>
      <c r="EM35" s="4"/>
      <c r="EN35" s="4"/>
      <c r="EO35" s="4"/>
      <c r="EP35" s="4">
        <v>2601.23</v>
      </c>
      <c r="EQ35" s="4"/>
      <c r="ER35" s="4"/>
      <c r="ES35" s="4"/>
      <c r="ET35" s="4"/>
      <c r="EU35" s="4"/>
      <c r="EV35" s="4"/>
      <c r="EW35" s="4"/>
      <c r="EX35" s="4"/>
      <c r="EY35" s="4"/>
      <c r="EZ35" s="4">
        <v>5194.59</v>
      </c>
      <c r="FA35" s="4"/>
      <c r="FB35" s="4"/>
      <c r="FC35" s="4"/>
      <c r="FD35" s="4">
        <v>1305.22</v>
      </c>
      <c r="FE35" s="189"/>
      <c r="FF35" s="4"/>
      <c r="FG35" s="4"/>
      <c r="FH35" s="4"/>
      <c r="FI35" s="4"/>
      <c r="FJ35" s="189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189"/>
      <c r="GA35" s="4">
        <v>1305.22</v>
      </c>
      <c r="GB35" s="4"/>
      <c r="GC35" s="4"/>
      <c r="GD35" s="4"/>
      <c r="GE35" s="4">
        <v>3540.4</v>
      </c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>
        <v>6543.56</v>
      </c>
      <c r="GQ35" s="4"/>
      <c r="GR35" s="4"/>
      <c r="GS35" s="4">
        <f>5708.75+3125</f>
        <v>8833.75</v>
      </c>
      <c r="GT35" s="189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>
        <v>1200.74</v>
      </c>
      <c r="HL35" s="4"/>
      <c r="HM35" s="4"/>
      <c r="HN35" s="4"/>
      <c r="HO35" s="189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189"/>
      <c r="IK35" s="4"/>
      <c r="IL35" s="4"/>
      <c r="IM35" s="4">
        <v>2021.77</v>
      </c>
      <c r="IN35" s="4"/>
      <c r="IO35" s="4"/>
      <c r="IP35" s="4"/>
      <c r="IQ35" s="4"/>
      <c r="IR35" s="4"/>
      <c r="IS35" s="4"/>
      <c r="IT35" s="4"/>
      <c r="IU35" s="4">
        <f t="shared" si="9"/>
        <v>69686.620000000024</v>
      </c>
    </row>
    <row r="36" spans="1:255" ht="14.1" customHeight="1">
      <c r="A36" s="4" t="s">
        <v>10</v>
      </c>
      <c r="B36" s="12"/>
      <c r="C36" s="155">
        <v>5486.14</v>
      </c>
      <c r="D36" s="4"/>
      <c r="E36" s="4">
        <v>22259.02</v>
      </c>
      <c r="F36" s="4"/>
      <c r="G36" s="4"/>
      <c r="H36" s="4">
        <f>315966.02+2161.25</f>
        <v>318127.27</v>
      </c>
      <c r="I36" s="4"/>
      <c r="J36" s="4"/>
      <c r="K36" s="4">
        <v>764.64</v>
      </c>
      <c r="L36" s="4"/>
      <c r="M36" s="225">
        <f>9237176.16+28754.2</f>
        <v>9265930.3599999994</v>
      </c>
      <c r="N36" s="4"/>
      <c r="O36" s="4">
        <v>37241.42</v>
      </c>
      <c r="P36" s="4"/>
      <c r="Q36" s="4"/>
      <c r="R36" s="4">
        <v>378682.4</v>
      </c>
      <c r="S36" s="4"/>
      <c r="T36" s="4">
        <v>5576.99</v>
      </c>
      <c r="U36" s="4">
        <v>17791.38</v>
      </c>
      <c r="V36" s="4"/>
      <c r="W36" s="4"/>
      <c r="X36" s="4"/>
      <c r="Y36" s="4"/>
      <c r="Z36" s="4"/>
      <c r="AA36" s="58">
        <v>377958.46</v>
      </c>
      <c r="AB36" s="4">
        <f>+'FY-08, FEB-08 - Jan-09, DATA'!AB35*$V$75</f>
        <v>0</v>
      </c>
      <c r="AC36" s="4">
        <v>0</v>
      </c>
      <c r="AD36" s="4">
        <v>3617.62</v>
      </c>
      <c r="AE36" s="4"/>
      <c r="AF36" s="238">
        <v>9434043.0999999996</v>
      </c>
      <c r="AG36" s="4"/>
      <c r="AH36" s="4"/>
      <c r="AI36" s="4"/>
      <c r="AJ36" s="4"/>
      <c r="AK36" s="58">
        <v>380356.85</v>
      </c>
      <c r="AL36" s="4"/>
      <c r="AM36" s="4"/>
      <c r="AN36" s="4"/>
      <c r="AO36" s="4">
        <v>4651.8900000000003</v>
      </c>
      <c r="AP36" s="4"/>
      <c r="AQ36" s="4"/>
      <c r="AR36" s="4"/>
      <c r="AS36" s="4"/>
      <c r="AT36" s="4"/>
      <c r="AU36" s="58">
        <v>234843.18</v>
      </c>
      <c r="AV36" s="4"/>
      <c r="AW36" s="4"/>
      <c r="AX36" s="4">
        <v>3238.61</v>
      </c>
      <c r="AY36" s="4"/>
      <c r="AZ36" s="4">
        <v>2168.2800000000002</v>
      </c>
      <c r="BA36" s="4"/>
      <c r="BB36" s="4"/>
      <c r="BC36" s="238">
        <v>8845754.3300000001</v>
      </c>
      <c r="BD36" s="4"/>
      <c r="BE36" s="58">
        <v>320121.32</v>
      </c>
      <c r="BF36" s="4">
        <v>20000</v>
      </c>
      <c r="BH36" s="4"/>
      <c r="BI36" s="4"/>
      <c r="BJ36" s="4">
        <v>5220.09</v>
      </c>
      <c r="BK36" s="4"/>
      <c r="BL36" s="4">
        <v>48267.48</v>
      </c>
      <c r="BM36" s="4"/>
      <c r="BN36" s="4"/>
      <c r="BO36" s="58">
        <v>320264.56</v>
      </c>
      <c r="BP36" s="4">
        <v>8505.25</v>
      </c>
      <c r="BR36" s="4">
        <v>3837.99</v>
      </c>
      <c r="BS36" s="4"/>
      <c r="BT36" s="4">
        <v>4374.41</v>
      </c>
      <c r="BU36" s="4"/>
      <c r="BV36" s="4"/>
      <c r="BW36" s="4"/>
      <c r="BX36" s="4"/>
      <c r="BY36" s="238">
        <f>9514531.37+1970.74</f>
        <v>9516502.1099999994</v>
      </c>
      <c r="BZ36" s="58"/>
      <c r="CA36" s="4">
        <v>11437.92</v>
      </c>
      <c r="CB36" s="4"/>
      <c r="CC36" s="4"/>
      <c r="CD36" s="4">
        <v>1796.45</v>
      </c>
      <c r="CE36" s="4"/>
      <c r="CF36" s="4">
        <v>3620.84</v>
      </c>
      <c r="CG36" s="4"/>
      <c r="CH36" s="58">
        <v>365961.44</v>
      </c>
      <c r="CI36" s="4"/>
      <c r="CJ36" s="4">
        <v>23258.69</v>
      </c>
      <c r="CK36" s="4"/>
      <c r="CL36" s="4"/>
      <c r="CM36" s="4">
        <v>2854.56</v>
      </c>
      <c r="CN36" s="4"/>
      <c r="CO36" s="4"/>
      <c r="CP36" s="4"/>
      <c r="CQ36" s="4">
        <v>184.05</v>
      </c>
      <c r="CR36" s="58">
        <v>306735.98</v>
      </c>
      <c r="CS36" s="225">
        <v>8331995.3399999999</v>
      </c>
      <c r="CT36" s="4"/>
      <c r="CU36" s="4">
        <v>30510.49</v>
      </c>
      <c r="CV36" s="4">
        <v>851.5</v>
      </c>
      <c r="CW36" s="4"/>
      <c r="CX36" s="4"/>
      <c r="CY36" s="4"/>
      <c r="CZ36" s="4">
        <v>6552.95</v>
      </c>
      <c r="DA36" s="4"/>
      <c r="DB36" s="58">
        <v>265889.39</v>
      </c>
      <c r="DC36" s="4"/>
      <c r="DD36" s="58">
        <v>91425.29</v>
      </c>
      <c r="DE36" s="4"/>
      <c r="DF36" s="4"/>
      <c r="DG36" s="4"/>
      <c r="DH36" s="4"/>
      <c r="DI36" s="4"/>
      <c r="DJ36" s="4"/>
      <c r="DK36" s="58">
        <v>194994.55</v>
      </c>
      <c r="DL36" s="4"/>
      <c r="DM36" s="4"/>
      <c r="DN36" s="189">
        <v>9193778.4900000002</v>
      </c>
      <c r="DO36" s="4"/>
      <c r="DP36" s="4">
        <v>5732.92</v>
      </c>
      <c r="DQ36" s="4"/>
      <c r="DR36" s="4"/>
      <c r="DS36" s="4"/>
      <c r="DT36" s="4">
        <v>7273.4</v>
      </c>
      <c r="DU36" s="58">
        <v>197191.76</v>
      </c>
      <c r="DV36" s="4"/>
      <c r="DW36" s="4"/>
      <c r="DX36" s="4">
        <f>106825.48+9072.33</f>
        <v>115897.81</v>
      </c>
      <c r="DY36" s="4"/>
      <c r="DZ36" s="4">
        <v>9049.8700000000008</v>
      </c>
      <c r="EA36" s="4"/>
      <c r="EB36" s="4"/>
      <c r="EC36" s="4"/>
      <c r="ED36" s="4"/>
      <c r="EE36" s="58">
        <v>199659.03</v>
      </c>
      <c r="EF36" s="4"/>
      <c r="EG36" s="4"/>
      <c r="EH36" s="4">
        <v>3636.9</v>
      </c>
      <c r="EI36" s="4"/>
      <c r="EJ36" s="225">
        <f>8331127.57+19698.52</f>
        <v>8350826.0899999999</v>
      </c>
      <c r="EK36" s="332"/>
      <c r="EM36" s="4">
        <v>31641.599999999999</v>
      </c>
      <c r="EN36" s="4"/>
      <c r="EO36" s="4">
        <v>22849.82</v>
      </c>
      <c r="EP36" s="4">
        <v>209283.96</v>
      </c>
      <c r="EQ36" s="4"/>
      <c r="ER36" s="4">
        <v>114473.76</v>
      </c>
      <c r="ES36" s="4"/>
      <c r="ET36" s="4"/>
      <c r="EU36" s="4"/>
      <c r="EV36" s="4"/>
      <c r="EW36" s="4">
        <v>17982.169999999998</v>
      </c>
      <c r="EX36" s="4"/>
      <c r="EY36" s="58">
        <v>256029.02</v>
      </c>
      <c r="FA36" s="4">
        <v>12504.95</v>
      </c>
      <c r="FB36" s="4"/>
      <c r="FC36" s="4"/>
      <c r="FD36" s="4"/>
      <c r="FE36" s="238">
        <v>9060758.8000000007</v>
      </c>
      <c r="FF36" s="4">
        <v>19332.53</v>
      </c>
      <c r="FG36" s="4">
        <v>3944.37</v>
      </c>
      <c r="FH36" s="58">
        <f>271575.17+13160.57</f>
        <v>284735.74</v>
      </c>
      <c r="FI36" s="4"/>
      <c r="FJ36" s="189"/>
      <c r="FK36" s="4">
        <v>52344.29</v>
      </c>
      <c r="FL36" s="4"/>
      <c r="FM36" s="4"/>
      <c r="FN36" s="4"/>
      <c r="FO36" s="4"/>
      <c r="FP36" s="4">
        <v>5000</v>
      </c>
      <c r="FQ36" s="4"/>
      <c r="FR36" s="58">
        <v>311404.5</v>
      </c>
      <c r="FS36" s="4"/>
      <c r="FT36" s="4"/>
      <c r="FU36" s="4"/>
      <c r="FV36" s="4"/>
      <c r="FW36" s="4">
        <v>1286.3</v>
      </c>
      <c r="FX36" s="4">
        <v>1645.21</v>
      </c>
      <c r="FY36" s="4">
        <v>5843.09</v>
      </c>
      <c r="FZ36" s="238">
        <v>9428222.6899999995</v>
      </c>
      <c r="GA36" s="401">
        <v>345197.64</v>
      </c>
      <c r="GB36" s="4"/>
      <c r="GC36" s="4">
        <v>38353.35</v>
      </c>
      <c r="GD36" s="4"/>
      <c r="GE36" s="4"/>
      <c r="GF36" s="4"/>
      <c r="GG36" s="4">
        <v>41173.94</v>
      </c>
      <c r="GH36" s="4"/>
      <c r="GI36" s="4">
        <v>26206.89</v>
      </c>
      <c r="GJ36" s="4"/>
      <c r="GK36" s="58">
        <v>362468.06</v>
      </c>
      <c r="GM36" s="4"/>
      <c r="GN36" s="4"/>
      <c r="GO36" s="4"/>
      <c r="GP36" s="4"/>
      <c r="GQ36" s="4"/>
      <c r="GR36" s="4"/>
      <c r="GS36" s="4"/>
      <c r="GT36" s="388">
        <v>8977209.5999999996</v>
      </c>
      <c r="GU36" s="4"/>
      <c r="GV36" s="4">
        <v>10652.14</v>
      </c>
      <c r="GW36" s="4"/>
      <c r="GX36" s="4"/>
      <c r="GY36" s="4"/>
      <c r="GZ36" s="4">
        <v>6441.25</v>
      </c>
      <c r="HA36" s="4">
        <v>21402.41</v>
      </c>
      <c r="HB36" s="58">
        <v>329073.90999999997</v>
      </c>
      <c r="HD36" s="4"/>
      <c r="HE36" s="4"/>
      <c r="HF36" s="4"/>
      <c r="HG36" s="4"/>
      <c r="HH36" s="4"/>
      <c r="HI36" s="4"/>
      <c r="HJ36" s="4"/>
      <c r="HK36" s="4"/>
      <c r="HL36" s="4"/>
      <c r="HM36" s="58">
        <v>236877.59</v>
      </c>
      <c r="HN36" s="4"/>
      <c r="HO36" s="238">
        <v>9790583.1799999997</v>
      </c>
      <c r="HP36" s="4"/>
      <c r="HQ36" s="4">
        <v>22270.62</v>
      </c>
      <c r="HR36" s="4"/>
      <c r="HS36" s="4"/>
      <c r="HT36" s="4"/>
      <c r="HU36" s="58">
        <v>364845.54</v>
      </c>
      <c r="HV36" s="4"/>
      <c r="HW36" s="4"/>
      <c r="HX36" s="4"/>
      <c r="HY36" s="4"/>
      <c r="HZ36" s="4"/>
      <c r="IA36" s="4"/>
      <c r="IB36" s="4"/>
      <c r="IC36" s="4"/>
      <c r="ID36" s="4">
        <v>1175.21</v>
      </c>
      <c r="IE36" s="58">
        <v>211849.4</v>
      </c>
      <c r="IF36" s="4"/>
      <c r="IG36" s="4"/>
      <c r="IH36" s="4">
        <v>1253.46</v>
      </c>
      <c r="II36" s="4"/>
      <c r="IJ36" s="238">
        <v>8754901.6099999994</v>
      </c>
      <c r="IK36" s="4"/>
      <c r="IL36" s="4"/>
      <c r="IM36" s="4">
        <v>15419.79</v>
      </c>
      <c r="IN36" s="58">
        <v>332368.76</v>
      </c>
      <c r="IO36" s="4"/>
      <c r="IP36" s="4">
        <v>22353.54</v>
      </c>
      <c r="IQ36" s="4"/>
      <c r="IR36" s="4">
        <v>23175.35</v>
      </c>
      <c r="IS36" s="4">
        <v>5000</v>
      </c>
      <c r="IT36" s="4"/>
      <c r="IU36" s="4">
        <f t="shared" si="9"/>
        <v>117086236.89999999</v>
      </c>
    </row>
    <row r="37" spans="1:255" s="38" customFormat="1" ht="14.1" customHeight="1">
      <c r="A37" s="32" t="s">
        <v>25</v>
      </c>
      <c r="B37" s="173"/>
      <c r="C37" s="32"/>
      <c r="D37" s="32"/>
      <c r="E37" s="32"/>
      <c r="F37" s="32"/>
      <c r="G37" s="32"/>
      <c r="H37" s="32"/>
      <c r="I37" s="32">
        <f>40000000+35000000+30000000+25000000+20000000</f>
        <v>150000000</v>
      </c>
      <c r="J37" s="32"/>
      <c r="K37" s="32"/>
      <c r="L37" s="32"/>
      <c r="M37" s="123"/>
      <c r="N37" s="32"/>
      <c r="O37" s="32"/>
      <c r="P37" s="32"/>
      <c r="Q37" s="32"/>
      <c r="R37" s="32"/>
      <c r="S37" s="32"/>
      <c r="T37" s="32">
        <f>10000000+10000000+20000000+20000000</f>
        <v>60000000</v>
      </c>
      <c r="U37" s="32"/>
      <c r="V37" s="32"/>
      <c r="W37" s="32"/>
      <c r="X37" s="32"/>
      <c r="Y37" s="32"/>
      <c r="Z37" s="32"/>
      <c r="AA37" s="32"/>
      <c r="AB37" s="32">
        <f>+'FY-08, FEB-08 - Jan-09, DATA'!AB36*$V$75</f>
        <v>0</v>
      </c>
      <c r="AC37" s="32">
        <v>439016.4</v>
      </c>
      <c r="AD37" s="32"/>
      <c r="AE37" s="32"/>
      <c r="AF37" s="123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123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123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123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123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123"/>
      <c r="EK37" s="333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123"/>
      <c r="FF37" s="32"/>
      <c r="FG37" s="32"/>
      <c r="FH37" s="32"/>
      <c r="FI37" s="32"/>
      <c r="FJ37" s="123"/>
      <c r="FK37" s="32"/>
      <c r="FL37" s="32"/>
      <c r="FM37" s="32"/>
      <c r="FN37" s="32"/>
      <c r="FO37" s="32">
        <v>35000000</v>
      </c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123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123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123"/>
      <c r="HP37" s="32"/>
      <c r="HQ37" s="32"/>
      <c r="HR37" s="32"/>
      <c r="HS37" s="32"/>
      <c r="HT37" s="32"/>
      <c r="HU37" s="32"/>
      <c r="HV37" s="32"/>
      <c r="HW37" s="32"/>
      <c r="HX37" s="32"/>
      <c r="HY37" s="32">
        <v>18000000</v>
      </c>
      <c r="HZ37" s="32"/>
      <c r="IA37" s="32"/>
      <c r="IB37" s="32"/>
      <c r="IC37" s="32">
        <v>12000000</v>
      </c>
      <c r="ID37" s="32"/>
      <c r="IE37" s="32"/>
      <c r="IF37" s="32"/>
      <c r="IG37" s="32"/>
      <c r="IH37" s="32"/>
      <c r="II37" s="32"/>
      <c r="IJ37" s="123"/>
      <c r="IK37" s="32"/>
      <c r="IL37" s="32"/>
      <c r="IM37" s="32">
        <v>90000000</v>
      </c>
      <c r="IN37" s="32"/>
      <c r="IO37" s="32"/>
      <c r="IP37" s="32"/>
      <c r="IQ37" s="32"/>
      <c r="IR37" s="32">
        <v>34100000</v>
      </c>
      <c r="IS37" s="32"/>
      <c r="IT37" s="32"/>
      <c r="IU37" s="32">
        <f t="shared" si="9"/>
        <v>399539016.39999998</v>
      </c>
    </row>
    <row r="38" spans="1:255" s="38" customFormat="1" ht="14.1" hidden="1" customHeight="1">
      <c r="A38" s="32" t="s">
        <v>86</v>
      </c>
      <c r="B38" s="173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123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>
        <f>+'FY-08, FEB-08 - Jan-09, DATA'!AB37*$V$75</f>
        <v>0</v>
      </c>
      <c r="AC38" s="32">
        <f>+'FY-08, FEB-08 - Jan-09, DATA'!AC37*$V$75</f>
        <v>0</v>
      </c>
      <c r="AD38" s="32"/>
      <c r="AE38" s="32"/>
      <c r="AF38" s="123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123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123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12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123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>
        <f>+'FY-08, FEB-08 - Jan-09, DATA'!EH37*$V$75</f>
        <v>0</v>
      </c>
      <c r="EI38" s="32"/>
      <c r="EJ38" s="123"/>
      <c r="EK38" s="333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123"/>
      <c r="FF38" s="32"/>
      <c r="FG38" s="32"/>
      <c r="FH38" s="32"/>
      <c r="FI38" s="32"/>
      <c r="FJ38" s="123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123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123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123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123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>
        <f t="shared" si="9"/>
        <v>0</v>
      </c>
    </row>
    <row r="39" spans="1:255" s="38" customFormat="1" ht="14.1" hidden="1" customHeight="1">
      <c r="A39" s="32" t="s">
        <v>87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123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>
        <f>+'FY-08, FEB-08 - Jan-09, DATA'!AB38*$V$75</f>
        <v>0</v>
      </c>
      <c r="AC39" s="32">
        <f>+'FY-08, FEB-08 - Jan-09, DATA'!AC38*$V$75</f>
        <v>0</v>
      </c>
      <c r="AD39" s="32"/>
      <c r="AE39" s="32"/>
      <c r="AF39" s="123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123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123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123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123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>
        <f>+'FY-08, FEB-08 - Jan-09, DATA'!EH38*$V$75</f>
        <v>0</v>
      </c>
      <c r="EI39" s="32"/>
      <c r="EJ39" s="123"/>
      <c r="EK39" s="333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123"/>
      <c r="FF39" s="32"/>
      <c r="FG39" s="32"/>
      <c r="FH39" s="32"/>
      <c r="FI39" s="32"/>
      <c r="FJ39" s="123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123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123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123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123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>
        <f t="shared" si="9"/>
        <v>0</v>
      </c>
    </row>
    <row r="40" spans="1:255" s="38" customFormat="1" ht="14.1" customHeight="1">
      <c r="A40" s="32" t="s">
        <v>55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123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>
        <v>100</v>
      </c>
      <c r="Z40" s="32"/>
      <c r="AA40" s="32">
        <v>75.650000000000006</v>
      </c>
      <c r="AB40" s="32">
        <f>+'FY-08, FEB-08 - Jan-09, DATA'!AB39*$V$75</f>
        <v>0</v>
      </c>
      <c r="AC40" s="32">
        <f>+'FY-08, FEB-08 - Jan-09, DATA'!AC39*$V$75</f>
        <v>0</v>
      </c>
      <c r="AD40" s="32"/>
      <c r="AE40" s="32"/>
      <c r="AF40" s="123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123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123"/>
      <c r="BZ40" s="32">
        <v>301.95</v>
      </c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>
        <v>25</v>
      </c>
      <c r="CL40" s="32"/>
      <c r="CM40" s="32"/>
      <c r="CN40" s="32"/>
      <c r="CO40" s="32"/>
      <c r="CP40" s="32"/>
      <c r="CQ40" s="32"/>
      <c r="CR40" s="32">
        <v>3</v>
      </c>
      <c r="CS40" s="123"/>
      <c r="CT40" s="32"/>
      <c r="CU40" s="32"/>
      <c r="CV40" s="32"/>
      <c r="CW40" s="32"/>
      <c r="CX40" s="32"/>
      <c r="CY40" s="32"/>
      <c r="CZ40" s="32"/>
      <c r="DA40" s="32"/>
      <c r="DB40" s="32">
        <v>200</v>
      </c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123"/>
      <c r="DO40" s="32"/>
      <c r="DP40" s="32"/>
      <c r="DQ40" s="32"/>
      <c r="DR40" s="32"/>
      <c r="DS40" s="32"/>
      <c r="DT40" s="32">
        <v>3</v>
      </c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>
        <v>210</v>
      </c>
      <c r="EH40" s="32"/>
      <c r="EI40" s="32"/>
      <c r="EJ40" s="123"/>
      <c r="EK40" s="333"/>
      <c r="EL40" s="32"/>
      <c r="EM40" s="32">
        <v>428</v>
      </c>
      <c r="EN40" s="32"/>
      <c r="EO40" s="32"/>
      <c r="EP40" s="32"/>
      <c r="EQ40" s="32"/>
      <c r="ER40" s="32"/>
      <c r="ES40" s="32">
        <v>450</v>
      </c>
      <c r="ET40" s="32">
        <v>6.9</v>
      </c>
      <c r="EU40" s="32">
        <v>3</v>
      </c>
      <c r="EV40" s="32"/>
      <c r="EW40" s="32"/>
      <c r="EX40" s="32"/>
      <c r="EY40" s="32"/>
      <c r="EZ40" s="32"/>
      <c r="FA40" s="32"/>
      <c r="FB40" s="32"/>
      <c r="FC40" s="32"/>
      <c r="FD40" s="32"/>
      <c r="FE40" s="123"/>
      <c r="FF40" s="32"/>
      <c r="FG40" s="32"/>
      <c r="FH40" s="32">
        <v>450</v>
      </c>
      <c r="FI40" s="32"/>
      <c r="FJ40" s="123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123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>
        <v>24</v>
      </c>
      <c r="GM40" s="32">
        <v>230</v>
      </c>
      <c r="GN40" s="32"/>
      <c r="GO40" s="32">
        <v>10</v>
      </c>
      <c r="GP40" s="32"/>
      <c r="GQ40" s="32"/>
      <c r="GR40" s="32"/>
      <c r="GS40" s="32"/>
      <c r="GT40" s="123">
        <v>2788.68</v>
      </c>
      <c r="GU40" s="32"/>
      <c r="GV40" s="32"/>
      <c r="GW40" s="32"/>
      <c r="GX40" s="32"/>
      <c r="GY40" s="32"/>
      <c r="GZ40" s="32">
        <v>560</v>
      </c>
      <c r="HA40" s="32"/>
      <c r="HB40" s="32"/>
      <c r="HC40" s="32"/>
      <c r="HD40" s="32"/>
      <c r="HE40" s="32"/>
      <c r="HF40" s="32"/>
      <c r="HG40" s="32"/>
      <c r="HH40" s="32">
        <v>465.15</v>
      </c>
      <c r="HI40" s="32"/>
      <c r="HJ40" s="32"/>
      <c r="HK40" s="32">
        <v>50</v>
      </c>
      <c r="HL40" s="32"/>
      <c r="HM40" s="32"/>
      <c r="HN40" s="32">
        <v>3.89</v>
      </c>
      <c r="HO40" s="123"/>
      <c r="HP40" s="32"/>
      <c r="HQ40" s="32"/>
      <c r="HR40" s="32">
        <v>1394.34</v>
      </c>
      <c r="HS40" s="32"/>
      <c r="HT40" s="32">
        <v>3</v>
      </c>
      <c r="HU40" s="32">
        <v>3</v>
      </c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>
        <v>10000</v>
      </c>
      <c r="IH40" s="32"/>
      <c r="II40" s="32"/>
      <c r="IJ40" s="123"/>
      <c r="IK40" s="32"/>
      <c r="IL40" s="32"/>
      <c r="IM40" s="32"/>
      <c r="IN40" s="32"/>
      <c r="IO40" s="32"/>
      <c r="IP40" s="32"/>
      <c r="IQ40" s="32"/>
      <c r="IR40" s="32">
        <v>12</v>
      </c>
      <c r="IS40" s="32">
        <v>3</v>
      </c>
      <c r="IT40" s="32"/>
      <c r="IU40" s="32">
        <f t="shared" si="9"/>
        <v>17803.560000000001</v>
      </c>
    </row>
    <row r="41" spans="1:255" ht="14.1" customHeight="1">
      <c r="A41" s="4" t="s">
        <v>11</v>
      </c>
      <c r="B41" s="4"/>
      <c r="C41" s="155"/>
      <c r="D41" s="4"/>
      <c r="E41" s="4">
        <v>231487.89</v>
      </c>
      <c r="F41" s="4"/>
      <c r="G41" s="4"/>
      <c r="H41" s="4"/>
      <c r="I41" s="4"/>
      <c r="J41" s="4"/>
      <c r="K41" s="4"/>
      <c r="L41" s="4"/>
      <c r="M41" s="189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58">
        <v>222793.89</v>
      </c>
      <c r="Z41" s="4"/>
      <c r="AA41" s="4"/>
      <c r="AB41" s="4">
        <f>+'FY-08, FEB-08 - Jan-09, DATA'!AB40*$V$75</f>
        <v>0</v>
      </c>
      <c r="AC41" s="4">
        <f>+'FY-08, FEB-08 - Jan-09, DATA'!AC40*$V$75</f>
        <v>0</v>
      </c>
      <c r="AD41" s="4"/>
      <c r="AE41" s="4"/>
      <c r="AF41" s="189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>
        <v>223265.48</v>
      </c>
      <c r="AT41" s="58"/>
      <c r="AU41" s="4"/>
      <c r="AV41" s="4"/>
      <c r="AW41" s="4"/>
      <c r="AX41" s="4"/>
      <c r="AY41" s="4"/>
      <c r="AZ41" s="4"/>
      <c r="BA41" s="4"/>
      <c r="BB41" s="4"/>
      <c r="BC41" s="189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58">
        <v>224879.62</v>
      </c>
      <c r="BQ41" s="4"/>
      <c r="BR41" s="4"/>
      <c r="BS41" s="4"/>
      <c r="BT41" s="4"/>
      <c r="BU41" s="4"/>
      <c r="BV41" s="4"/>
      <c r="BW41" s="4"/>
      <c r="BX41" s="4"/>
      <c r="BY41" s="189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58">
        <v>222290.37</v>
      </c>
      <c r="CM41" s="4"/>
      <c r="CN41" s="4"/>
      <c r="CO41" s="4"/>
      <c r="CP41" s="4"/>
      <c r="CQ41" s="4"/>
      <c r="CR41" s="4"/>
      <c r="CS41" s="189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189"/>
      <c r="DO41" s="4">
        <v>222566.35</v>
      </c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58">
        <v>223185.52</v>
      </c>
      <c r="ED41" s="4"/>
      <c r="EE41" s="4"/>
      <c r="EF41" s="4"/>
      <c r="EG41" s="4"/>
      <c r="EH41" s="4"/>
      <c r="EI41" s="4"/>
      <c r="EJ41" s="189"/>
      <c r="EK41" s="332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58"/>
      <c r="EW41" s="4">
        <v>224427.68</v>
      </c>
      <c r="EX41" s="4"/>
      <c r="EY41" s="4"/>
      <c r="EZ41" s="4"/>
      <c r="FA41" s="4"/>
      <c r="FB41" s="4"/>
      <c r="FC41" s="4"/>
      <c r="FD41" s="4"/>
      <c r="FE41" s="189"/>
      <c r="FF41" s="4"/>
      <c r="FG41" s="4"/>
      <c r="FH41" s="4"/>
      <c r="FI41" s="4"/>
      <c r="FJ41" s="189"/>
      <c r="FK41" s="4"/>
      <c r="FL41" s="4"/>
      <c r="FM41" s="4"/>
      <c r="FN41" s="4"/>
      <c r="FO41" s="4"/>
      <c r="FP41" s="4"/>
      <c r="FQ41" s="4"/>
      <c r="FR41" s="58"/>
      <c r="FS41" s="4"/>
      <c r="FT41" s="4">
        <v>257808.11</v>
      </c>
      <c r="FU41" s="4"/>
      <c r="FV41" s="4"/>
      <c r="FW41" s="4"/>
      <c r="FX41" s="4"/>
      <c r="FY41" s="4"/>
      <c r="FZ41" s="189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58"/>
      <c r="GN41" s="4"/>
      <c r="GO41" s="4"/>
      <c r="GP41" s="4"/>
      <c r="GQ41" s="4">
        <v>264032.73</v>
      </c>
      <c r="GR41" s="4"/>
      <c r="GS41" s="4"/>
      <c r="GT41" s="189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58"/>
      <c r="HF41" s="4">
        <v>265078.26</v>
      </c>
      <c r="HG41" s="4"/>
      <c r="HH41" s="4"/>
      <c r="HI41" s="4"/>
      <c r="HJ41" s="4"/>
      <c r="HK41" s="4"/>
      <c r="HL41" s="4"/>
      <c r="HM41" s="4"/>
      <c r="HN41" s="4"/>
      <c r="HO41" s="189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>
        <v>263728.03999999998</v>
      </c>
      <c r="IB41" s="58"/>
      <c r="IC41" s="4"/>
      <c r="ID41" s="4"/>
      <c r="IE41" s="4"/>
      <c r="IF41" s="4"/>
      <c r="IG41" s="4"/>
      <c r="IH41" s="4"/>
      <c r="II41" s="4"/>
      <c r="IJ41" s="189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>
        <f t="shared" si="9"/>
        <v>2845543.9400000004</v>
      </c>
    </row>
    <row r="42" spans="1:255" ht="14.1" customHeight="1">
      <c r="A42" s="4" t="s">
        <v>52</v>
      </c>
      <c r="B42" s="4"/>
      <c r="C42" s="155"/>
      <c r="D42" s="4"/>
      <c r="E42" s="4"/>
      <c r="F42" s="4"/>
      <c r="G42" s="4"/>
      <c r="H42" s="4"/>
      <c r="I42" s="4"/>
      <c r="J42" s="4"/>
      <c r="K42" s="4"/>
      <c r="L42" s="4"/>
      <c r="M42" s="189"/>
      <c r="N42" s="4"/>
      <c r="O42" s="4">
        <v>1286</v>
      </c>
      <c r="P42" s="4"/>
      <c r="Q42" s="4"/>
      <c r="R42" s="4"/>
      <c r="S42" s="4"/>
      <c r="T42" s="4"/>
      <c r="U42" s="4"/>
      <c r="V42" s="4">
        <f>80+209.43</f>
        <v>289.43</v>
      </c>
      <c r="W42" s="4"/>
      <c r="X42" s="4">
        <f>40+2349.76</f>
        <v>2389.7600000000002</v>
      </c>
      <c r="Y42" s="4">
        <v>10</v>
      </c>
      <c r="Z42" s="4"/>
      <c r="AA42" s="4"/>
      <c r="AB42" s="4">
        <f>+'FY-08, FEB-08 - Jan-09, DATA'!AB41*$V$75</f>
        <v>0</v>
      </c>
      <c r="AC42" s="4">
        <f>+'FY-08, FEB-08 - Jan-09, DATA'!AC41*$V$75</f>
        <v>0</v>
      </c>
      <c r="AD42" s="4">
        <v>200</v>
      </c>
      <c r="AE42" s="4"/>
      <c r="AF42" s="189"/>
      <c r="AG42" s="4"/>
      <c r="AH42" s="4"/>
      <c r="AI42" s="4"/>
      <c r="AJ42" s="4"/>
      <c r="AK42" s="4"/>
      <c r="AL42" s="4">
        <f>39.85+44.79</f>
        <v>84.64</v>
      </c>
      <c r="AM42" s="4">
        <v>195.55</v>
      </c>
      <c r="AN42" s="4"/>
      <c r="AO42" s="4"/>
      <c r="AP42" s="4">
        <f>160.94+25000</f>
        <v>25160.94</v>
      </c>
      <c r="AQ42" s="4"/>
      <c r="AR42" s="4"/>
      <c r="AS42" s="4"/>
      <c r="AT42" s="4"/>
      <c r="AU42" s="4"/>
      <c r="AV42" s="4"/>
      <c r="AW42" s="4">
        <f>125+120+152.89+5580.37</f>
        <v>5978.26</v>
      </c>
      <c r="AX42" s="4"/>
      <c r="AY42" s="4">
        <v>1600</v>
      </c>
      <c r="AZ42" s="4"/>
      <c r="BA42" s="4"/>
      <c r="BB42" s="4"/>
      <c r="BC42" s="189"/>
      <c r="BD42" s="4"/>
      <c r="BE42" s="4">
        <v>2200</v>
      </c>
      <c r="BF42" s="4"/>
      <c r="BG42" s="4"/>
      <c r="BH42" s="4">
        <v>209</v>
      </c>
      <c r="BI42" s="4"/>
      <c r="BJ42" s="4"/>
      <c r="BK42" s="4">
        <v>466.54</v>
      </c>
      <c r="BL42" s="4"/>
      <c r="BM42" s="4">
        <v>20</v>
      </c>
      <c r="BN42" s="4"/>
      <c r="BO42" s="4"/>
      <c r="BP42" s="4"/>
      <c r="BQ42" s="4"/>
      <c r="BR42" s="4"/>
      <c r="BS42" s="4"/>
      <c r="BT42" s="4">
        <v>39.659999999999997</v>
      </c>
      <c r="BU42" s="4"/>
      <c r="BV42" s="4"/>
      <c r="BW42" s="4"/>
      <c r="BX42" s="4"/>
      <c r="BY42" s="189"/>
      <c r="BZ42" s="4"/>
      <c r="CA42" s="4"/>
      <c r="CB42" s="4">
        <v>1307.4000000000001</v>
      </c>
      <c r="CC42" s="4">
        <f>550+3325</f>
        <v>3875</v>
      </c>
      <c r="CD42" s="4"/>
      <c r="CE42" s="4">
        <v>30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189"/>
      <c r="CT42" s="4"/>
      <c r="CU42" s="4"/>
      <c r="CV42" s="4"/>
      <c r="CW42" s="4"/>
      <c r="CX42" s="4">
        <v>277.2</v>
      </c>
      <c r="CY42" s="4">
        <v>36</v>
      </c>
      <c r="CZ42" s="4">
        <v>26</v>
      </c>
      <c r="DA42" s="4">
        <v>822.82</v>
      </c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189"/>
      <c r="DO42" s="4">
        <v>95</v>
      </c>
      <c r="DP42" s="4"/>
      <c r="DQ42" s="4"/>
      <c r="DR42" s="4"/>
      <c r="DS42" s="4">
        <v>150</v>
      </c>
      <c r="DT42" s="4"/>
      <c r="DU42" s="4">
        <v>16398.919999999998</v>
      </c>
      <c r="DV42" s="4"/>
      <c r="DW42" s="4"/>
      <c r="DX42" s="4"/>
      <c r="DY42" s="4"/>
      <c r="DZ42" s="4"/>
      <c r="EA42" s="4"/>
      <c r="EB42" s="4"/>
      <c r="EC42" s="4"/>
      <c r="ED42" s="4">
        <v>2000</v>
      </c>
      <c r="EE42" s="4"/>
      <c r="EF42" s="4"/>
      <c r="EG42" s="4"/>
      <c r="EH42" s="4"/>
      <c r="EI42" s="4"/>
      <c r="EJ42" s="189"/>
      <c r="EK42" s="332"/>
      <c r="EL42" s="4"/>
      <c r="EM42" s="4"/>
      <c r="EN42" s="4"/>
      <c r="EO42" s="4"/>
      <c r="EP42" s="4"/>
      <c r="EQ42" s="4"/>
      <c r="ER42" s="4">
        <v>2838.95</v>
      </c>
      <c r="ES42" s="4"/>
      <c r="ET42" s="4"/>
      <c r="EU42" s="4"/>
      <c r="EV42" s="4">
        <v>626496.11</v>
      </c>
      <c r="EW42" s="4"/>
      <c r="EX42" s="4"/>
      <c r="EY42" s="4"/>
      <c r="EZ42" s="4"/>
      <c r="FA42" s="4"/>
      <c r="FB42" s="4"/>
      <c r="FC42" s="4"/>
      <c r="FD42" s="4"/>
      <c r="FE42" s="189"/>
      <c r="FF42" s="4"/>
      <c r="FG42" s="4"/>
      <c r="FH42" s="4"/>
      <c r="FI42" s="4"/>
      <c r="FJ42" s="189">
        <v>537</v>
      </c>
      <c r="FK42" s="4"/>
      <c r="FL42" s="4">
        <v>3643.95</v>
      </c>
      <c r="FM42" s="4">
        <v>23041.7</v>
      </c>
      <c r="FN42" s="4"/>
      <c r="FO42" s="4"/>
      <c r="FP42" s="4">
        <v>1749</v>
      </c>
      <c r="FQ42" s="4"/>
      <c r="FR42" s="4"/>
      <c r="FS42" s="4"/>
      <c r="FT42" s="4"/>
      <c r="FU42" s="4"/>
      <c r="FV42" s="4">
        <v>4553.76</v>
      </c>
      <c r="FW42" s="4"/>
      <c r="FX42" s="4"/>
      <c r="FY42" s="4"/>
      <c r="FZ42" s="189"/>
      <c r="GA42" s="4"/>
      <c r="GB42" s="4">
        <v>6650.2</v>
      </c>
      <c r="GC42" s="4"/>
      <c r="GD42" s="4"/>
      <c r="GE42" s="4"/>
      <c r="GF42" s="4"/>
      <c r="GG42" s="4"/>
      <c r="GH42" s="4"/>
      <c r="GI42" s="4">
        <v>9000</v>
      </c>
      <c r="GJ42" s="4"/>
      <c r="GK42" s="4"/>
      <c r="GL42" s="4"/>
      <c r="GM42" s="4"/>
      <c r="GN42" s="4"/>
      <c r="GO42" s="4"/>
      <c r="GP42" s="4"/>
      <c r="GQ42" s="4"/>
      <c r="GR42" s="4"/>
      <c r="GS42" s="4">
        <f>374.53+77.07</f>
        <v>451.59999999999997</v>
      </c>
      <c r="GT42" s="189">
        <v>198.91</v>
      </c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>
        <v>1135</v>
      </c>
      <c r="HF42" s="4"/>
      <c r="HG42" s="4"/>
      <c r="HH42" s="4"/>
      <c r="HI42" s="4"/>
      <c r="HJ42" s="4"/>
      <c r="HK42" s="4"/>
      <c r="HL42" s="4"/>
      <c r="HM42" s="4"/>
      <c r="HN42" s="4"/>
      <c r="HO42" s="189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>
        <v>462.57</v>
      </c>
      <c r="IG42" s="4"/>
      <c r="IH42" s="4">
        <v>30.58</v>
      </c>
      <c r="II42" s="4"/>
      <c r="IJ42" s="189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>
        <f t="shared" si="9"/>
        <v>745937.44999999972</v>
      </c>
    </row>
    <row r="43" spans="1:255" ht="14.1" customHeight="1">
      <c r="A43" s="4" t="s">
        <v>137</v>
      </c>
      <c r="B43" s="4"/>
      <c r="C43" s="155"/>
      <c r="D43" s="4"/>
      <c r="E43" s="4"/>
      <c r="F43" s="4"/>
      <c r="G43" s="4"/>
      <c r="H43" s="4"/>
      <c r="I43" s="4"/>
      <c r="J43" s="4"/>
      <c r="K43" s="4"/>
      <c r="L43" s="4"/>
      <c r="M43" s="189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189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189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189"/>
      <c r="BZ43" s="4"/>
      <c r="CA43" s="4"/>
      <c r="CB43" s="4"/>
      <c r="CC43" s="4"/>
      <c r="CD43" s="4"/>
      <c r="CE43" s="366" t="s">
        <v>138</v>
      </c>
      <c r="CF43" s="4">
        <f>22936.15+3431.16</f>
        <v>26367.31</v>
      </c>
      <c r="CG43" s="4">
        <v>15386.08</v>
      </c>
      <c r="CH43" s="4">
        <v>13085.43</v>
      </c>
      <c r="CI43" s="4">
        <v>4787.43</v>
      </c>
      <c r="CJ43" s="4">
        <v>6745.1</v>
      </c>
      <c r="CK43" s="4">
        <v>18582.73</v>
      </c>
      <c r="CL43" s="4">
        <v>2217.15</v>
      </c>
      <c r="CM43" s="4">
        <v>955.29</v>
      </c>
      <c r="CN43" s="4">
        <v>1344.63</v>
      </c>
      <c r="CO43" s="4">
        <v>1415.89</v>
      </c>
      <c r="CP43" s="4">
        <v>9886.25</v>
      </c>
      <c r="CQ43" s="4">
        <v>29673.79</v>
      </c>
      <c r="CR43" s="4">
        <v>1409.86</v>
      </c>
      <c r="CS43" s="189">
        <v>2416.04</v>
      </c>
      <c r="CT43" s="4">
        <v>0</v>
      </c>
      <c r="CU43" s="4">
        <v>2026.29</v>
      </c>
      <c r="CV43" s="4">
        <v>179.87</v>
      </c>
      <c r="CW43" s="4"/>
      <c r="CX43" s="4">
        <v>612.26</v>
      </c>
      <c r="CY43" s="4">
        <v>2697.51</v>
      </c>
      <c r="CZ43" s="4">
        <v>28.1</v>
      </c>
      <c r="DA43" s="4">
        <v>284.23</v>
      </c>
      <c r="DB43" s="4">
        <v>1272.3399999999999</v>
      </c>
      <c r="DC43" s="4">
        <v>8952.34</v>
      </c>
      <c r="DD43" s="4">
        <v>149.1</v>
      </c>
      <c r="DE43" s="4">
        <v>6492.95</v>
      </c>
      <c r="DF43" s="4">
        <v>10117.14</v>
      </c>
      <c r="DG43" s="4"/>
      <c r="DH43" s="4">
        <v>19437.86</v>
      </c>
      <c r="DI43" s="4">
        <v>145.47</v>
      </c>
      <c r="DJ43" s="4">
        <v>9939.36</v>
      </c>
      <c r="DK43" s="4">
        <v>79054.820000000007</v>
      </c>
      <c r="DL43" s="4">
        <v>2599.52</v>
      </c>
      <c r="DM43" s="4">
        <v>156.26</v>
      </c>
      <c r="DN43" s="189">
        <v>225.88</v>
      </c>
      <c r="DO43" s="4">
        <v>97922.01</v>
      </c>
      <c r="DP43" s="4"/>
      <c r="DQ43" s="4"/>
      <c r="DR43" s="4">
        <v>61813.31</v>
      </c>
      <c r="DS43" s="4"/>
      <c r="DT43" s="4">
        <v>8431.91</v>
      </c>
      <c r="DU43" s="4"/>
      <c r="DV43" s="4">
        <v>7439.81</v>
      </c>
      <c r="DW43" s="4">
        <v>5492.67</v>
      </c>
      <c r="DX43" s="4">
        <v>6450.51</v>
      </c>
      <c r="DY43" s="4">
        <v>20765.68</v>
      </c>
      <c r="DZ43" s="4">
        <v>11686.47</v>
      </c>
      <c r="EA43" s="4">
        <v>1450.44</v>
      </c>
      <c r="EB43" s="4">
        <v>12044.62</v>
      </c>
      <c r="EC43" s="4">
        <v>4821.6000000000004</v>
      </c>
      <c r="ED43" s="4">
        <v>2412.75</v>
      </c>
      <c r="EE43" s="4">
        <v>6466.81</v>
      </c>
      <c r="EF43" s="4">
        <v>13180.75</v>
      </c>
      <c r="EG43" s="4">
        <v>10458.52</v>
      </c>
      <c r="EH43" s="4">
        <v>316.51</v>
      </c>
      <c r="EI43" s="4">
        <v>770.51</v>
      </c>
      <c r="EJ43" s="189">
        <v>557.62</v>
      </c>
      <c r="EK43" s="332">
        <v>247880.26</v>
      </c>
      <c r="EL43" s="4"/>
      <c r="EM43" s="4">
        <v>10858</v>
      </c>
      <c r="EN43" s="4">
        <v>1599.76</v>
      </c>
      <c r="EO43" s="4">
        <v>957.72</v>
      </c>
      <c r="EP43" s="4">
        <v>7149.95</v>
      </c>
      <c r="EQ43" s="4">
        <v>22328.36</v>
      </c>
      <c r="ER43" s="4">
        <v>12995.74</v>
      </c>
      <c r="ES43" s="4">
        <v>12633.37</v>
      </c>
      <c r="ET43" s="4">
        <v>446.28</v>
      </c>
      <c r="EU43" s="4">
        <v>3461.86</v>
      </c>
      <c r="EV43" s="4">
        <v>0</v>
      </c>
      <c r="EW43" s="4">
        <v>9427.42</v>
      </c>
      <c r="EX43" s="4">
        <v>2139.4499999999998</v>
      </c>
      <c r="EY43" s="4">
        <v>450.9</v>
      </c>
      <c r="EZ43" s="4">
        <v>20782.919999999998</v>
      </c>
      <c r="FA43" s="4">
        <v>3341.2</v>
      </c>
      <c r="FB43" s="4">
        <v>1207.1300000000001</v>
      </c>
      <c r="FC43" s="4">
        <v>1661.66</v>
      </c>
      <c r="FD43" s="4">
        <v>1057.2</v>
      </c>
      <c r="FE43" s="189">
        <v>2462.37</v>
      </c>
      <c r="FF43" s="4">
        <v>253502.93</v>
      </c>
      <c r="FG43" s="4">
        <v>12316.37</v>
      </c>
      <c r="FH43" s="4">
        <v>2091.3200000000002</v>
      </c>
      <c r="FI43" s="4">
        <v>0</v>
      </c>
      <c r="FJ43" s="189">
        <v>0</v>
      </c>
      <c r="FK43" s="4"/>
      <c r="FL43" s="4">
        <v>1052.46</v>
      </c>
      <c r="FM43" s="4">
        <v>10082.68</v>
      </c>
      <c r="FN43" s="4">
        <v>26563.98</v>
      </c>
      <c r="FO43" s="4">
        <v>32218.52</v>
      </c>
      <c r="FP43" s="4">
        <v>12109</v>
      </c>
      <c r="FQ43" s="4">
        <v>5724.46</v>
      </c>
      <c r="FR43" s="4">
        <v>9399.0400000000009</v>
      </c>
      <c r="FS43" s="4">
        <v>1757.88</v>
      </c>
      <c r="FT43" s="4">
        <v>2059.87</v>
      </c>
      <c r="FU43" s="4">
        <v>7067.35</v>
      </c>
      <c r="FV43" s="4">
        <v>6299.07</v>
      </c>
      <c r="FW43" s="4">
        <v>9164.6200000000008</v>
      </c>
      <c r="FX43" s="4">
        <v>1037.2</v>
      </c>
      <c r="FY43" s="4">
        <v>8558.01</v>
      </c>
      <c r="FZ43" s="189">
        <v>301.10000000000002</v>
      </c>
      <c r="GA43" s="4">
        <v>282321.40000000002</v>
      </c>
      <c r="GB43" s="4">
        <v>6310.1</v>
      </c>
      <c r="GC43" s="4">
        <v>6513.8</v>
      </c>
      <c r="GD43" s="4">
        <v>2535.5700000000002</v>
      </c>
      <c r="GE43" s="4">
        <v>375.53</v>
      </c>
      <c r="GF43" s="4">
        <v>647.22</v>
      </c>
      <c r="GG43" s="4">
        <v>17893.54</v>
      </c>
      <c r="GH43" s="4">
        <v>9195.4</v>
      </c>
      <c r="GI43" s="4">
        <v>10418.82</v>
      </c>
      <c r="GJ43" s="4">
        <v>6045.22</v>
      </c>
      <c r="GK43" s="4">
        <v>14423.75</v>
      </c>
      <c r="GL43" s="4">
        <v>5889.99</v>
      </c>
      <c r="GM43" s="4">
        <v>4934.82</v>
      </c>
      <c r="GN43" s="4">
        <v>1011.03</v>
      </c>
      <c r="GO43" s="4">
        <v>2359.9899999999998</v>
      </c>
      <c r="GP43" s="4">
        <v>12076.93</v>
      </c>
      <c r="GQ43" s="4">
        <v>5311.78</v>
      </c>
      <c r="GR43" s="4">
        <v>9018.4699999999993</v>
      </c>
      <c r="GS43" s="4">
        <v>8664.94</v>
      </c>
      <c r="GT43" s="189">
        <v>851.85</v>
      </c>
      <c r="GU43" s="4">
        <v>320500.59999999998</v>
      </c>
      <c r="GV43" s="4">
        <v>1160.4100000000001</v>
      </c>
      <c r="GW43" s="4">
        <v>2974.34</v>
      </c>
      <c r="GX43" s="4">
        <v>576.03</v>
      </c>
      <c r="GY43" s="4">
        <v>1758.99</v>
      </c>
      <c r="GZ43" s="4">
        <v>795.3</v>
      </c>
      <c r="HA43" s="4">
        <v>15000.73</v>
      </c>
      <c r="HB43" s="4"/>
      <c r="HC43" s="4">
        <v>6137.71</v>
      </c>
      <c r="HD43" s="4">
        <v>53831.74</v>
      </c>
      <c r="HE43" s="4">
        <v>8955.32</v>
      </c>
      <c r="HF43" s="4">
        <v>6693.88</v>
      </c>
      <c r="HG43" s="4">
        <v>2955.24</v>
      </c>
      <c r="HH43" s="4">
        <v>5556.93</v>
      </c>
      <c r="HI43" s="4">
        <v>9822.58</v>
      </c>
      <c r="HJ43" s="4">
        <v>11924.72</v>
      </c>
      <c r="HK43" s="4">
        <v>2552.42</v>
      </c>
      <c r="HL43" s="4">
        <v>8096.71</v>
      </c>
      <c r="HM43" s="4">
        <v>946.84</v>
      </c>
      <c r="HN43" s="4">
        <v>263976.21999999997</v>
      </c>
      <c r="HO43" s="189">
        <v>179.53</v>
      </c>
      <c r="HP43" s="4">
        <v>350.78</v>
      </c>
      <c r="HQ43" s="4">
        <v>2752.24</v>
      </c>
      <c r="HR43" s="4"/>
      <c r="HS43" s="4">
        <v>4789.2</v>
      </c>
      <c r="HT43" s="4">
        <v>953.56</v>
      </c>
      <c r="HU43" s="4">
        <v>6293.18</v>
      </c>
      <c r="HV43" s="4">
        <v>28977.11</v>
      </c>
      <c r="HW43" s="4">
        <v>42835.3</v>
      </c>
      <c r="HX43" s="4">
        <v>94671.4</v>
      </c>
      <c r="HY43" s="4">
        <v>53953.95</v>
      </c>
      <c r="HZ43" s="4">
        <v>50271.96</v>
      </c>
      <c r="IA43" s="4">
        <v>98774.3</v>
      </c>
      <c r="IB43" s="4">
        <v>85290.47</v>
      </c>
      <c r="IC43" s="4">
        <v>54815.58</v>
      </c>
      <c r="ID43" s="4">
        <v>18941.77</v>
      </c>
      <c r="IE43" s="4">
        <v>58774.65</v>
      </c>
      <c r="IF43" s="4">
        <v>0</v>
      </c>
      <c r="IG43" s="4">
        <v>337.72</v>
      </c>
      <c r="IH43" s="4">
        <v>28456.1</v>
      </c>
      <c r="II43" s="4">
        <v>46705.41</v>
      </c>
      <c r="IJ43" s="189">
        <v>274438.46000000002</v>
      </c>
      <c r="IK43" s="4">
        <v>70243.289999999994</v>
      </c>
      <c r="IL43" s="4">
        <v>0</v>
      </c>
      <c r="IM43" s="4">
        <v>29660.14</v>
      </c>
      <c r="IN43" s="4">
        <v>7033.92</v>
      </c>
      <c r="IO43" s="4">
        <v>152098.21</v>
      </c>
      <c r="IP43" s="4">
        <v>26676.99</v>
      </c>
      <c r="IQ43" s="4">
        <v>69123.44</v>
      </c>
      <c r="IR43" s="4">
        <v>106470.17</v>
      </c>
      <c r="IS43" s="4">
        <v>101416.47</v>
      </c>
      <c r="IT43" s="4"/>
      <c r="IU43" s="4"/>
    </row>
    <row r="44" spans="1:255" ht="14.1" customHeight="1">
      <c r="A44" s="4" t="s">
        <v>12</v>
      </c>
      <c r="B44" s="4"/>
      <c r="C44" s="155"/>
      <c r="D44" s="4"/>
      <c r="E44" s="4"/>
      <c r="F44" s="4"/>
      <c r="G44" s="4"/>
      <c r="H44" s="4"/>
      <c r="I44" s="4"/>
      <c r="J44" s="4"/>
      <c r="K44" s="4"/>
      <c r="L44" s="4"/>
      <c r="M44" s="189"/>
      <c r="N44" s="4"/>
      <c r="O44" s="4"/>
      <c r="P44" s="4"/>
      <c r="Q44" s="4"/>
      <c r="R44" s="4"/>
      <c r="S44" s="4"/>
      <c r="T44" s="4"/>
      <c r="U44" s="4"/>
      <c r="V44" s="58"/>
      <c r="W44" s="4"/>
      <c r="X44" s="4"/>
      <c r="Y44" s="4"/>
      <c r="Z44" s="4"/>
      <c r="AA44" s="4"/>
      <c r="AB44" s="4">
        <f>+'FY-08, FEB-08 - Jan-09, DATA'!AB42*$V$75</f>
        <v>0</v>
      </c>
      <c r="AC44" s="4">
        <f>+'FY-08, FEB-08 - Jan-09, DATA'!AC42*$V$75</f>
        <v>0</v>
      </c>
      <c r="AD44" s="4"/>
      <c r="AE44" s="4"/>
      <c r="AF44" s="189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>
        <v>761095.23</v>
      </c>
      <c r="AW44" s="4"/>
      <c r="AX44" s="4"/>
      <c r="AY44" s="4"/>
      <c r="AZ44" s="4"/>
      <c r="BA44" s="4"/>
      <c r="BB44" s="4"/>
      <c r="BC44" s="189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>
        <v>1130503.17</v>
      </c>
      <c r="BP44" s="4"/>
      <c r="BQ44" s="4"/>
      <c r="BR44" s="4"/>
      <c r="BS44" s="4"/>
      <c r="BT44" s="4"/>
      <c r="BU44" s="4"/>
      <c r="BV44" s="4"/>
      <c r="BW44" s="4"/>
      <c r="BX44" s="4"/>
      <c r="BY44" s="189"/>
      <c r="BZ44" s="4"/>
      <c r="CA44" s="4"/>
      <c r="CB44" s="4"/>
      <c r="CC44" s="4"/>
      <c r="CD44" s="4"/>
      <c r="CE44" s="4"/>
      <c r="CF44" s="4"/>
      <c r="CG44" s="4"/>
      <c r="CH44" s="58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189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189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189"/>
      <c r="EK44" s="332"/>
      <c r="EL44" s="4"/>
      <c r="EM44" s="4"/>
      <c r="EN44" s="4"/>
      <c r="EO44" s="4"/>
      <c r="EP44" s="4"/>
      <c r="EQ44" s="4"/>
      <c r="ER44" s="4"/>
      <c r="ES44" s="4"/>
      <c r="ET44" s="4"/>
      <c r="EU44" s="58">
        <v>915355.13</v>
      </c>
      <c r="EV44" s="4"/>
      <c r="EW44" s="4"/>
      <c r="EX44" s="4"/>
      <c r="EY44" s="4"/>
      <c r="EZ44" s="4"/>
      <c r="FA44" s="4"/>
      <c r="FB44" s="4"/>
      <c r="FC44" s="4"/>
      <c r="FD44" s="4"/>
      <c r="FE44" s="189"/>
      <c r="FF44" s="4"/>
      <c r="FG44" s="4"/>
      <c r="FH44" s="4"/>
      <c r="FI44" s="4"/>
      <c r="FJ44" s="189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189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189"/>
      <c r="GU44" s="4"/>
      <c r="GV44" s="4"/>
      <c r="GW44" s="4"/>
      <c r="GX44" s="4"/>
      <c r="GY44" s="4"/>
      <c r="GZ44" s="4"/>
      <c r="HA44" s="4"/>
      <c r="HB44" s="4"/>
      <c r="HC44" s="4">
        <v>583071.06000000006</v>
      </c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189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189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>
        <f>SUM(C44:IT44)</f>
        <v>3390024.59</v>
      </c>
    </row>
    <row r="45" spans="1:255" s="38" customFormat="1" ht="14.1" customHeight="1">
      <c r="A45" s="32" t="s">
        <v>41</v>
      </c>
      <c r="B45" s="32"/>
      <c r="C45" s="32">
        <v>81641.440000000002</v>
      </c>
      <c r="D45" s="32">
        <f>27.95+15.45</f>
        <v>43.4</v>
      </c>
      <c r="E45" s="32"/>
      <c r="F45" s="32">
        <f>90+48441.22</f>
        <v>48531.22</v>
      </c>
      <c r="G45" s="32"/>
      <c r="H45" s="32">
        <v>6138.51</v>
      </c>
      <c r="I45" s="32"/>
      <c r="J45" s="32"/>
      <c r="K45" s="32"/>
      <c r="L45" s="32"/>
      <c r="M45" s="123">
        <f>5600+3</f>
        <v>5603</v>
      </c>
      <c r="N45" s="32">
        <v>8510.91</v>
      </c>
      <c r="O45" s="32">
        <f>5400+18250</f>
        <v>23650</v>
      </c>
      <c r="P45" s="32"/>
      <c r="Q45" s="32"/>
      <c r="R45" s="32"/>
      <c r="S45" s="32">
        <v>2579453.2999999998</v>
      </c>
      <c r="T45" s="32"/>
      <c r="U45" s="32"/>
      <c r="V45" s="32">
        <v>3</v>
      </c>
      <c r="W45" s="32"/>
      <c r="X45" s="32">
        <f>27.95+15.45+1000</f>
        <v>1043.4000000000001</v>
      </c>
      <c r="Y45" s="32"/>
      <c r="Z45" s="32"/>
      <c r="AA45" s="32"/>
      <c r="AB45" s="32">
        <v>0</v>
      </c>
      <c r="AC45" s="32">
        <v>0</v>
      </c>
      <c r="AD45" s="32"/>
      <c r="AE45" s="32"/>
      <c r="AF45" s="123"/>
      <c r="AG45" s="32">
        <v>50</v>
      </c>
      <c r="AH45" s="32"/>
      <c r="AI45" s="32"/>
      <c r="AJ45" s="32"/>
      <c r="AK45" s="32"/>
      <c r="AL45" s="32"/>
      <c r="AM45" s="32"/>
      <c r="AN45" s="32"/>
      <c r="AO45" s="32"/>
      <c r="AP45" s="32"/>
      <c r="AQ45" s="32">
        <v>177901</v>
      </c>
      <c r="AR45" s="32"/>
      <c r="AS45" s="32"/>
      <c r="AT45" s="32"/>
      <c r="AU45" s="32">
        <f>30.15+15.45</f>
        <v>45.599999999999994</v>
      </c>
      <c r="AV45" s="32"/>
      <c r="AW45" s="32">
        <v>250000</v>
      </c>
      <c r="AX45" s="32">
        <f>250000+101588.3</f>
        <v>351588.3</v>
      </c>
      <c r="AY45" s="32"/>
      <c r="AZ45" s="32"/>
      <c r="BA45" s="32"/>
      <c r="BB45" s="32"/>
      <c r="BC45" s="123"/>
      <c r="BD45" s="32"/>
      <c r="BE45" s="32"/>
      <c r="BF45" s="32"/>
      <c r="BG45" s="32"/>
      <c r="BH45" s="32">
        <v>10</v>
      </c>
      <c r="BI45" s="32"/>
      <c r="BJ45" s="32"/>
      <c r="BK45" s="32">
        <v>3.22</v>
      </c>
      <c r="BL45" s="32"/>
      <c r="BM45" s="32"/>
      <c r="BN45" s="32">
        <v>15</v>
      </c>
      <c r="BO45" s="32"/>
      <c r="BP45" s="32">
        <f>99.1+16.45</f>
        <v>115.55</v>
      </c>
      <c r="BQ45" s="32">
        <v>6</v>
      </c>
      <c r="BR45" s="32"/>
      <c r="BS45" s="32"/>
      <c r="BT45" s="32"/>
      <c r="BU45" s="32"/>
      <c r="BV45" s="32"/>
      <c r="BW45" s="32"/>
      <c r="BX45" s="32">
        <v>14382</v>
      </c>
      <c r="BY45" s="123">
        <v>8780.06</v>
      </c>
      <c r="BZ45" s="32"/>
      <c r="CA45" s="32"/>
      <c r="CB45" s="32"/>
      <c r="CC45" s="32"/>
      <c r="CD45" s="32">
        <v>15632.09</v>
      </c>
      <c r="CE45" s="32"/>
      <c r="CF45" s="32"/>
      <c r="CG45" s="32"/>
      <c r="CH45" s="32"/>
      <c r="CI45" s="32"/>
      <c r="CJ45" s="32">
        <v>16703.52</v>
      </c>
      <c r="CK45" s="32">
        <f>80.18+73.08</f>
        <v>153.26</v>
      </c>
      <c r="CL45" s="32"/>
      <c r="CM45" s="32"/>
      <c r="CN45" s="32"/>
      <c r="CO45" s="32"/>
      <c r="CP45" s="32"/>
      <c r="CQ45" s="32"/>
      <c r="CR45" s="32"/>
      <c r="CS45" s="123">
        <v>2462.39</v>
      </c>
      <c r="CT45" s="32"/>
      <c r="CU45" s="32"/>
      <c r="CV45" s="32"/>
      <c r="CW45" s="32"/>
      <c r="CX45" s="32"/>
      <c r="CY45" s="32">
        <f>397.5+300</f>
        <v>697.5</v>
      </c>
      <c r="CZ45" s="32">
        <f>1061.73+7399.73</f>
        <v>8461.4599999999991</v>
      </c>
      <c r="DA45" s="32"/>
      <c r="DB45" s="32">
        <v>4117</v>
      </c>
      <c r="DC45" s="32"/>
      <c r="DD45" s="32"/>
      <c r="DE45" s="32"/>
      <c r="DF45" s="377"/>
      <c r="DG45" s="32">
        <f>43.4</f>
        <v>43.4</v>
      </c>
      <c r="DH45" s="32"/>
      <c r="DI45" s="32"/>
      <c r="DJ45" s="32"/>
      <c r="DK45" s="32"/>
      <c r="DL45" s="32"/>
      <c r="DM45" s="32">
        <v>600</v>
      </c>
      <c r="DN45" s="123">
        <f>750000+1459.33</f>
        <v>751459.33</v>
      </c>
      <c r="DO45" s="32"/>
      <c r="DP45" s="32">
        <v>5377203</v>
      </c>
      <c r="DQ45" s="32"/>
      <c r="DR45" s="32"/>
      <c r="DS45" s="32"/>
      <c r="DT45" s="32">
        <v>500</v>
      </c>
      <c r="DU45" s="32"/>
      <c r="DV45" s="32">
        <v>25</v>
      </c>
      <c r="DW45" s="32"/>
      <c r="DX45" s="32"/>
      <c r="DY45" s="32">
        <v>48034.93</v>
      </c>
      <c r="DZ45" s="32"/>
      <c r="EA45" s="32">
        <v>43.4</v>
      </c>
      <c r="EB45" s="32">
        <v>351545</v>
      </c>
      <c r="EC45" s="32"/>
      <c r="ED45" s="379"/>
      <c r="EE45" s="32"/>
      <c r="EF45" s="32"/>
      <c r="EG45" s="32"/>
      <c r="EH45" s="32"/>
      <c r="EI45" s="32">
        <v>479954.23</v>
      </c>
      <c r="EJ45" s="123"/>
      <c r="EK45" s="333">
        <f>12077.38+1184.12</f>
        <v>13261.5</v>
      </c>
      <c r="EL45" s="32">
        <v>200000</v>
      </c>
      <c r="EM45" s="32"/>
      <c r="EN45" s="32"/>
      <c r="EO45" s="32"/>
      <c r="EP45" s="32">
        <v>1472991.93</v>
      </c>
      <c r="EQ45" s="32"/>
      <c r="ER45" s="32"/>
      <c r="ES45" s="32">
        <f>58784.16</f>
        <v>58784.160000000003</v>
      </c>
      <c r="ET45" s="32"/>
      <c r="EU45" s="32">
        <v>250000</v>
      </c>
      <c r="EV45" s="32"/>
      <c r="EW45" s="32"/>
      <c r="EX45" s="32">
        <v>43.4</v>
      </c>
      <c r="EY45" s="32">
        <f>1026.16+5000+4000+2000</f>
        <v>12026.16</v>
      </c>
      <c r="EZ45" s="32">
        <v>4109.59</v>
      </c>
      <c r="FA45" s="32"/>
      <c r="FB45" s="32">
        <v>500</v>
      </c>
      <c r="FC45" s="32"/>
      <c r="FD45" s="32"/>
      <c r="FE45" s="123"/>
      <c r="FF45" s="32"/>
      <c r="FG45" s="32"/>
      <c r="FH45" s="32"/>
      <c r="FI45" s="32"/>
      <c r="FJ45" s="123"/>
      <c r="FK45" s="32"/>
      <c r="FL45" s="32"/>
      <c r="FM45" s="32">
        <f>2204691.41+159148.08</f>
        <v>2363839.4900000002</v>
      </c>
      <c r="FN45" s="32"/>
      <c r="FO45" s="32">
        <v>11927</v>
      </c>
      <c r="FP45" s="32"/>
      <c r="FQ45" s="32"/>
      <c r="FR45" s="32"/>
      <c r="FS45" s="32">
        <v>43.4</v>
      </c>
      <c r="FT45" s="32">
        <v>100</v>
      </c>
      <c r="FU45" s="32"/>
      <c r="FV45" s="32">
        <v>3134393</v>
      </c>
      <c r="FW45" s="32"/>
      <c r="FX45" s="32">
        <v>146197.75</v>
      </c>
      <c r="FY45" s="32"/>
      <c r="FZ45" s="123"/>
      <c r="GA45" s="32">
        <v>320999.13</v>
      </c>
      <c r="GB45" s="32"/>
      <c r="GC45" s="32"/>
      <c r="GD45" s="32"/>
      <c r="GE45" s="32"/>
      <c r="GF45" s="32"/>
      <c r="GG45" s="32"/>
      <c r="GH45" s="32"/>
      <c r="GI45" s="32"/>
      <c r="GJ45" s="32">
        <f>2013.7+1000</f>
        <v>3013.7</v>
      </c>
      <c r="GK45" s="32">
        <f>1000+5000</f>
        <v>6000</v>
      </c>
      <c r="GL45" s="32"/>
      <c r="GM45" s="32">
        <v>43.4</v>
      </c>
      <c r="GN45" s="32">
        <v>1000</v>
      </c>
      <c r="GO45" s="32">
        <f>347629.71+454465.51+262713.62+244561.41</f>
        <v>1309370.2499999998</v>
      </c>
      <c r="GP45" s="32"/>
      <c r="GQ45" s="32">
        <v>32235.68</v>
      </c>
      <c r="GR45" s="32"/>
      <c r="GS45" s="32"/>
      <c r="GT45" s="123"/>
      <c r="GU45" s="32">
        <v>9888.86</v>
      </c>
      <c r="GV45" s="32"/>
      <c r="GW45" s="32"/>
      <c r="GX45" s="32"/>
      <c r="GY45" s="32"/>
      <c r="GZ45" s="32"/>
      <c r="HA45" s="32"/>
      <c r="HB45" s="32"/>
      <c r="HC45" s="32"/>
      <c r="HD45" s="32">
        <v>250000</v>
      </c>
      <c r="HE45" s="32"/>
      <c r="HF45" s="32"/>
      <c r="HG45" s="32">
        <v>43.4</v>
      </c>
      <c r="HH45" s="32">
        <v>30000</v>
      </c>
      <c r="HI45" s="32"/>
      <c r="HJ45" s="32"/>
      <c r="HK45" s="32">
        <f>1257259.02+385.11</f>
        <v>1257644.1300000001</v>
      </c>
      <c r="HL45" s="32"/>
      <c r="HM45" s="32"/>
      <c r="HN45" s="32"/>
      <c r="HO45" s="123"/>
      <c r="HP45" s="32">
        <v>8806</v>
      </c>
      <c r="HQ45" s="32">
        <v>10855</v>
      </c>
      <c r="HR45" s="32">
        <v>2000</v>
      </c>
      <c r="HS45" s="32"/>
      <c r="HT45" s="32"/>
      <c r="HU45" s="32"/>
      <c r="HV45" s="32"/>
      <c r="HW45" s="32"/>
      <c r="HX45" s="32"/>
      <c r="HY45" s="32"/>
      <c r="HZ45" s="32"/>
      <c r="IA45" s="32">
        <v>43.4</v>
      </c>
      <c r="IB45" s="32"/>
      <c r="IC45" s="32"/>
      <c r="ID45" s="32"/>
      <c r="IE45" s="32"/>
      <c r="IF45" s="32"/>
      <c r="IG45" s="32"/>
      <c r="IH45" s="32">
        <f>85523.8+116.13</f>
        <v>85639.930000000008</v>
      </c>
      <c r="II45" s="32"/>
      <c r="IJ45" s="123"/>
      <c r="IK45" s="32"/>
      <c r="IL45" s="32"/>
      <c r="IM45" s="32"/>
      <c r="IN45" s="32">
        <v>250000</v>
      </c>
      <c r="IO45" s="32">
        <v>18.059999999999999</v>
      </c>
      <c r="IP45" s="32">
        <v>211916.82</v>
      </c>
      <c r="IQ45" s="32"/>
      <c r="IR45" s="32"/>
      <c r="IS45" s="32"/>
      <c r="IT45" s="32"/>
      <c r="IU45" s="32">
        <f>SUM(C45:IT45)</f>
        <v>22072885.559999991</v>
      </c>
    </row>
    <row r="46" spans="1:255" s="57" customFormat="1" ht="14.1" customHeight="1">
      <c r="A46" s="58" t="s">
        <v>44</v>
      </c>
      <c r="B46" s="58"/>
      <c r="C46" s="58">
        <v>420666.56</v>
      </c>
      <c r="D46" s="58">
        <v>4245462.78</v>
      </c>
      <c r="E46" s="58">
        <v>1346474.58</v>
      </c>
      <c r="F46" s="58">
        <v>1210011.28</v>
      </c>
      <c r="G46" s="58">
        <v>2210920.39</v>
      </c>
      <c r="H46" s="58">
        <v>660230.81999999995</v>
      </c>
      <c r="I46" s="58">
        <v>1569263.39</v>
      </c>
      <c r="J46" s="58">
        <v>1500425.82</v>
      </c>
      <c r="K46" s="58">
        <v>1262096.18</v>
      </c>
      <c r="L46" s="58">
        <v>588340.77</v>
      </c>
      <c r="M46" s="225">
        <v>1271562.05</v>
      </c>
      <c r="N46" s="58">
        <v>2432516.56</v>
      </c>
      <c r="O46" s="58">
        <v>216043.92</v>
      </c>
      <c r="P46" s="58">
        <v>709865.58</v>
      </c>
      <c r="Q46" s="58">
        <v>544281.80000000005</v>
      </c>
      <c r="R46" s="58">
        <v>892212.45</v>
      </c>
      <c r="S46" s="58">
        <v>909085.44</v>
      </c>
      <c r="T46" s="58">
        <v>3393992.76</v>
      </c>
      <c r="U46" s="58">
        <v>676461.74</v>
      </c>
      <c r="V46" s="58">
        <v>1132566.3</v>
      </c>
      <c r="W46" s="58">
        <v>2782163.62</v>
      </c>
      <c r="X46" s="58">
        <v>2650852.61</v>
      </c>
      <c r="Y46" s="58">
        <v>1437781.89</v>
      </c>
      <c r="Z46" s="58">
        <v>1597417.73</v>
      </c>
      <c r="AA46" s="58">
        <v>1491878.99</v>
      </c>
      <c r="AB46" s="58">
        <v>1889046.51</v>
      </c>
      <c r="AC46" s="58">
        <v>740948.22</v>
      </c>
      <c r="AD46" s="58">
        <v>939733.64</v>
      </c>
      <c r="AE46" s="58">
        <v>318664.23</v>
      </c>
      <c r="AF46" s="225">
        <v>2191689.0299999998</v>
      </c>
      <c r="AG46" s="58">
        <v>1761459.67</v>
      </c>
      <c r="AH46" s="58">
        <v>1466162.09</v>
      </c>
      <c r="AI46" s="58">
        <v>391845.2</v>
      </c>
      <c r="AJ46" s="58">
        <v>1150799.6000000001</v>
      </c>
      <c r="AK46" s="58">
        <v>1707684.87</v>
      </c>
      <c r="AL46" s="58">
        <v>3000373.63</v>
      </c>
      <c r="AM46" s="58">
        <v>252587.86</v>
      </c>
      <c r="AN46" s="58">
        <v>3805399.3</v>
      </c>
      <c r="AO46" s="58">
        <v>51658.34</v>
      </c>
      <c r="AP46" s="58">
        <v>252875.99</v>
      </c>
      <c r="AQ46" s="58">
        <v>2772377.02</v>
      </c>
      <c r="AR46" s="58">
        <v>872711.11</v>
      </c>
      <c r="AS46" s="58">
        <v>3532406.6</v>
      </c>
      <c r="AT46" s="58">
        <v>244451.53</v>
      </c>
      <c r="AU46" s="58">
        <v>401243.06</v>
      </c>
      <c r="AV46" s="58">
        <v>1472607.12</v>
      </c>
      <c r="AW46" s="58">
        <v>1283589.3899999999</v>
      </c>
      <c r="AX46" s="58">
        <v>1055448.49</v>
      </c>
      <c r="AY46" s="58">
        <v>688633.48</v>
      </c>
      <c r="AZ46" s="58">
        <v>691013.39</v>
      </c>
      <c r="BA46" s="58">
        <v>1742080.28</v>
      </c>
      <c r="BB46" s="58">
        <v>5153004.5999999996</v>
      </c>
      <c r="BC46" s="225">
        <v>1846641.5</v>
      </c>
      <c r="BD46" s="58">
        <v>754960.37</v>
      </c>
      <c r="BE46" s="58">
        <v>982836.66</v>
      </c>
      <c r="BF46" s="58">
        <v>4806401.3499999996</v>
      </c>
      <c r="BG46" s="58">
        <v>341149.38</v>
      </c>
      <c r="BH46" s="58">
        <v>2875730.38</v>
      </c>
      <c r="BI46" s="58">
        <v>366264.6</v>
      </c>
      <c r="BJ46" s="58">
        <v>1265453.24</v>
      </c>
      <c r="BK46" s="58">
        <v>3626940.46</v>
      </c>
      <c r="BL46" s="58">
        <v>1041668.7</v>
      </c>
      <c r="BM46" s="58">
        <v>1352468.96</v>
      </c>
      <c r="BN46" s="58">
        <v>3500100.98</v>
      </c>
      <c r="BO46" s="58">
        <v>346644.37</v>
      </c>
      <c r="BP46" s="58">
        <v>3129707</v>
      </c>
      <c r="BQ46" s="58">
        <v>814526.51</v>
      </c>
      <c r="BR46" s="58">
        <v>1442216.12</v>
      </c>
      <c r="BS46" s="58">
        <v>1056638.8999999999</v>
      </c>
      <c r="BT46" s="58">
        <v>1125856.1299999999</v>
      </c>
      <c r="BU46" s="58">
        <f>913114.28+624100.41</f>
        <v>1537214.69</v>
      </c>
      <c r="BV46" s="58">
        <v>4683380.54</v>
      </c>
      <c r="BW46" s="58">
        <v>1151261.8799999999</v>
      </c>
      <c r="BX46" s="58">
        <v>197886.55</v>
      </c>
      <c r="BY46" s="225">
        <v>247303.63</v>
      </c>
      <c r="BZ46" s="58">
        <v>1644468.64</v>
      </c>
      <c r="CA46" s="58">
        <v>557542.74</v>
      </c>
      <c r="CB46" s="58">
        <f>9604811.57+5321.36</f>
        <v>9610132.9299999997</v>
      </c>
      <c r="CC46" s="58">
        <v>230201.5</v>
      </c>
      <c r="CD46" s="58">
        <v>351038.28</v>
      </c>
      <c r="CE46" s="58">
        <v>2896660.48</v>
      </c>
      <c r="CF46" s="58">
        <v>1149806.1100000001</v>
      </c>
      <c r="CG46" s="58">
        <v>1717798.03</v>
      </c>
      <c r="CH46" s="58">
        <v>455953.96</v>
      </c>
      <c r="CI46" s="58">
        <v>3105420.94</v>
      </c>
      <c r="CJ46" s="58">
        <v>1289141.81</v>
      </c>
      <c r="CK46" s="58">
        <v>1316426.57</v>
      </c>
      <c r="CL46" s="58">
        <v>388399</v>
      </c>
      <c r="CM46" s="58">
        <v>4056809.74</v>
      </c>
      <c r="CN46" s="58">
        <v>1152016.8799999999</v>
      </c>
      <c r="CO46" s="58">
        <v>1369814.39</v>
      </c>
      <c r="CP46" s="58">
        <v>1888585.36</v>
      </c>
      <c r="CQ46" s="58">
        <v>249792.78</v>
      </c>
      <c r="CR46" s="58">
        <v>1573557.3</v>
      </c>
      <c r="CS46" s="225">
        <v>1170780.8700000001</v>
      </c>
      <c r="CT46" s="58">
        <v>2232319</v>
      </c>
      <c r="CU46" s="58">
        <v>2562966.27</v>
      </c>
      <c r="CV46" s="58">
        <v>1834004.52</v>
      </c>
      <c r="CW46" s="58">
        <v>2012268.36</v>
      </c>
      <c r="CX46" s="58">
        <v>2295866.59</v>
      </c>
      <c r="CY46" s="58">
        <v>1586460.89</v>
      </c>
      <c r="CZ46" s="58">
        <v>1099555.18</v>
      </c>
      <c r="DA46" s="58">
        <v>768894.66</v>
      </c>
      <c r="DB46" s="58">
        <v>5100605.08</v>
      </c>
      <c r="DC46" s="58">
        <v>1183588.31</v>
      </c>
      <c r="DD46" s="58">
        <v>1535845.03</v>
      </c>
      <c r="DE46" s="58">
        <v>1916924.7</v>
      </c>
      <c r="DF46" s="58">
        <v>1628931.86</v>
      </c>
      <c r="DG46" s="58">
        <f>1136540.76+579746.53</f>
        <v>1716287.29</v>
      </c>
      <c r="DH46" s="58">
        <v>278323.37</v>
      </c>
      <c r="DI46" s="58">
        <f>334428.04+481876.88</f>
        <v>816304.91999999993</v>
      </c>
      <c r="DJ46" s="58">
        <v>281860.92</v>
      </c>
      <c r="DK46" s="58">
        <v>350591.06</v>
      </c>
      <c r="DL46" s="58">
        <v>117927.11</v>
      </c>
      <c r="DM46" s="58">
        <v>48393.31</v>
      </c>
      <c r="DN46" s="225">
        <v>3696291.22</v>
      </c>
      <c r="DO46" s="58">
        <v>432907.92</v>
      </c>
      <c r="DP46" s="58">
        <v>2071609.5699999998</v>
      </c>
      <c r="DQ46" s="58">
        <v>1322466.02</v>
      </c>
      <c r="DR46" s="58">
        <f>2359354.68+280428.01</f>
        <v>2639782.6900000004</v>
      </c>
      <c r="DS46" s="58">
        <v>2884737.83</v>
      </c>
      <c r="DT46" s="58">
        <f>672888.06+244.98</f>
        <v>673133.04</v>
      </c>
      <c r="DU46" s="58">
        <v>3279208.6</v>
      </c>
      <c r="DV46" s="58">
        <v>1226338.8400000001</v>
      </c>
      <c r="DW46" s="58">
        <v>641010.51</v>
      </c>
      <c r="DX46" s="58">
        <v>1920111.32</v>
      </c>
      <c r="DY46" s="58">
        <v>520522.36</v>
      </c>
      <c r="DZ46" s="58">
        <v>4242996.45</v>
      </c>
      <c r="EA46" s="58">
        <v>471273.94</v>
      </c>
      <c r="EB46" s="58">
        <v>131545.42000000001</v>
      </c>
      <c r="EC46" s="58">
        <v>2994052.94</v>
      </c>
      <c r="ED46" s="58">
        <v>126389.84</v>
      </c>
      <c r="EE46" s="58">
        <v>611668.66</v>
      </c>
      <c r="EF46" s="58">
        <v>279840.25</v>
      </c>
      <c r="EG46" s="58">
        <v>285900.06</v>
      </c>
      <c r="EH46" s="58">
        <v>1799870.23</v>
      </c>
      <c r="EI46" s="58">
        <v>244965.24</v>
      </c>
      <c r="EJ46" s="225">
        <v>345858.26999999996</v>
      </c>
      <c r="EK46" s="338">
        <v>1178549.07</v>
      </c>
      <c r="EL46" s="58">
        <v>3022935.65</v>
      </c>
      <c r="EM46" s="58">
        <v>820765.63</v>
      </c>
      <c r="EN46" s="58">
        <v>377320.26</v>
      </c>
      <c r="EO46" s="58">
        <v>248920.3</v>
      </c>
      <c r="EP46" s="58">
        <v>2379151.4499999997</v>
      </c>
      <c r="EQ46" s="58">
        <v>414082.92</v>
      </c>
      <c r="ER46" s="58">
        <v>2268616.69</v>
      </c>
      <c r="ES46" s="58">
        <v>105674.94</v>
      </c>
      <c r="ET46" s="58">
        <v>1223677.72</v>
      </c>
      <c r="EU46" s="58">
        <v>2659472.13</v>
      </c>
      <c r="EV46" s="58">
        <v>2568396.4900000002</v>
      </c>
      <c r="EW46" s="58">
        <v>799949.95</v>
      </c>
      <c r="EX46" s="58">
        <v>169059.07</v>
      </c>
      <c r="EY46" s="58">
        <v>196928.87</v>
      </c>
      <c r="EZ46" s="58">
        <v>1474261.17</v>
      </c>
      <c r="FA46" s="58">
        <v>442245.96</v>
      </c>
      <c r="FB46" s="58">
        <v>1664437.52</v>
      </c>
      <c r="FC46" s="58">
        <v>366967.13</v>
      </c>
      <c r="FD46" s="58">
        <v>1521110.4100000001</v>
      </c>
      <c r="FE46" s="225">
        <v>567220.12</v>
      </c>
      <c r="FF46" s="58">
        <v>928453.76</v>
      </c>
      <c r="FG46" s="58">
        <v>344622.69</v>
      </c>
      <c r="FH46" s="58">
        <v>1329543.48</v>
      </c>
      <c r="FI46" s="58">
        <v>4397887.16</v>
      </c>
      <c r="FJ46" s="225">
        <v>416910.87</v>
      </c>
      <c r="FK46" s="58">
        <v>2061963</v>
      </c>
      <c r="FL46" s="58">
        <v>242130.12</v>
      </c>
      <c r="FM46" s="58">
        <v>2327032.7399999998</v>
      </c>
      <c r="FN46" s="58">
        <v>5609347.6799999997</v>
      </c>
      <c r="FO46" s="58">
        <v>1108018.3500000001</v>
      </c>
      <c r="FP46" s="58">
        <f>1144775.43+1629.39</f>
        <v>1146404.8199999998</v>
      </c>
      <c r="FQ46" s="58">
        <v>744929.6</v>
      </c>
      <c r="FR46" s="58">
        <v>896125.55</v>
      </c>
      <c r="FS46" s="58">
        <v>3374177.65</v>
      </c>
      <c r="FT46" s="58">
        <v>4385687.26</v>
      </c>
      <c r="FU46" s="58">
        <f>447164.01+63199.18</f>
        <v>510363.19</v>
      </c>
      <c r="FV46" s="58">
        <v>1433961.71</v>
      </c>
      <c r="FW46" s="58">
        <v>343079.63</v>
      </c>
      <c r="FX46" s="58">
        <v>3501813.4800000004</v>
      </c>
      <c r="FY46" s="58">
        <v>1747842.57</v>
      </c>
      <c r="FZ46" s="225">
        <v>538459.51</v>
      </c>
      <c r="GA46" s="58">
        <f>3628228.09+29287.76</f>
        <v>3657515.8499999996</v>
      </c>
      <c r="GB46" s="58">
        <v>2541658.1800000002</v>
      </c>
      <c r="GC46" s="58">
        <v>446163.29</v>
      </c>
      <c r="GD46" s="58">
        <f>523262.54+359992.97</f>
        <v>883255.51</v>
      </c>
      <c r="GE46" s="58">
        <v>1852785.5899999999</v>
      </c>
      <c r="GF46" s="58">
        <v>666754.85</v>
      </c>
      <c r="GG46" s="58">
        <v>6700570.0599999996</v>
      </c>
      <c r="GH46" s="58">
        <v>1075204.54</v>
      </c>
      <c r="GI46" s="58">
        <f>517055.42+453629.57</f>
        <v>970684.99</v>
      </c>
      <c r="GJ46" s="58">
        <v>1524266.8</v>
      </c>
      <c r="GK46" s="58">
        <v>367416.49</v>
      </c>
      <c r="GL46" s="58">
        <v>2827076.1399999997</v>
      </c>
      <c r="GM46" s="58">
        <v>1106667.5900000001</v>
      </c>
      <c r="GN46" s="58">
        <v>1701311.0899999999</v>
      </c>
      <c r="GO46" s="58">
        <v>671838.59000000008</v>
      </c>
      <c r="GP46" s="58">
        <v>278500.39</v>
      </c>
      <c r="GQ46" s="58">
        <v>1657455.33</v>
      </c>
      <c r="GR46" s="58">
        <v>1055972.6200000001</v>
      </c>
      <c r="GS46" s="58">
        <v>2054226.34</v>
      </c>
      <c r="GT46" s="225">
        <v>698376.14</v>
      </c>
      <c r="GU46" s="58">
        <v>2150006.04</v>
      </c>
      <c r="GV46" s="58">
        <v>779439.69</v>
      </c>
      <c r="GW46" s="58">
        <v>3233038.99</v>
      </c>
      <c r="GX46" s="58">
        <v>577414.26</v>
      </c>
      <c r="GY46" s="58">
        <v>488240.12</v>
      </c>
      <c r="GZ46" s="58">
        <v>9134817.4199999999</v>
      </c>
      <c r="HA46" s="58">
        <v>661988.93000000005</v>
      </c>
      <c r="HB46" s="58">
        <v>1325711.55</v>
      </c>
      <c r="HC46" s="58">
        <v>285920.21000000002</v>
      </c>
      <c r="HD46" s="58">
        <v>1111404.07</v>
      </c>
      <c r="HE46" s="58">
        <v>731360.67</v>
      </c>
      <c r="HF46" s="58">
        <v>1475032.62</v>
      </c>
      <c r="HG46" s="58">
        <v>130901.93</v>
      </c>
      <c r="HH46" s="58">
        <v>236641.16</v>
      </c>
      <c r="HI46" s="58">
        <f>802879.82+2550245.36</f>
        <v>3353125.1799999997</v>
      </c>
      <c r="HJ46" s="58">
        <v>2769995.3</v>
      </c>
      <c r="HK46" s="58">
        <v>1426294.25</v>
      </c>
      <c r="HL46" s="58">
        <v>1157877.1679999998</v>
      </c>
      <c r="HM46" s="58">
        <v>804018.35</v>
      </c>
      <c r="HN46" s="58">
        <v>3909201.06</v>
      </c>
      <c r="HO46" s="225">
        <v>1104686.6299999999</v>
      </c>
      <c r="HP46" s="58">
        <v>1154979.79</v>
      </c>
      <c r="HQ46" s="58">
        <v>564922.14999999991</v>
      </c>
      <c r="HR46" s="58">
        <v>372962.88</v>
      </c>
      <c r="HS46" s="58">
        <v>10327243.33</v>
      </c>
      <c r="HT46" s="58">
        <v>484255.97</v>
      </c>
      <c r="HU46" s="58">
        <v>2515430.9</v>
      </c>
      <c r="HV46" s="58">
        <v>877634.04</v>
      </c>
      <c r="HW46" s="58">
        <v>1801508.34</v>
      </c>
      <c r="HX46" s="58">
        <v>564123.66</v>
      </c>
      <c r="HY46" s="58">
        <v>462698.6</v>
      </c>
      <c r="HZ46" s="58">
        <v>39237.800000000003</v>
      </c>
      <c r="IA46" s="58">
        <v>1009965.27</v>
      </c>
      <c r="IB46" s="58">
        <v>120086.08</v>
      </c>
      <c r="IC46" s="58">
        <v>3781052.88</v>
      </c>
      <c r="ID46" s="58">
        <v>418615.24</v>
      </c>
      <c r="IE46" s="58">
        <v>324323.09000000003</v>
      </c>
      <c r="IF46" s="58">
        <v>2077705.6800000002</v>
      </c>
      <c r="IG46" s="58">
        <v>2201587.59</v>
      </c>
      <c r="IH46" s="58">
        <v>3588592.91</v>
      </c>
      <c r="II46" s="58">
        <v>306663.28000000003</v>
      </c>
      <c r="IJ46" s="225">
        <v>890972.72</v>
      </c>
      <c r="IK46" s="58">
        <v>5706123.1000000006</v>
      </c>
      <c r="IL46" s="58">
        <v>783563.15</v>
      </c>
      <c r="IM46" s="58">
        <f>647908.18+588181.8</f>
        <v>1236089.98</v>
      </c>
      <c r="IN46" s="58">
        <v>1663115.1400000001</v>
      </c>
      <c r="IO46" s="58">
        <v>2918190.92</v>
      </c>
      <c r="IP46" s="58">
        <v>255926.08</v>
      </c>
      <c r="IQ46" s="58">
        <v>1927103.07</v>
      </c>
      <c r="IR46" s="58">
        <v>313393.39</v>
      </c>
      <c r="IS46" s="58">
        <v>3163492.63</v>
      </c>
      <c r="IT46" s="58"/>
      <c r="IU46" s="58">
        <f>SUM(C46:IT46)</f>
        <v>397155945.02799994</v>
      </c>
    </row>
    <row r="47" spans="1:255" ht="14.1" customHeight="1">
      <c r="A47" s="4" t="s">
        <v>45</v>
      </c>
      <c r="B47" s="4"/>
      <c r="C47" s="155">
        <v>7981.44</v>
      </c>
      <c r="D47" s="4">
        <v>32154.07</v>
      </c>
      <c r="E47" s="4">
        <v>5256.06</v>
      </c>
      <c r="F47" s="4">
        <v>7660.17</v>
      </c>
      <c r="G47" s="4">
        <v>410.78</v>
      </c>
      <c r="H47" s="492">
        <v>2446999.31</v>
      </c>
      <c r="I47" s="4">
        <v>23489.03</v>
      </c>
      <c r="J47" s="4">
        <v>27657.23</v>
      </c>
      <c r="K47" s="4">
        <v>112566.24</v>
      </c>
      <c r="L47" s="4">
        <v>7206.45</v>
      </c>
      <c r="M47" s="238">
        <v>53978285.130000003</v>
      </c>
      <c r="N47" s="4">
        <v>112015.09</v>
      </c>
      <c r="O47" s="4">
        <v>321520.15999999997</v>
      </c>
      <c r="P47" s="4">
        <v>33628.300000000003</v>
      </c>
      <c r="Q47" s="492">
        <v>2938310.31</v>
      </c>
      <c r="R47" s="4">
        <v>103783.95</v>
      </c>
      <c r="S47" s="4">
        <v>49861.58</v>
      </c>
      <c r="T47" s="4">
        <v>144443.75</v>
      </c>
      <c r="U47" s="4">
        <v>15465.77</v>
      </c>
      <c r="V47" s="4">
        <v>32329.41</v>
      </c>
      <c r="W47" s="4">
        <v>20510.72</v>
      </c>
      <c r="X47" s="4">
        <v>6845.24</v>
      </c>
      <c r="Y47" s="4">
        <v>17028.32</v>
      </c>
      <c r="Z47" s="4">
        <v>2300.12</v>
      </c>
      <c r="AA47" s="58">
        <f>2834416.78+35077.01</f>
        <v>2869493.7899999996</v>
      </c>
      <c r="AB47" s="4">
        <v>27086.34</v>
      </c>
      <c r="AC47" s="4">
        <v>23412.71</v>
      </c>
      <c r="AD47" s="4">
        <v>45542.99</v>
      </c>
      <c r="AE47" s="4">
        <v>9512.44</v>
      </c>
      <c r="AF47" s="238">
        <v>54541475.32</v>
      </c>
      <c r="AG47" s="4">
        <v>163916.9</v>
      </c>
      <c r="AH47" s="4">
        <v>103361.03</v>
      </c>
      <c r="AI47" s="4">
        <v>240006.78</v>
      </c>
      <c r="AJ47" s="4">
        <v>85016.84</v>
      </c>
      <c r="AK47" s="58">
        <v>2957383.4</v>
      </c>
      <c r="AL47" s="4">
        <v>38938.910000000003</v>
      </c>
      <c r="AM47" s="4">
        <v>37287.129999999997</v>
      </c>
      <c r="AN47" s="4">
        <v>77747.149999999994</v>
      </c>
      <c r="AO47" s="4">
        <v>40619.800000000003</v>
      </c>
      <c r="AP47" s="4">
        <v>6783.72</v>
      </c>
      <c r="AQ47" s="4">
        <v>18624.27</v>
      </c>
      <c r="AR47" s="4">
        <v>10461.24</v>
      </c>
      <c r="AS47" s="4">
        <v>16103.46</v>
      </c>
      <c r="AT47" s="4">
        <v>8421.8799999999992</v>
      </c>
      <c r="AU47" s="58">
        <v>2258186.84</v>
      </c>
      <c r="AV47" s="4">
        <v>17378.849999999999</v>
      </c>
      <c r="AW47" s="4">
        <v>21090.44</v>
      </c>
      <c r="AX47" s="4">
        <v>7973.8</v>
      </c>
      <c r="AY47" s="4">
        <v>45198.53</v>
      </c>
      <c r="AZ47" s="58">
        <v>9898.67</v>
      </c>
      <c r="BA47" s="4">
        <v>5569.82</v>
      </c>
      <c r="BB47" s="4">
        <v>45197</v>
      </c>
      <c r="BC47" s="238">
        <v>56435928.600000001</v>
      </c>
      <c r="BD47" s="4">
        <v>94100.11</v>
      </c>
      <c r="BE47" s="58">
        <v>3089220.69</v>
      </c>
      <c r="BF47" s="4">
        <v>254373.68</v>
      </c>
      <c r="BG47" s="4">
        <v>100013.55</v>
      </c>
      <c r="BH47" s="4">
        <v>220747.13</v>
      </c>
      <c r="BI47" s="4">
        <v>20284.47</v>
      </c>
      <c r="BJ47" s="4">
        <v>26961.66</v>
      </c>
      <c r="BK47" s="4">
        <v>153451.35</v>
      </c>
      <c r="BL47" s="4">
        <v>8042.68</v>
      </c>
      <c r="BM47" s="4">
        <v>19725.259999999998</v>
      </c>
      <c r="BN47" s="4">
        <v>5717.05</v>
      </c>
      <c r="BO47" s="58">
        <v>2980671.39</v>
      </c>
      <c r="BP47" s="4">
        <v>30146.11</v>
      </c>
      <c r="BQ47" s="4">
        <v>39815.06</v>
      </c>
      <c r="BR47" s="4">
        <v>56533.71</v>
      </c>
      <c r="BS47" s="4">
        <v>13251.74</v>
      </c>
      <c r="BT47" s="4">
        <v>8679.08</v>
      </c>
      <c r="BU47" s="4">
        <v>5363.86</v>
      </c>
      <c r="BV47" s="4">
        <v>8798.0499999999993</v>
      </c>
      <c r="BW47" s="4">
        <v>2795.24</v>
      </c>
      <c r="BX47" s="4">
        <v>12764.84</v>
      </c>
      <c r="BY47" s="238">
        <v>60449640.920000002</v>
      </c>
      <c r="BZ47" s="225">
        <v>160936.75</v>
      </c>
      <c r="CA47" s="4">
        <v>523329.7</v>
      </c>
      <c r="CB47" s="4">
        <v>60834.01</v>
      </c>
      <c r="CC47" s="4">
        <v>37090.03</v>
      </c>
      <c r="CD47" s="4">
        <v>43525.67</v>
      </c>
      <c r="CE47" s="4">
        <v>22026.18</v>
      </c>
      <c r="CF47" s="4">
        <v>48838.1</v>
      </c>
      <c r="CG47" s="4">
        <v>14321.26</v>
      </c>
      <c r="CH47" s="58">
        <v>3307222.14</v>
      </c>
      <c r="CI47" s="4">
        <v>107892.94</v>
      </c>
      <c r="CJ47" s="4">
        <v>67432.69</v>
      </c>
      <c r="CK47" s="4">
        <v>3249.06</v>
      </c>
      <c r="CL47" s="4">
        <v>4234.71</v>
      </c>
      <c r="CM47" s="4">
        <v>27275.18</v>
      </c>
      <c r="CN47" s="4">
        <v>2786.67</v>
      </c>
      <c r="CO47" s="4">
        <v>3779.39</v>
      </c>
      <c r="CP47" s="4">
        <v>4358.21</v>
      </c>
      <c r="CQ47" s="4">
        <v>2088.38</v>
      </c>
      <c r="CR47" s="58">
        <v>2698482.08</v>
      </c>
      <c r="CS47" s="238">
        <v>54545058.329999998</v>
      </c>
      <c r="CT47" s="4">
        <v>184651.61</v>
      </c>
      <c r="CU47" s="4">
        <v>296492.45</v>
      </c>
      <c r="CV47" s="4">
        <v>86123.37</v>
      </c>
      <c r="CW47" s="4">
        <v>66613.73</v>
      </c>
      <c r="CX47" s="4">
        <v>123081.02</v>
      </c>
      <c r="CY47" s="4">
        <v>46803.51</v>
      </c>
      <c r="CZ47" s="4">
        <v>430983.39</v>
      </c>
      <c r="DA47" s="4">
        <v>13183.01</v>
      </c>
      <c r="DB47" s="58">
        <v>1694697.43</v>
      </c>
      <c r="DC47" s="4">
        <v>53187.95</v>
      </c>
      <c r="DD47" s="4">
        <v>25447.45</v>
      </c>
      <c r="DE47" s="4">
        <v>326598.16000000003</v>
      </c>
      <c r="DF47" s="4">
        <v>835.51</v>
      </c>
      <c r="DG47" s="4">
        <f>3015.32+11638.51</f>
        <v>14653.83</v>
      </c>
      <c r="DH47" s="4">
        <v>445.28</v>
      </c>
      <c r="DI47" s="4">
        <v>3217.17</v>
      </c>
      <c r="DJ47" s="4">
        <v>2128.98</v>
      </c>
      <c r="DK47" s="378">
        <v>1619244.2</v>
      </c>
      <c r="DL47" s="4">
        <v>42602.42</v>
      </c>
      <c r="DM47" s="4">
        <v>42401.78</v>
      </c>
      <c r="DN47" s="225">
        <v>58097699.210000001</v>
      </c>
      <c r="DO47" s="4">
        <v>102513.46</v>
      </c>
      <c r="DP47" s="4">
        <v>57850.170000000006</v>
      </c>
      <c r="DQ47" s="4">
        <v>238617.13</v>
      </c>
      <c r="DR47" s="4">
        <v>121888.51</v>
      </c>
      <c r="DS47" s="4">
        <v>114531.82</v>
      </c>
      <c r="DT47" s="4">
        <v>48669.24</v>
      </c>
      <c r="DU47" s="58">
        <v>1623680.33</v>
      </c>
      <c r="DV47" s="4">
        <v>69614.5</v>
      </c>
      <c r="DW47" s="4">
        <v>38783.29</v>
      </c>
      <c r="DX47" s="4">
        <v>388879.42</v>
      </c>
      <c r="DY47" s="4">
        <v>7463.2</v>
      </c>
      <c r="DZ47" s="4">
        <v>38070.230000000003</v>
      </c>
      <c r="EA47" s="4">
        <v>4689.3</v>
      </c>
      <c r="EB47" s="4">
        <v>4109.32</v>
      </c>
      <c r="EC47" s="4">
        <v>6402.81</v>
      </c>
      <c r="ED47" s="4">
        <v>0</v>
      </c>
      <c r="EE47" s="58">
        <v>1647190.17</v>
      </c>
      <c r="EF47" s="4">
        <v>45546.16</v>
      </c>
      <c r="EG47" s="4">
        <v>31326.68</v>
      </c>
      <c r="EH47" s="4">
        <v>3173.66</v>
      </c>
      <c r="EI47" s="4">
        <v>28373.83</v>
      </c>
      <c r="EJ47" s="225">
        <v>54887530.409999996</v>
      </c>
      <c r="EK47" s="332">
        <v>291473.70999999996</v>
      </c>
      <c r="EL47" s="4">
        <v>269830.46000000002</v>
      </c>
      <c r="EM47" s="4">
        <v>100973.62</v>
      </c>
      <c r="EN47" s="4">
        <v>44403.47</v>
      </c>
      <c r="EO47" s="4">
        <v>1829757.38</v>
      </c>
      <c r="EP47" s="4">
        <v>42101.06</v>
      </c>
      <c r="EQ47" s="4">
        <v>91660.18</v>
      </c>
      <c r="ER47" s="4">
        <v>410508.07999999996</v>
      </c>
      <c r="ES47" s="4">
        <v>15494.029999999999</v>
      </c>
      <c r="ET47" s="4">
        <v>28767.149999999998</v>
      </c>
      <c r="EU47" s="4">
        <v>29653.119999999999</v>
      </c>
      <c r="EV47" s="4">
        <v>51985.270000000004</v>
      </c>
      <c r="EW47" s="4">
        <v>9292.8599999999988</v>
      </c>
      <c r="EX47" s="4">
        <v>11609.66</v>
      </c>
      <c r="EY47" s="58">
        <v>2263430.2600000002</v>
      </c>
      <c r="EZ47" s="4">
        <v>36439.65</v>
      </c>
      <c r="FA47" s="4">
        <v>50098.979999999996</v>
      </c>
      <c r="FB47" s="4">
        <v>10594.67</v>
      </c>
      <c r="FC47" s="4">
        <v>40203</v>
      </c>
      <c r="FD47" s="4">
        <v>54511.8</v>
      </c>
      <c r="FE47" s="238">
        <v>56387650.93</v>
      </c>
      <c r="FF47" s="4">
        <v>152021.12</v>
      </c>
      <c r="FG47" s="4">
        <v>309530.10000000003</v>
      </c>
      <c r="FH47" s="58">
        <v>2609953.5299999998</v>
      </c>
      <c r="FI47" s="4">
        <v>164908.60999999999</v>
      </c>
      <c r="FJ47" s="189">
        <v>212666.02</v>
      </c>
      <c r="FK47" s="4">
        <v>252605.81</v>
      </c>
      <c r="FL47" s="4">
        <v>43646.05</v>
      </c>
      <c r="FM47" s="4">
        <v>35883.439999999995</v>
      </c>
      <c r="FN47" s="4">
        <v>12611.94</v>
      </c>
      <c r="FO47" s="4">
        <v>34821.089999999997</v>
      </c>
      <c r="FP47" s="4">
        <v>5309.78</v>
      </c>
      <c r="FQ47" s="4">
        <v>31704.25</v>
      </c>
      <c r="FR47" s="58">
        <v>2874974.27</v>
      </c>
      <c r="FS47" s="4">
        <v>69183.239999999991</v>
      </c>
      <c r="FT47" s="4">
        <v>25944.83</v>
      </c>
      <c r="FU47" s="4">
        <v>6714.95</v>
      </c>
      <c r="FV47" s="4">
        <v>2222.61</v>
      </c>
      <c r="FW47" s="4">
        <v>29928.09</v>
      </c>
      <c r="FX47" s="4">
        <v>13410.78</v>
      </c>
      <c r="FY47" s="4">
        <v>10947.61</v>
      </c>
      <c r="FZ47" s="238">
        <v>57761146.490000002</v>
      </c>
      <c r="GA47" s="401">
        <v>2982128.69</v>
      </c>
      <c r="GB47" s="4">
        <v>140605.34</v>
      </c>
      <c r="GC47" s="4">
        <v>369396.61000000004</v>
      </c>
      <c r="GD47" s="4">
        <v>165273.9</v>
      </c>
      <c r="GE47" s="4">
        <v>22215.68</v>
      </c>
      <c r="GF47" s="4">
        <v>49822.22</v>
      </c>
      <c r="GG47" s="4">
        <v>9939.3700000000008</v>
      </c>
      <c r="GH47" s="4">
        <v>218918.56</v>
      </c>
      <c r="GI47" s="4">
        <v>133127.66</v>
      </c>
      <c r="GJ47" s="4">
        <v>11860.710000000001</v>
      </c>
      <c r="GK47" s="58">
        <v>3235517.6399999997</v>
      </c>
      <c r="GL47" s="4">
        <v>43844.020000000004</v>
      </c>
      <c r="GM47" s="4">
        <v>61415.799999999996</v>
      </c>
      <c r="GN47" s="4">
        <v>19054.330000000002</v>
      </c>
      <c r="GO47" s="4">
        <v>1391.23</v>
      </c>
      <c r="GP47" s="4">
        <v>9023.74</v>
      </c>
      <c r="GQ47" s="4">
        <v>2299.9899999999998</v>
      </c>
      <c r="GR47" s="4">
        <v>4725.9799999999996</v>
      </c>
      <c r="GS47" s="4">
        <v>18593.740000000002</v>
      </c>
      <c r="GT47" s="238">
        <v>58268806.479999997</v>
      </c>
      <c r="GU47" s="4">
        <v>166871.13999999998</v>
      </c>
      <c r="GV47" s="4">
        <v>324706.37</v>
      </c>
      <c r="GW47" s="4">
        <v>1272.2000000000007</v>
      </c>
      <c r="GX47" s="4">
        <v>18707.740000000002</v>
      </c>
      <c r="GY47" s="4">
        <v>93708.81</v>
      </c>
      <c r="GZ47" s="4">
        <v>193015.85</v>
      </c>
      <c r="HA47" s="4">
        <v>63679.26</v>
      </c>
      <c r="HB47" s="4">
        <v>86068.19</v>
      </c>
      <c r="HC47" s="407">
        <v>3093759.97</v>
      </c>
      <c r="HD47" s="4">
        <v>15044.3</v>
      </c>
      <c r="HE47" s="4">
        <v>53148.590000000004</v>
      </c>
      <c r="HF47" s="4">
        <v>2321.64</v>
      </c>
      <c r="HG47" s="4">
        <v>1427.51</v>
      </c>
      <c r="HH47" s="4">
        <v>3720.15</v>
      </c>
      <c r="HI47" s="4">
        <v>13118.98</v>
      </c>
      <c r="HJ47" s="4">
        <v>324.5</v>
      </c>
      <c r="HK47" s="4">
        <v>4190.88</v>
      </c>
      <c r="HL47" s="4">
        <v>582.79</v>
      </c>
      <c r="HM47" s="58">
        <v>2297786.0500000003</v>
      </c>
      <c r="HN47" s="4">
        <v>16913.3</v>
      </c>
      <c r="HO47" s="238">
        <v>59201249.619999997</v>
      </c>
      <c r="HP47" s="4">
        <v>62448.480000000003</v>
      </c>
      <c r="HQ47" s="4">
        <v>240406.6</v>
      </c>
      <c r="HR47" s="4">
        <v>103165.34</v>
      </c>
      <c r="HS47" s="4">
        <v>244712.31</v>
      </c>
      <c r="HT47" s="4">
        <v>149946.12999999998</v>
      </c>
      <c r="HU47" s="4">
        <v>98947.51</v>
      </c>
      <c r="HV47" s="407">
        <v>3021601.67</v>
      </c>
      <c r="HW47" s="4">
        <v>13319.46</v>
      </c>
      <c r="HX47" s="4">
        <v>50642.93</v>
      </c>
      <c r="HY47" s="4">
        <v>9583.31</v>
      </c>
      <c r="HZ47" s="4">
        <v>2379.2199999999998</v>
      </c>
      <c r="IA47" s="4">
        <v>1813.81</v>
      </c>
      <c r="IB47" s="4">
        <v>10497.85</v>
      </c>
      <c r="IC47" s="4">
        <v>6274.13</v>
      </c>
      <c r="ID47" s="4">
        <v>616.29</v>
      </c>
      <c r="IE47" s="58">
        <v>1675487.79</v>
      </c>
      <c r="IF47" s="4">
        <v>14374.41</v>
      </c>
      <c r="IG47" s="4">
        <v>53784.18</v>
      </c>
      <c r="IH47" s="4">
        <v>3956.23</v>
      </c>
      <c r="II47" s="4">
        <v>9676.15</v>
      </c>
      <c r="IJ47" s="238">
        <v>54918399.969999999</v>
      </c>
      <c r="IK47" s="4">
        <v>144026</v>
      </c>
      <c r="IL47" s="4">
        <v>389020.79</v>
      </c>
      <c r="IM47" s="4">
        <v>82619.240000000005</v>
      </c>
      <c r="IN47" s="58">
        <v>2827892.15</v>
      </c>
      <c r="IO47" s="4">
        <v>63578.39</v>
      </c>
      <c r="IP47" s="4">
        <v>73091.429999999993</v>
      </c>
      <c r="IQ47" s="4">
        <v>47201.47</v>
      </c>
      <c r="IR47" s="4">
        <v>44351.6</v>
      </c>
      <c r="IS47" s="4">
        <v>23422.13</v>
      </c>
      <c r="IT47" s="4"/>
      <c r="IU47" s="4">
        <f>SUM(C47:IT47)</f>
        <v>755118571.93999946</v>
      </c>
    </row>
    <row r="48" spans="1:255" s="57" customFormat="1" ht="14.1" customHeight="1">
      <c r="A48" s="59" t="s">
        <v>43</v>
      </c>
      <c r="B48" s="59"/>
      <c r="C48" s="59">
        <v>13931.94</v>
      </c>
      <c r="D48" s="59">
        <v>12235.65</v>
      </c>
      <c r="E48" s="59">
        <v>5029.57</v>
      </c>
      <c r="F48" s="59">
        <v>34003.760000000002</v>
      </c>
      <c r="G48" s="59">
        <v>9939.09</v>
      </c>
      <c r="H48" s="59">
        <v>20181.04</v>
      </c>
      <c r="I48" s="59">
        <v>17694.02</v>
      </c>
      <c r="J48" s="59">
        <v>12557.65</v>
      </c>
      <c r="K48" s="59">
        <v>8179.22</v>
      </c>
      <c r="L48" s="59">
        <v>4708.18</v>
      </c>
      <c r="M48" s="255">
        <v>8632.2800000000007</v>
      </c>
      <c r="N48" s="59">
        <v>26071.02</v>
      </c>
      <c r="O48" s="59">
        <v>33608.43</v>
      </c>
      <c r="P48" s="59">
        <v>14521.63</v>
      </c>
      <c r="Q48" s="59">
        <v>8005.69</v>
      </c>
      <c r="R48" s="59">
        <v>22041.32</v>
      </c>
      <c r="S48" s="59">
        <v>9891.93</v>
      </c>
      <c r="T48" s="58">
        <v>9642.7900000000009</v>
      </c>
      <c r="U48" s="58">
        <v>4331.8</v>
      </c>
      <c r="V48" s="58">
        <v>10723.87</v>
      </c>
      <c r="W48" s="58">
        <v>29646.13</v>
      </c>
      <c r="X48" s="58">
        <v>23760.05</v>
      </c>
      <c r="Y48" s="58">
        <v>5304.68</v>
      </c>
      <c r="Z48" s="58">
        <v>6002.23</v>
      </c>
      <c r="AA48" s="58">
        <v>12935.52</v>
      </c>
      <c r="AB48" s="58">
        <v>15556.71</v>
      </c>
      <c r="AC48" s="58">
        <v>21381.42</v>
      </c>
      <c r="AD48" s="58">
        <v>10548.05</v>
      </c>
      <c r="AE48" s="58">
        <v>13068.54</v>
      </c>
      <c r="AF48" s="225">
        <v>18509.150000000001</v>
      </c>
      <c r="AG48" s="58">
        <v>83859.75</v>
      </c>
      <c r="AH48" s="58">
        <v>31123.49</v>
      </c>
      <c r="AI48" s="58">
        <v>4282.34</v>
      </c>
      <c r="AJ48" s="58">
        <v>12445.09</v>
      </c>
      <c r="AK48" s="58">
        <v>14142.3</v>
      </c>
      <c r="AL48" s="58">
        <v>3999.65</v>
      </c>
      <c r="AM48" s="58">
        <v>9540.6299999999992</v>
      </c>
      <c r="AN48" s="58">
        <v>3853.24</v>
      </c>
      <c r="AO48" s="58">
        <v>7916.17</v>
      </c>
      <c r="AP48" s="58">
        <v>5381.75</v>
      </c>
      <c r="AQ48" s="58">
        <v>13994.41</v>
      </c>
      <c r="AR48" s="58">
        <v>5200.38</v>
      </c>
      <c r="AS48" s="58">
        <v>10420.09</v>
      </c>
      <c r="AT48" s="58">
        <v>4348.6499999999996</v>
      </c>
      <c r="AU48" s="58">
        <v>8401.7000000000007</v>
      </c>
      <c r="AV48" s="58">
        <v>16219.28</v>
      </c>
      <c r="AW48" s="58">
        <v>16885.099999999999</v>
      </c>
      <c r="AX48" s="58">
        <v>4854.6499999999996</v>
      </c>
      <c r="AY48" s="58">
        <v>10101.89</v>
      </c>
      <c r="AZ48" s="58">
        <v>15563.31</v>
      </c>
      <c r="BA48" s="58">
        <v>40767.919999999998</v>
      </c>
      <c r="BB48" s="58">
        <v>8245.16</v>
      </c>
      <c r="BC48" s="225">
        <v>10442.450000000001</v>
      </c>
      <c r="BD48" s="58">
        <v>38766.92</v>
      </c>
      <c r="BE48" s="58">
        <v>37451.449999999997</v>
      </c>
      <c r="BF48" s="58">
        <v>12229.62</v>
      </c>
      <c r="BG48" s="58">
        <v>40197.49</v>
      </c>
      <c r="BH48" s="58">
        <v>26863.55</v>
      </c>
      <c r="BI48" s="58">
        <v>17139.7</v>
      </c>
      <c r="BJ48" s="58">
        <v>2554.33</v>
      </c>
      <c r="BK48" s="58">
        <v>7628.27</v>
      </c>
      <c r="BL48" s="58">
        <v>1624.4</v>
      </c>
      <c r="BM48" s="58">
        <v>601.4</v>
      </c>
      <c r="BN48" s="58">
        <v>9292.3700000000008</v>
      </c>
      <c r="BO48" s="58">
        <v>15172.21</v>
      </c>
      <c r="BP48" s="58">
        <v>20965.54</v>
      </c>
      <c r="BQ48" s="58">
        <v>12477.33</v>
      </c>
      <c r="BR48" s="58">
        <v>6812.46</v>
      </c>
      <c r="BS48" s="58">
        <v>28750.47</v>
      </c>
      <c r="BT48" s="58">
        <v>43803.61</v>
      </c>
      <c r="BU48" s="58">
        <v>27355.919999999998</v>
      </c>
      <c r="BV48" s="58">
        <v>14483.33</v>
      </c>
      <c r="BW48" s="58">
        <v>4549.4799999999996</v>
      </c>
      <c r="BX48" s="58">
        <v>7072.59</v>
      </c>
      <c r="BY48" s="225">
        <v>2854.49</v>
      </c>
      <c r="BZ48" s="58">
        <v>12561.18</v>
      </c>
      <c r="CA48" s="58">
        <v>32415.439999999999</v>
      </c>
      <c r="CB48" s="58">
        <v>10601.6</v>
      </c>
      <c r="CC48" s="58">
        <v>1283.42</v>
      </c>
      <c r="CD48" s="58">
        <v>1151.5</v>
      </c>
      <c r="CE48" s="58">
        <v>3230.62</v>
      </c>
      <c r="CF48" s="58">
        <v>1336.57</v>
      </c>
      <c r="CG48" s="58">
        <v>526.41999999999996</v>
      </c>
      <c r="CH48" s="58">
        <v>18972.16</v>
      </c>
      <c r="CI48" s="58">
        <v>21478.27</v>
      </c>
      <c r="CJ48" s="58">
        <v>6283.49</v>
      </c>
      <c r="CK48" s="58">
        <v>19297.150000000001</v>
      </c>
      <c r="CL48" s="58">
        <v>8587.6200000000008</v>
      </c>
      <c r="CM48" s="58">
        <v>15488.53</v>
      </c>
      <c r="CN48" s="58">
        <v>23597.7</v>
      </c>
      <c r="CO48" s="58">
        <v>5422.86</v>
      </c>
      <c r="CP48" s="58">
        <v>59438.74</v>
      </c>
      <c r="CQ48" s="58">
        <v>31101.07</v>
      </c>
      <c r="CR48" s="58">
        <v>25943.48</v>
      </c>
      <c r="CS48" s="225">
        <v>40259.089999999997</v>
      </c>
      <c r="CT48" s="58">
        <v>18615.689999999999</v>
      </c>
      <c r="CU48" s="58">
        <v>5184.91</v>
      </c>
      <c r="CV48" s="58">
        <v>49224.12</v>
      </c>
      <c r="CW48" s="58">
        <v>8175.09</v>
      </c>
      <c r="CX48" s="58">
        <v>12084.48</v>
      </c>
      <c r="CY48" s="58">
        <v>6309.76</v>
      </c>
      <c r="CZ48" s="58">
        <v>3899.01</v>
      </c>
      <c r="DA48" s="58">
        <v>8283.16</v>
      </c>
      <c r="DB48" s="58">
        <v>12834.36</v>
      </c>
      <c r="DC48" s="58">
        <v>44318.090000000004</v>
      </c>
      <c r="DD48" s="58">
        <v>17670.84</v>
      </c>
      <c r="DE48" s="58">
        <v>5425.82</v>
      </c>
      <c r="DF48" s="58">
        <v>5988.47</v>
      </c>
      <c r="DG48" s="58">
        <f>10247.63+31156.53</f>
        <v>41404.159999999996</v>
      </c>
      <c r="DH48" s="58">
        <v>15894.2</v>
      </c>
      <c r="DI48" s="58">
        <v>3354.5</v>
      </c>
      <c r="DJ48" s="58">
        <v>2029.95</v>
      </c>
      <c r="DK48" s="58">
        <v>2578.61</v>
      </c>
      <c r="DL48" s="58">
        <v>18565.169999999998</v>
      </c>
      <c r="DM48" s="58">
        <v>34867.49</v>
      </c>
      <c r="DN48" s="225">
        <v>20355.150000000001</v>
      </c>
      <c r="DO48" s="58">
        <v>36386.69</v>
      </c>
      <c r="DP48" s="58">
        <v>17230.419999999998</v>
      </c>
      <c r="DQ48" s="58">
        <v>36507.269999999997</v>
      </c>
      <c r="DR48" s="58">
        <v>21094.75</v>
      </c>
      <c r="DS48" s="58">
        <v>10816.2</v>
      </c>
      <c r="DT48" s="58">
        <v>14651.19</v>
      </c>
      <c r="DU48" s="58">
        <v>24265.15</v>
      </c>
      <c r="DV48" s="58">
        <v>32805.69</v>
      </c>
      <c r="DW48" s="58">
        <v>12417.23</v>
      </c>
      <c r="DX48" s="58">
        <v>9321.9599999999991</v>
      </c>
      <c r="DY48" s="58">
        <v>9261.9699999999993</v>
      </c>
      <c r="DZ48" s="58">
        <v>9393.64</v>
      </c>
      <c r="EA48" s="58">
        <v>17342.37</v>
      </c>
      <c r="EB48" s="58">
        <v>3352.41</v>
      </c>
      <c r="EC48" s="58">
        <v>1605.96</v>
      </c>
      <c r="ED48" s="58">
        <v>10203.81</v>
      </c>
      <c r="EE48" s="58">
        <v>30173.670000000002</v>
      </c>
      <c r="EF48" s="58">
        <v>14297.97</v>
      </c>
      <c r="EG48" s="58">
        <v>10945.1</v>
      </c>
      <c r="EH48" s="58">
        <v>13901.75</v>
      </c>
      <c r="EI48" s="58">
        <v>15679.83</v>
      </c>
      <c r="EJ48" s="225">
        <v>634.74</v>
      </c>
      <c r="EK48" s="352">
        <v>1034.1600000000001</v>
      </c>
      <c r="EL48" s="58">
        <v>14059.01</v>
      </c>
      <c r="EM48" s="58">
        <v>115.28</v>
      </c>
      <c r="EN48" s="58">
        <v>5715.1</v>
      </c>
      <c r="EO48" s="58">
        <v>1840.08</v>
      </c>
      <c r="EP48" s="58">
        <v>5303.09</v>
      </c>
      <c r="EQ48" s="58">
        <v>12502.11</v>
      </c>
      <c r="ER48" s="58">
        <v>9486.49</v>
      </c>
      <c r="ES48" s="58">
        <v>6020.55</v>
      </c>
      <c r="ET48" s="58">
        <v>7410.73</v>
      </c>
      <c r="EU48" s="58">
        <v>45117.23</v>
      </c>
      <c r="EV48" s="58">
        <v>12431.97</v>
      </c>
      <c r="EW48" s="58">
        <v>10851</v>
      </c>
      <c r="EX48" s="58">
        <v>2504.23</v>
      </c>
      <c r="EY48" s="58">
        <v>5508.92</v>
      </c>
      <c r="EZ48" s="58">
        <v>7642.63</v>
      </c>
      <c r="FA48" s="58">
        <v>9430.7099999999991</v>
      </c>
      <c r="FB48" s="58">
        <v>7580.31</v>
      </c>
      <c r="FC48" s="58">
        <v>3680.62</v>
      </c>
      <c r="FD48" s="58">
        <v>14018.38</v>
      </c>
      <c r="FE48" s="225">
        <v>4409.3</v>
      </c>
      <c r="FF48" s="58">
        <v>12852.35</v>
      </c>
      <c r="FG48" s="58">
        <v>530.52</v>
      </c>
      <c r="FH48" s="58">
        <v>13278.63</v>
      </c>
      <c r="FI48" s="58">
        <v>11024.13</v>
      </c>
      <c r="FJ48" s="412">
        <v>11927.15</v>
      </c>
      <c r="FK48" s="58">
        <v>5697.27</v>
      </c>
      <c r="FL48" s="58">
        <v>1204.68</v>
      </c>
      <c r="FM48" s="58">
        <v>17220.240000000002</v>
      </c>
      <c r="FN48" s="58">
        <v>1524.52</v>
      </c>
      <c r="FO48" s="58">
        <v>780.16</v>
      </c>
      <c r="FP48" s="58">
        <v>1010</v>
      </c>
      <c r="FQ48" s="58">
        <v>52427.61</v>
      </c>
      <c r="FR48" s="58">
        <v>47971.39</v>
      </c>
      <c r="FS48" s="58">
        <v>15771.449999999999</v>
      </c>
      <c r="FT48" s="58">
        <v>16433.16</v>
      </c>
      <c r="FU48" s="58">
        <v>1744.74</v>
      </c>
      <c r="FV48" s="58">
        <v>20663.599999999999</v>
      </c>
      <c r="FW48" s="58">
        <v>22862.82</v>
      </c>
      <c r="FX48" s="58">
        <v>12974.14</v>
      </c>
      <c r="FY48" s="58">
        <v>4177.43</v>
      </c>
      <c r="FZ48" s="225">
        <v>1794.75</v>
      </c>
      <c r="GA48" s="58">
        <v>4627.58</v>
      </c>
      <c r="GB48" s="58">
        <v>10574.06</v>
      </c>
      <c r="GC48" s="58">
        <v>16538.97</v>
      </c>
      <c r="GD48" s="58">
        <v>14223.57</v>
      </c>
      <c r="GE48" s="58">
        <v>34332.35</v>
      </c>
      <c r="GF48" s="58">
        <v>8621.06</v>
      </c>
      <c r="GG48" s="58">
        <v>12148.92</v>
      </c>
      <c r="GH48" s="58">
        <v>14068.58</v>
      </c>
      <c r="GI48" s="58">
        <v>7836.79</v>
      </c>
      <c r="GJ48" s="58">
        <v>459.94</v>
      </c>
      <c r="GK48" s="58">
        <v>654.83000000000004</v>
      </c>
      <c r="GL48" s="58">
        <v>32455.200000000001</v>
      </c>
      <c r="GM48" s="58">
        <v>9007.76</v>
      </c>
      <c r="GN48" s="58">
        <v>7415.91</v>
      </c>
      <c r="GO48" s="58">
        <v>19286.46</v>
      </c>
      <c r="GP48" s="58">
        <v>12030.07</v>
      </c>
      <c r="GQ48" s="58">
        <v>24782.959999999999</v>
      </c>
      <c r="GR48" s="58">
        <v>47046.01</v>
      </c>
      <c r="GS48" s="58">
        <v>5046.91</v>
      </c>
      <c r="GT48" s="225">
        <v>19025.52</v>
      </c>
      <c r="GU48" s="58">
        <v>19740.04</v>
      </c>
      <c r="GV48" s="58">
        <v>25082.43</v>
      </c>
      <c r="GW48" s="58">
        <v>4912.63</v>
      </c>
      <c r="GX48" s="58">
        <v>6687.7</v>
      </c>
      <c r="GY48" s="58">
        <v>7040.06</v>
      </c>
      <c r="GZ48" s="58">
        <v>40283.56</v>
      </c>
      <c r="HA48" s="58">
        <v>15464.53</v>
      </c>
      <c r="HB48" s="58">
        <v>16788.63</v>
      </c>
      <c r="HC48" s="58">
        <v>20648.509999999998</v>
      </c>
      <c r="HD48" s="58">
        <v>16656.27</v>
      </c>
      <c r="HE48" s="58">
        <v>13040.53</v>
      </c>
      <c r="HF48" s="58">
        <v>4279.3599999999997</v>
      </c>
      <c r="HG48" s="58">
        <v>10194.450000000001</v>
      </c>
      <c r="HH48" s="58">
        <v>6943.39</v>
      </c>
      <c r="HI48" s="58">
        <v>6475.12</v>
      </c>
      <c r="HJ48" s="58">
        <v>4928.18</v>
      </c>
      <c r="HK48" s="58">
        <v>11285.23</v>
      </c>
      <c r="HL48" s="58">
        <v>14829.82</v>
      </c>
      <c r="HM48" s="58">
        <v>7397.67</v>
      </c>
      <c r="HN48" s="58">
        <v>35292.28</v>
      </c>
      <c r="HO48" s="225">
        <v>24254.04</v>
      </c>
      <c r="HP48" s="58">
        <v>4909.55</v>
      </c>
      <c r="HQ48" s="58">
        <v>13126.06</v>
      </c>
      <c r="HR48" s="58">
        <v>25560.54</v>
      </c>
      <c r="HS48" s="58">
        <v>3575.86</v>
      </c>
      <c r="HT48" s="58">
        <v>773.79</v>
      </c>
      <c r="HU48" s="58">
        <v>3313.47</v>
      </c>
      <c r="HV48" s="58">
        <v>23548.21</v>
      </c>
      <c r="HW48" s="58">
        <v>33006.74</v>
      </c>
      <c r="HX48" s="58">
        <v>22887.75</v>
      </c>
      <c r="HY48" s="58">
        <v>3934.52</v>
      </c>
      <c r="HZ48" s="58">
        <v>5928.58</v>
      </c>
      <c r="IA48" s="58">
        <v>13068.68</v>
      </c>
      <c r="IB48" s="58">
        <v>14535.45</v>
      </c>
      <c r="IC48" s="58">
        <v>10196.89</v>
      </c>
      <c r="ID48" s="58">
        <v>15302.31</v>
      </c>
      <c r="IE48" s="58">
        <v>3546.82</v>
      </c>
      <c r="IF48" s="58">
        <v>8504.92</v>
      </c>
      <c r="IG48" s="58">
        <v>41518.85</v>
      </c>
      <c r="IH48" s="58">
        <v>1168.43</v>
      </c>
      <c r="II48" s="58">
        <v>3385.65</v>
      </c>
      <c r="IJ48" s="225">
        <v>445.56</v>
      </c>
      <c r="IK48" s="58">
        <v>741.34</v>
      </c>
      <c r="IL48" s="58">
        <v>251.37</v>
      </c>
      <c r="IM48" s="58">
        <v>24254.240000000002</v>
      </c>
      <c r="IN48" s="58">
        <v>14522.09</v>
      </c>
      <c r="IO48" s="58">
        <v>41696.74</v>
      </c>
      <c r="IP48" s="58">
        <v>20426.29</v>
      </c>
      <c r="IQ48" s="58">
        <v>10076.549999999999</v>
      </c>
      <c r="IR48" s="58">
        <v>5129.55</v>
      </c>
      <c r="IS48" s="58">
        <v>38945.18</v>
      </c>
      <c r="IT48" s="59"/>
      <c r="IU48" s="58">
        <f>SUM(C48:IT48)</f>
        <v>3672831.9000000018</v>
      </c>
    </row>
    <row r="49" spans="1:255" s="42" customFormat="1" ht="14.1" customHeight="1" thickBot="1">
      <c r="A49" s="44" t="s">
        <v>24</v>
      </c>
      <c r="B49" s="45"/>
      <c r="C49" s="46">
        <f t="shared" ref="C49:BN49" si="10">SUM(C30:C48)</f>
        <v>529707.52000000002</v>
      </c>
      <c r="D49" s="46">
        <f t="shared" si="10"/>
        <v>4289895.9000000013</v>
      </c>
      <c r="E49" s="46">
        <f t="shared" si="10"/>
        <v>1610507.12</v>
      </c>
      <c r="F49" s="46">
        <f t="shared" si="10"/>
        <v>1448644.13</v>
      </c>
      <c r="G49" s="46">
        <f t="shared" si="10"/>
        <v>2221270.2599999998</v>
      </c>
      <c r="H49" s="46">
        <f t="shared" si="10"/>
        <v>17755910.209999997</v>
      </c>
      <c r="I49" s="46">
        <f t="shared" si="10"/>
        <v>151618040.28999999</v>
      </c>
      <c r="J49" s="46">
        <f t="shared" si="10"/>
        <v>1540640.7</v>
      </c>
      <c r="K49" s="46">
        <f t="shared" si="10"/>
        <v>1383876.2799999998</v>
      </c>
      <c r="L49" s="46">
        <f t="shared" si="10"/>
        <v>127507200.16000001</v>
      </c>
      <c r="M49" s="66">
        <f t="shared" si="10"/>
        <v>69435538.13000001</v>
      </c>
      <c r="N49" s="46">
        <f t="shared" si="10"/>
        <v>2592127.35</v>
      </c>
      <c r="O49" s="46">
        <f t="shared" si="10"/>
        <v>633349.93000000005</v>
      </c>
      <c r="P49" s="46">
        <f t="shared" si="10"/>
        <v>758015.51</v>
      </c>
      <c r="Q49" s="46">
        <f t="shared" si="10"/>
        <v>3600154.22</v>
      </c>
      <c r="R49" s="46">
        <f t="shared" si="10"/>
        <v>1396720.12</v>
      </c>
      <c r="S49" s="46">
        <f t="shared" si="10"/>
        <v>3548292.25</v>
      </c>
      <c r="T49" s="46">
        <f t="shared" si="10"/>
        <v>63553656.289999999</v>
      </c>
      <c r="U49" s="46">
        <f t="shared" si="10"/>
        <v>715725.79</v>
      </c>
      <c r="V49" s="46">
        <f t="shared" si="10"/>
        <v>1175912.01</v>
      </c>
      <c r="W49" s="46">
        <f t="shared" si="10"/>
        <v>2832320.47</v>
      </c>
      <c r="X49" s="46">
        <f t="shared" si="10"/>
        <v>2684891.06</v>
      </c>
      <c r="Y49" s="46">
        <f t="shared" si="10"/>
        <v>1683293.7799999998</v>
      </c>
      <c r="Z49" s="46">
        <f t="shared" si="10"/>
        <v>1605720.08</v>
      </c>
      <c r="AA49" s="46">
        <f t="shared" si="10"/>
        <v>18613397.719999999</v>
      </c>
      <c r="AB49" s="46">
        <f t="shared" si="10"/>
        <v>1931689.56</v>
      </c>
      <c r="AC49" s="46">
        <f t="shared" si="10"/>
        <v>1230031.6499999999</v>
      </c>
      <c r="AD49" s="46">
        <f t="shared" si="10"/>
        <v>999642.3</v>
      </c>
      <c r="AE49" s="46">
        <f t="shared" si="10"/>
        <v>341245.20999999996</v>
      </c>
      <c r="AF49" s="66">
        <f t="shared" si="10"/>
        <v>67728898.830000013</v>
      </c>
      <c r="AG49" s="46">
        <f t="shared" si="10"/>
        <v>2023889.13</v>
      </c>
      <c r="AH49" s="46">
        <f t="shared" si="10"/>
        <v>1600646.61</v>
      </c>
      <c r="AI49" s="46">
        <f t="shared" si="10"/>
        <v>636134.31999999995</v>
      </c>
      <c r="AJ49" s="46">
        <f t="shared" si="10"/>
        <v>1248261.5300000003</v>
      </c>
      <c r="AK49" s="46">
        <f t="shared" si="10"/>
        <v>5168462.4099999992</v>
      </c>
      <c r="AL49" s="46">
        <f t="shared" si="10"/>
        <v>3043396.83</v>
      </c>
      <c r="AM49" s="46">
        <f t="shared" si="10"/>
        <v>299611.17</v>
      </c>
      <c r="AN49" s="46">
        <f t="shared" si="10"/>
        <v>3886999.69</v>
      </c>
      <c r="AO49" s="46">
        <f t="shared" si="10"/>
        <v>104846.2</v>
      </c>
      <c r="AP49" s="46">
        <f t="shared" si="10"/>
        <v>291096.13999999996</v>
      </c>
      <c r="AQ49" s="46">
        <f t="shared" si="10"/>
        <v>2984561.8000000003</v>
      </c>
      <c r="AR49" s="46">
        <f t="shared" si="10"/>
        <v>888372.73</v>
      </c>
      <c r="AS49" s="46">
        <f t="shared" si="10"/>
        <v>3782195.63</v>
      </c>
      <c r="AT49" s="46">
        <f t="shared" si="10"/>
        <v>257222.06</v>
      </c>
      <c r="AU49" s="46">
        <f t="shared" si="10"/>
        <v>3010104.89</v>
      </c>
      <c r="AV49" s="46">
        <f t="shared" si="10"/>
        <v>16493989.02</v>
      </c>
      <c r="AW49" s="46">
        <f t="shared" si="10"/>
        <v>1577543.19</v>
      </c>
      <c r="AX49" s="46">
        <f t="shared" si="10"/>
        <v>1424816.42</v>
      </c>
      <c r="AY49" s="46">
        <f t="shared" si="10"/>
        <v>745533.9</v>
      </c>
      <c r="AZ49" s="46">
        <f t="shared" si="10"/>
        <v>718670.90000000014</v>
      </c>
      <c r="BA49" s="46">
        <f t="shared" si="10"/>
        <v>1788418.02</v>
      </c>
      <c r="BB49" s="46">
        <f t="shared" si="10"/>
        <v>5206446.76</v>
      </c>
      <c r="BC49" s="66">
        <f t="shared" si="10"/>
        <v>68696752.049999997</v>
      </c>
      <c r="BD49" s="46">
        <f t="shared" si="10"/>
        <v>887827.4</v>
      </c>
      <c r="BE49" s="46">
        <f t="shared" si="10"/>
        <v>4540502.5200000005</v>
      </c>
      <c r="BF49" s="46">
        <f t="shared" si="10"/>
        <v>5094379.7499999991</v>
      </c>
      <c r="BG49" s="46">
        <f t="shared" si="10"/>
        <v>481360.42</v>
      </c>
      <c r="BH49" s="46">
        <f t="shared" si="10"/>
        <v>3123560.0599999996</v>
      </c>
      <c r="BI49" s="46">
        <f t="shared" si="10"/>
        <v>405267.56</v>
      </c>
      <c r="BJ49" s="46">
        <f t="shared" si="10"/>
        <v>1300189.32</v>
      </c>
      <c r="BK49" s="46">
        <f t="shared" si="10"/>
        <v>3788489.84</v>
      </c>
      <c r="BL49" s="46">
        <f t="shared" si="10"/>
        <v>1099603.2599999998</v>
      </c>
      <c r="BM49" s="46">
        <f t="shared" si="10"/>
        <v>1372815.6199999999</v>
      </c>
      <c r="BN49" s="46">
        <f t="shared" si="10"/>
        <v>3859446.4</v>
      </c>
      <c r="BO49" s="46">
        <f t="shared" ref="BO49:DZ49" si="11">SUM(BO30:BO48)</f>
        <v>4901696.13</v>
      </c>
      <c r="BP49" s="46">
        <f t="shared" si="11"/>
        <v>3414319.07</v>
      </c>
      <c r="BQ49" s="46">
        <f t="shared" si="11"/>
        <v>867081.00999999989</v>
      </c>
      <c r="BR49" s="46">
        <f t="shared" si="11"/>
        <v>15520492.950000003</v>
      </c>
      <c r="BS49" s="46">
        <f t="shared" si="11"/>
        <v>1227738.3699999999</v>
      </c>
      <c r="BT49" s="46">
        <f t="shared" si="11"/>
        <v>1182752.8900000001</v>
      </c>
      <c r="BU49" s="46">
        <f t="shared" si="11"/>
        <v>1571654.57</v>
      </c>
      <c r="BV49" s="46">
        <f t="shared" si="11"/>
        <v>4708286.92</v>
      </c>
      <c r="BW49" s="46">
        <f t="shared" si="11"/>
        <v>1158606.5999999999</v>
      </c>
      <c r="BX49" s="46">
        <f t="shared" si="11"/>
        <v>234765.05</v>
      </c>
      <c r="BY49" s="66">
        <f t="shared" si="11"/>
        <v>71894240.510000005</v>
      </c>
      <c r="BZ49" s="46">
        <f t="shared" si="11"/>
        <v>1819988.3099999998</v>
      </c>
      <c r="CA49" s="46">
        <f t="shared" si="11"/>
        <v>1124725.8</v>
      </c>
      <c r="CB49" s="46">
        <f t="shared" si="11"/>
        <v>9682875.9399999995</v>
      </c>
      <c r="CC49" s="46">
        <f t="shared" si="11"/>
        <v>272449.95</v>
      </c>
      <c r="CD49" s="46">
        <f t="shared" si="11"/>
        <v>532598.21000000008</v>
      </c>
      <c r="CE49" s="46">
        <f t="shared" si="11"/>
        <v>2921947.2800000003</v>
      </c>
      <c r="CF49" s="46">
        <f t="shared" si="11"/>
        <v>1229968.9300000002</v>
      </c>
      <c r="CG49" s="46">
        <f t="shared" si="11"/>
        <v>1749751.89</v>
      </c>
      <c r="CH49" s="46">
        <f t="shared" si="11"/>
        <v>4161195.1300000004</v>
      </c>
      <c r="CI49" s="46">
        <f t="shared" si="11"/>
        <v>3239579.58</v>
      </c>
      <c r="CJ49" s="46">
        <f t="shared" si="11"/>
        <v>1409565.3</v>
      </c>
      <c r="CK49" s="46">
        <f t="shared" si="11"/>
        <v>1357733.77</v>
      </c>
      <c r="CL49" s="46">
        <f t="shared" si="11"/>
        <v>750228.61</v>
      </c>
      <c r="CM49" s="46">
        <f t="shared" si="11"/>
        <v>18452249.390000001</v>
      </c>
      <c r="CN49" s="46">
        <f t="shared" si="11"/>
        <v>1186034.6199999999</v>
      </c>
      <c r="CO49" s="46">
        <f t="shared" si="11"/>
        <v>1381480.5299999998</v>
      </c>
      <c r="CP49" s="46">
        <f t="shared" si="11"/>
        <v>1962318.56</v>
      </c>
      <c r="CQ49" s="46">
        <f t="shared" si="11"/>
        <v>312840.07</v>
      </c>
      <c r="CR49" s="46">
        <f t="shared" si="11"/>
        <v>4711873.3000000007</v>
      </c>
      <c r="CS49" s="66">
        <f t="shared" si="11"/>
        <v>65648387.530000001</v>
      </c>
      <c r="CT49" s="46">
        <f t="shared" si="11"/>
        <v>2435586.2999999998</v>
      </c>
      <c r="CU49" s="46">
        <f t="shared" si="11"/>
        <v>2897180.41</v>
      </c>
      <c r="CV49" s="46">
        <f t="shared" si="11"/>
        <v>1970927.58</v>
      </c>
      <c r="CW49" s="46">
        <f t="shared" si="11"/>
        <v>2087057.1800000002</v>
      </c>
      <c r="CX49" s="46">
        <f t="shared" si="11"/>
        <v>2431921.5499999998</v>
      </c>
      <c r="CY49" s="46">
        <f t="shared" si="11"/>
        <v>1641665.17</v>
      </c>
      <c r="CZ49" s="46">
        <f t="shared" si="11"/>
        <v>1551181.0799999998</v>
      </c>
      <c r="DA49" s="46">
        <f t="shared" si="11"/>
        <v>791467.88000000012</v>
      </c>
      <c r="DB49" s="46">
        <f t="shared" si="11"/>
        <v>7171507.21</v>
      </c>
      <c r="DC49" s="46">
        <f t="shared" si="11"/>
        <v>1290046.6900000002</v>
      </c>
      <c r="DD49" s="46">
        <f t="shared" si="11"/>
        <v>15169257.699999997</v>
      </c>
      <c r="DE49" s="46">
        <f t="shared" si="11"/>
        <v>2255441.63</v>
      </c>
      <c r="DF49" s="46">
        <f t="shared" si="11"/>
        <v>1645872.98</v>
      </c>
      <c r="DG49" s="46">
        <f t="shared" si="11"/>
        <v>1772388.68</v>
      </c>
      <c r="DH49" s="46">
        <f t="shared" si="11"/>
        <v>314100.71000000002</v>
      </c>
      <c r="DI49" s="46">
        <f t="shared" si="11"/>
        <v>823022.05999999994</v>
      </c>
      <c r="DJ49" s="46">
        <f t="shared" si="11"/>
        <v>295959.20999999996</v>
      </c>
      <c r="DK49" s="46">
        <f t="shared" si="11"/>
        <v>2336835.65</v>
      </c>
      <c r="DL49" s="46">
        <f t="shared" si="11"/>
        <v>181694.21999999997</v>
      </c>
      <c r="DM49" s="46">
        <f t="shared" si="11"/>
        <v>127270.34</v>
      </c>
      <c r="DN49" s="66">
        <f t="shared" si="11"/>
        <v>73343176.100000009</v>
      </c>
      <c r="DO49" s="46">
        <f t="shared" si="11"/>
        <v>1028615.73</v>
      </c>
      <c r="DP49" s="46">
        <f t="shared" si="11"/>
        <v>7529626.0800000001</v>
      </c>
      <c r="DQ49" s="46">
        <f t="shared" si="11"/>
        <v>1598869.42</v>
      </c>
      <c r="DR49" s="46">
        <f t="shared" si="11"/>
        <v>2844579.2600000002</v>
      </c>
      <c r="DS49" s="46">
        <f t="shared" si="11"/>
        <v>3010235.85</v>
      </c>
      <c r="DT49" s="46">
        <f t="shared" si="11"/>
        <v>756302.4</v>
      </c>
      <c r="DU49" s="46">
        <f t="shared" si="11"/>
        <v>5228834.5</v>
      </c>
      <c r="DV49" s="46">
        <f t="shared" si="11"/>
        <v>1336223.8400000001</v>
      </c>
      <c r="DW49" s="46">
        <f t="shared" si="11"/>
        <v>699029.70000000007</v>
      </c>
      <c r="DX49" s="46">
        <f t="shared" si="11"/>
        <v>4888440.1899999995</v>
      </c>
      <c r="DY49" s="46">
        <f t="shared" si="11"/>
        <v>606048.1399999999</v>
      </c>
      <c r="DZ49" s="46">
        <f t="shared" si="11"/>
        <v>4311196.66</v>
      </c>
      <c r="EA49" s="46">
        <f t="shared" ref="EA49:GL49" si="12">SUM(EA30:EA48)</f>
        <v>494949.45</v>
      </c>
      <c r="EB49" s="46">
        <f t="shared" si="12"/>
        <v>502596.77</v>
      </c>
      <c r="EC49" s="46">
        <f t="shared" si="12"/>
        <v>3230271.04</v>
      </c>
      <c r="ED49" s="46">
        <f t="shared" si="12"/>
        <v>14134141.98</v>
      </c>
      <c r="EE49" s="46">
        <f t="shared" si="12"/>
        <v>2583951.87</v>
      </c>
      <c r="EF49" s="46">
        <f t="shared" si="12"/>
        <v>352865.13</v>
      </c>
      <c r="EG49" s="46">
        <f t="shared" si="12"/>
        <v>338840.36</v>
      </c>
      <c r="EH49" s="46">
        <f t="shared" si="12"/>
        <v>1821152.39</v>
      </c>
      <c r="EI49" s="46">
        <f t="shared" si="12"/>
        <v>904805.94</v>
      </c>
      <c r="EJ49" s="66">
        <f t="shared" si="12"/>
        <v>65540831.210000001</v>
      </c>
      <c r="EK49" s="339">
        <f t="shared" si="12"/>
        <v>1747890.93</v>
      </c>
      <c r="EL49" s="46">
        <f t="shared" si="12"/>
        <v>3509161.4799999995</v>
      </c>
      <c r="EM49" s="46">
        <f t="shared" si="12"/>
        <v>3464782.13</v>
      </c>
      <c r="EN49" s="46">
        <f t="shared" si="12"/>
        <v>429038.58999999997</v>
      </c>
      <c r="EO49" s="46">
        <f t="shared" si="12"/>
        <v>2195636.23</v>
      </c>
      <c r="EP49" s="46">
        <f t="shared" si="12"/>
        <v>4121278.53</v>
      </c>
      <c r="EQ49" s="46">
        <f t="shared" si="12"/>
        <v>540573.56999999995</v>
      </c>
      <c r="ER49" s="46">
        <f t="shared" si="12"/>
        <v>2818919.7100000004</v>
      </c>
      <c r="ES49" s="46">
        <f t="shared" si="12"/>
        <v>199057.05</v>
      </c>
      <c r="ET49" s="46">
        <f t="shared" si="12"/>
        <v>1260308.7799999998</v>
      </c>
      <c r="EU49" s="46">
        <f t="shared" si="12"/>
        <v>3904351.47</v>
      </c>
      <c r="EV49" s="46">
        <f t="shared" si="12"/>
        <v>3259309.8400000003</v>
      </c>
      <c r="EW49" s="46">
        <f t="shared" si="12"/>
        <v>1071931.08</v>
      </c>
      <c r="EX49" s="46">
        <f t="shared" si="12"/>
        <v>185355.81000000003</v>
      </c>
      <c r="EY49" s="46">
        <f t="shared" si="12"/>
        <v>16277438.65</v>
      </c>
      <c r="EZ49" s="46">
        <f t="shared" si="12"/>
        <v>1687826.9699999997</v>
      </c>
      <c r="FA49" s="46">
        <f t="shared" si="12"/>
        <v>517931.80000000005</v>
      </c>
      <c r="FB49" s="46">
        <f t="shared" si="12"/>
        <v>1684319.63</v>
      </c>
      <c r="FC49" s="46">
        <f t="shared" si="12"/>
        <v>412512.41</v>
      </c>
      <c r="FD49" s="46">
        <f t="shared" si="12"/>
        <v>1592093.01</v>
      </c>
      <c r="FE49" s="66">
        <f t="shared" si="12"/>
        <v>67525076.769999996</v>
      </c>
      <c r="FF49" s="46">
        <f t="shared" si="12"/>
        <v>1366487.83</v>
      </c>
      <c r="FG49" s="46">
        <f t="shared" si="12"/>
        <v>672648.05</v>
      </c>
      <c r="FH49" s="46">
        <f t="shared" si="12"/>
        <v>4343178.1399999997</v>
      </c>
      <c r="FI49" s="46">
        <f t="shared" si="12"/>
        <v>4573819.9000000004</v>
      </c>
      <c r="FJ49" s="66">
        <f t="shared" si="12"/>
        <v>642041.04</v>
      </c>
      <c r="FK49" s="46">
        <f t="shared" si="12"/>
        <v>2374627.9500000002</v>
      </c>
      <c r="FL49" s="46">
        <f t="shared" si="12"/>
        <v>291677.26</v>
      </c>
      <c r="FM49" s="46">
        <f t="shared" si="12"/>
        <v>4777100.29</v>
      </c>
      <c r="FN49" s="46">
        <f t="shared" si="12"/>
        <v>5650048.1200000001</v>
      </c>
      <c r="FO49" s="46">
        <f t="shared" si="12"/>
        <v>36187765.120000005</v>
      </c>
      <c r="FP49" s="46">
        <f t="shared" si="12"/>
        <v>1171582.5999999999</v>
      </c>
      <c r="FQ49" s="46">
        <f t="shared" si="12"/>
        <v>834922.38</v>
      </c>
      <c r="FR49" s="46">
        <f t="shared" si="12"/>
        <v>4243588.78</v>
      </c>
      <c r="FS49" s="46">
        <f t="shared" si="12"/>
        <v>3462573.58</v>
      </c>
      <c r="FT49" s="46">
        <f t="shared" si="12"/>
        <v>19899155.169999998</v>
      </c>
      <c r="FU49" s="46">
        <f t="shared" si="12"/>
        <v>525890.23</v>
      </c>
      <c r="FV49" s="46">
        <f t="shared" si="12"/>
        <v>4730455.8</v>
      </c>
      <c r="FW49" s="46">
        <f t="shared" si="12"/>
        <v>406862.30000000005</v>
      </c>
      <c r="FX49" s="46">
        <f t="shared" si="12"/>
        <v>3677078.5600000005</v>
      </c>
      <c r="FY49" s="46">
        <f t="shared" si="12"/>
        <v>1777368.7100000002</v>
      </c>
      <c r="FZ49" s="66">
        <f t="shared" si="12"/>
        <v>69258224.230000004</v>
      </c>
      <c r="GA49" s="46">
        <f t="shared" si="12"/>
        <v>7698888.709999999</v>
      </c>
      <c r="GB49" s="46">
        <f t="shared" si="12"/>
        <v>2705797.88</v>
      </c>
      <c r="GC49" s="46">
        <f t="shared" si="12"/>
        <v>876966.02</v>
      </c>
      <c r="GD49" s="46">
        <f t="shared" si="12"/>
        <v>1065288.55</v>
      </c>
      <c r="GE49" s="46">
        <f t="shared" si="12"/>
        <v>1914783.5499999998</v>
      </c>
      <c r="GF49" s="46">
        <f t="shared" si="12"/>
        <v>725845.35</v>
      </c>
      <c r="GG49" s="46">
        <f t="shared" si="12"/>
        <v>6781725.8300000001</v>
      </c>
      <c r="GH49" s="46">
        <f t="shared" si="12"/>
        <v>1317387.08</v>
      </c>
      <c r="GI49" s="46">
        <f t="shared" si="12"/>
        <v>12584659.870000001</v>
      </c>
      <c r="GJ49" s="46">
        <f t="shared" si="12"/>
        <v>1545646.3699999999</v>
      </c>
      <c r="GK49" s="46">
        <f t="shared" si="12"/>
        <v>3986480.7699999996</v>
      </c>
      <c r="GL49" s="46">
        <f t="shared" si="12"/>
        <v>2909289.35</v>
      </c>
      <c r="GM49" s="46">
        <f t="shared" ref="GM49:IT49" si="13">SUM(GM30:GM48)</f>
        <v>1182299.3700000001</v>
      </c>
      <c r="GN49" s="46">
        <f t="shared" si="13"/>
        <v>1729792.3599999999</v>
      </c>
      <c r="GO49" s="46">
        <f t="shared" si="13"/>
        <v>2004256.5199999998</v>
      </c>
      <c r="GP49" s="46">
        <f t="shared" si="13"/>
        <v>15906408.600000001</v>
      </c>
      <c r="GQ49" s="46">
        <f t="shared" si="13"/>
        <v>1986118.47</v>
      </c>
      <c r="GR49" s="46">
        <f t="shared" si="13"/>
        <v>1116763.08</v>
      </c>
      <c r="GS49" s="46">
        <f t="shared" si="13"/>
        <v>2095817.28</v>
      </c>
      <c r="GT49" s="66">
        <f t="shared" si="13"/>
        <v>69582846.799999997</v>
      </c>
      <c r="GU49" s="46">
        <f t="shared" si="13"/>
        <v>2687729.73</v>
      </c>
      <c r="GV49" s="46">
        <f t="shared" si="13"/>
        <v>1141983.7699999998</v>
      </c>
      <c r="GW49" s="46">
        <f t="shared" si="13"/>
        <v>3242198.16</v>
      </c>
      <c r="GX49" s="46">
        <f t="shared" si="13"/>
        <v>603385.73</v>
      </c>
      <c r="GY49" s="46">
        <f t="shared" si="13"/>
        <v>590747.98</v>
      </c>
      <c r="GZ49" s="46">
        <f t="shared" si="13"/>
        <v>9375913.3800000008</v>
      </c>
      <c r="HA49" s="46">
        <f t="shared" si="13"/>
        <v>777535.8600000001</v>
      </c>
      <c r="HB49" s="46">
        <f t="shared" si="13"/>
        <v>1861100.8599999999</v>
      </c>
      <c r="HC49" s="46">
        <f t="shared" si="13"/>
        <v>3989537.46</v>
      </c>
      <c r="HD49" s="46">
        <f t="shared" si="13"/>
        <v>1446936.3800000001</v>
      </c>
      <c r="HE49" s="46">
        <f t="shared" si="13"/>
        <v>807640.11</v>
      </c>
      <c r="HF49" s="46">
        <f t="shared" si="13"/>
        <v>1754989.7600000002</v>
      </c>
      <c r="HG49" s="46">
        <f t="shared" si="13"/>
        <v>145522.53000000003</v>
      </c>
      <c r="HH49" s="46">
        <f t="shared" si="13"/>
        <v>15293207.530000001</v>
      </c>
      <c r="HI49" s="46">
        <f t="shared" si="13"/>
        <v>3509198.26</v>
      </c>
      <c r="HJ49" s="46">
        <f t="shared" si="13"/>
        <v>2787172.7</v>
      </c>
      <c r="HK49" s="46">
        <f t="shared" si="13"/>
        <v>2703217.65</v>
      </c>
      <c r="HL49" s="46">
        <f t="shared" si="13"/>
        <v>1181386.4879999999</v>
      </c>
      <c r="HM49" s="46">
        <f t="shared" si="13"/>
        <v>3450225</v>
      </c>
      <c r="HN49" s="46">
        <f t="shared" si="13"/>
        <v>4225386.75</v>
      </c>
      <c r="HO49" s="66">
        <f>SUM(HO30:HO48)</f>
        <v>71639636.350000009</v>
      </c>
      <c r="HP49" s="46">
        <f t="shared" si="13"/>
        <v>1231494.6000000001</v>
      </c>
      <c r="HQ49" s="46">
        <f t="shared" si="13"/>
        <v>856871.89999999991</v>
      </c>
      <c r="HR49" s="46">
        <f t="shared" si="13"/>
        <v>506722.10000000003</v>
      </c>
      <c r="HS49" s="46">
        <f t="shared" si="13"/>
        <v>10580320.699999999</v>
      </c>
      <c r="HT49" s="46">
        <f t="shared" si="13"/>
        <v>635932.44999999995</v>
      </c>
      <c r="HU49" s="46">
        <f t="shared" si="13"/>
        <v>3087171.96</v>
      </c>
      <c r="HV49" s="46">
        <f t="shared" si="13"/>
        <v>3951761.03</v>
      </c>
      <c r="HW49" s="46">
        <f t="shared" si="13"/>
        <v>1890669.84</v>
      </c>
      <c r="HX49" s="46">
        <f t="shared" si="13"/>
        <v>732325.74000000011</v>
      </c>
      <c r="HY49" s="46">
        <f t="shared" si="13"/>
        <v>18530170.379999999</v>
      </c>
      <c r="HZ49" s="46">
        <f t="shared" si="13"/>
        <v>97817.560000000012</v>
      </c>
      <c r="IA49" s="46">
        <f t="shared" si="13"/>
        <v>1387393.5</v>
      </c>
      <c r="IB49" s="46">
        <f t="shared" si="13"/>
        <v>230409.85</v>
      </c>
      <c r="IC49" s="46">
        <f t="shared" si="13"/>
        <v>31136438.369999997</v>
      </c>
      <c r="ID49" s="46">
        <f t="shared" si="13"/>
        <v>454650.81999999995</v>
      </c>
      <c r="IE49" s="46">
        <f t="shared" si="13"/>
        <v>2362145.6</v>
      </c>
      <c r="IF49" s="46">
        <f t="shared" si="13"/>
        <v>2223035.04</v>
      </c>
      <c r="IG49" s="46">
        <f t="shared" si="13"/>
        <v>2307228.3400000003</v>
      </c>
      <c r="IH49" s="46">
        <f t="shared" si="13"/>
        <v>3709097.64</v>
      </c>
      <c r="II49" s="46">
        <f t="shared" si="13"/>
        <v>366430.49000000011</v>
      </c>
      <c r="IJ49" s="66">
        <f t="shared" si="13"/>
        <v>66358156.390000001</v>
      </c>
      <c r="IK49" s="46">
        <f t="shared" si="13"/>
        <v>5921133.7300000004</v>
      </c>
      <c r="IL49" s="46">
        <f t="shared" si="13"/>
        <v>1172835.31</v>
      </c>
      <c r="IM49" s="46">
        <f t="shared" si="13"/>
        <v>91390065.159999996</v>
      </c>
      <c r="IN49" s="46">
        <f t="shared" si="13"/>
        <v>5199273.2799999993</v>
      </c>
      <c r="IO49" s="46">
        <f t="shared" si="13"/>
        <v>3175582.3200000003</v>
      </c>
      <c r="IP49" s="46">
        <f t="shared" si="13"/>
        <v>610391.15</v>
      </c>
      <c r="IQ49" s="46">
        <f t="shared" si="13"/>
        <v>2053504.53</v>
      </c>
      <c r="IR49" s="46">
        <f>SUM(IR30:IR48)</f>
        <v>34592557.060000002</v>
      </c>
      <c r="IS49" s="46">
        <f>SUM(IS30:IS48)</f>
        <v>3332279.41</v>
      </c>
      <c r="IT49" s="46">
        <f t="shared" si="13"/>
        <v>0</v>
      </c>
      <c r="IU49" s="46">
        <f>SUM(IU30:IV48)</f>
        <v>2043989018.0179996</v>
      </c>
    </row>
    <row r="50" spans="1:255" s="161" customFormat="1" ht="14.1" customHeight="1" thickTop="1">
      <c r="A50" s="3" t="s">
        <v>14</v>
      </c>
      <c r="B50" s="3"/>
      <c r="C50" s="159">
        <v>1233652.28</v>
      </c>
      <c r="D50" s="6">
        <v>254563.82</v>
      </c>
      <c r="E50" s="6">
        <v>161536.93</v>
      </c>
      <c r="F50" s="6">
        <v>508752.51</v>
      </c>
      <c r="G50" s="6">
        <v>335095.09000000003</v>
      </c>
      <c r="H50" s="6">
        <v>270561.52</v>
      </c>
      <c r="I50" s="6">
        <v>207725.27</v>
      </c>
      <c r="J50" s="6">
        <v>226722.01</v>
      </c>
      <c r="K50" s="6">
        <v>267688.67</v>
      </c>
      <c r="L50" s="6">
        <v>417552.68</v>
      </c>
      <c r="M50" s="226">
        <v>349872.82</v>
      </c>
      <c r="N50" s="6">
        <v>251846.79</v>
      </c>
      <c r="O50" s="6">
        <v>124655.2</v>
      </c>
      <c r="P50" s="6">
        <v>305341.90999999997</v>
      </c>
      <c r="Q50" s="6">
        <v>297714.58</v>
      </c>
      <c r="R50" s="6">
        <v>220803.64</v>
      </c>
      <c r="S50" s="6">
        <v>3470455.36</v>
      </c>
      <c r="T50" s="6">
        <v>309655.45</v>
      </c>
      <c r="U50" s="6">
        <v>234646.16</v>
      </c>
      <c r="V50" s="6">
        <v>226263.28</v>
      </c>
      <c r="W50" s="6">
        <v>159306.21</v>
      </c>
      <c r="X50" s="6">
        <v>214825.35</v>
      </c>
      <c r="Y50" s="6">
        <v>208405.87</v>
      </c>
      <c r="Z50" s="6">
        <v>255185.91</v>
      </c>
      <c r="AA50" s="6">
        <v>620533.29</v>
      </c>
      <c r="AB50" s="6">
        <v>209870.5</v>
      </c>
      <c r="AC50" s="6">
        <v>179941.78</v>
      </c>
      <c r="AD50" s="6">
        <v>128677.36</v>
      </c>
      <c r="AE50" s="6">
        <v>287754.69</v>
      </c>
      <c r="AF50" s="226">
        <v>278607.53999999998</v>
      </c>
      <c r="AG50" s="6">
        <v>145029.69</v>
      </c>
      <c r="AH50" s="6">
        <v>194959.71</v>
      </c>
      <c r="AI50" s="6">
        <v>125754.15</v>
      </c>
      <c r="AJ50" s="6">
        <v>186339.93</v>
      </c>
      <c r="AK50" s="6">
        <v>221748.44</v>
      </c>
      <c r="AL50" s="6">
        <v>137400.37</v>
      </c>
      <c r="AM50" s="6">
        <v>217990.13</v>
      </c>
      <c r="AN50" s="6">
        <v>719794.52</v>
      </c>
      <c r="AO50" s="6">
        <v>166057.49</v>
      </c>
      <c r="AP50" s="6">
        <v>179199.1</v>
      </c>
      <c r="AQ50" s="6">
        <v>214383.27</v>
      </c>
      <c r="AR50" s="6">
        <v>154678.95000000001</v>
      </c>
      <c r="AS50" s="6">
        <v>205186.08</v>
      </c>
      <c r="AT50" s="6">
        <v>174887.17</v>
      </c>
      <c r="AU50" s="6">
        <v>106241.5</v>
      </c>
      <c r="AV50" s="6">
        <v>167705.57999999999</v>
      </c>
      <c r="AW50" s="6">
        <v>199077.85</v>
      </c>
      <c r="AX50" s="6">
        <v>218351.04</v>
      </c>
      <c r="AY50" s="6">
        <v>717791.87</v>
      </c>
      <c r="AZ50" s="6">
        <v>706137.08</v>
      </c>
      <c r="BA50" s="6">
        <v>224994.08</v>
      </c>
      <c r="BB50" s="6">
        <v>184603.63</v>
      </c>
      <c r="BC50" s="226">
        <v>275003.33</v>
      </c>
      <c r="BD50" s="6">
        <v>243037.23</v>
      </c>
      <c r="BE50" s="6">
        <v>221529.24</v>
      </c>
      <c r="BF50" s="6">
        <v>181652.65</v>
      </c>
      <c r="BG50" s="6">
        <v>146840.60999999999</v>
      </c>
      <c r="BH50" s="6">
        <v>718472.64</v>
      </c>
      <c r="BI50" s="6">
        <v>203755.47</v>
      </c>
      <c r="BJ50" s="6">
        <v>196349.34</v>
      </c>
      <c r="BK50" s="6">
        <v>177124.91</v>
      </c>
      <c r="BL50" s="6">
        <v>160067.69</v>
      </c>
      <c r="BM50" s="6">
        <v>231508.04</v>
      </c>
      <c r="BN50" s="6">
        <v>278922.84000000003</v>
      </c>
      <c r="BO50" s="6">
        <v>212291.65</v>
      </c>
      <c r="BP50" s="6">
        <v>104542.91</v>
      </c>
      <c r="BQ50" s="6">
        <v>170501.33</v>
      </c>
      <c r="BR50" s="6">
        <v>160127.1</v>
      </c>
      <c r="BS50" s="6">
        <v>206449.63</v>
      </c>
      <c r="BT50" s="6">
        <v>134346.60999999999</v>
      </c>
      <c r="BU50" s="6">
        <v>0</v>
      </c>
      <c r="BV50" s="6">
        <v>175894.76</v>
      </c>
      <c r="BW50" s="6">
        <v>235208.12</v>
      </c>
      <c r="BX50" s="6">
        <v>175391.02</v>
      </c>
      <c r="BY50" s="226">
        <v>251460.75</v>
      </c>
      <c r="BZ50" s="6">
        <v>153226.4</v>
      </c>
      <c r="CA50" s="6">
        <v>176753.56</v>
      </c>
      <c r="CB50" s="6">
        <v>206697.95</v>
      </c>
      <c r="CC50" s="6">
        <v>203138.88</v>
      </c>
      <c r="CD50" s="6">
        <v>1074170.21</v>
      </c>
      <c r="CE50" s="367">
        <v>179808.17</v>
      </c>
      <c r="CF50" s="367">
        <v>188966.36</v>
      </c>
      <c r="CG50" s="6">
        <v>176918.66</v>
      </c>
      <c r="CH50" s="6">
        <v>2234920.59</v>
      </c>
      <c r="CI50" s="6">
        <v>178297.34</v>
      </c>
      <c r="CJ50" s="6">
        <v>135637.69</v>
      </c>
      <c r="CK50" s="6">
        <v>168293.81</v>
      </c>
      <c r="CL50" s="6">
        <v>163481.46</v>
      </c>
      <c r="CM50" s="6">
        <v>164327.91</v>
      </c>
      <c r="CN50" s="6">
        <v>376803.37</v>
      </c>
      <c r="CO50" s="6">
        <v>141944.37</v>
      </c>
      <c r="CP50" s="6">
        <v>155053.9</v>
      </c>
      <c r="CQ50" s="6">
        <v>160631.92000000001</v>
      </c>
      <c r="CR50" s="6">
        <v>124178.18</v>
      </c>
      <c r="CS50" s="226">
        <v>117086.23</v>
      </c>
      <c r="CT50" s="6">
        <v>132387.16</v>
      </c>
      <c r="CU50" s="6">
        <v>191184.81</v>
      </c>
      <c r="CV50" s="6">
        <v>96768.98</v>
      </c>
      <c r="CW50" s="6">
        <v>58681.24</v>
      </c>
      <c r="CX50" s="6">
        <v>145672.21</v>
      </c>
      <c r="CY50" s="6">
        <v>160455.13</v>
      </c>
      <c r="CZ50" s="6">
        <v>110029.94</v>
      </c>
      <c r="DA50" s="6">
        <v>131588.57</v>
      </c>
      <c r="DB50" s="6">
        <v>112105.68</v>
      </c>
      <c r="DC50" s="6">
        <v>128421.87</v>
      </c>
      <c r="DD50" s="6">
        <v>190735.6</v>
      </c>
      <c r="DE50" s="6">
        <v>126894.77</v>
      </c>
      <c r="DF50" s="6">
        <v>165595.9</v>
      </c>
      <c r="DG50" s="6">
        <f>70404.41+164409.21</f>
        <v>234813.62</v>
      </c>
      <c r="DH50" s="6">
        <v>149403.35999999999</v>
      </c>
      <c r="DI50" s="6"/>
      <c r="DJ50" s="6">
        <v>289097.43</v>
      </c>
      <c r="DK50" s="6">
        <v>197952.83</v>
      </c>
      <c r="DL50" s="6">
        <v>218925.4</v>
      </c>
      <c r="DM50" s="6">
        <v>200317.34</v>
      </c>
      <c r="DN50" s="226">
        <v>0</v>
      </c>
      <c r="DO50" s="6"/>
      <c r="DP50" s="6">
        <v>105955.14</v>
      </c>
      <c r="DQ50" s="6">
        <v>116751.39</v>
      </c>
      <c r="DR50" s="6">
        <v>1562616.36</v>
      </c>
      <c r="DS50" s="6">
        <v>97669.13</v>
      </c>
      <c r="DT50" s="6">
        <v>2294563.9300000002</v>
      </c>
      <c r="DU50" s="6">
        <v>122009.91</v>
      </c>
      <c r="DV50" s="6">
        <v>142418.81</v>
      </c>
      <c r="DW50" s="6">
        <v>169177.55</v>
      </c>
      <c r="DX50" s="6">
        <v>9703.0400000000009</v>
      </c>
      <c r="DY50" s="6">
        <v>66855.740000000005</v>
      </c>
      <c r="DZ50" s="6">
        <v>130922.01</v>
      </c>
      <c r="EA50" s="6">
        <v>491455.54</v>
      </c>
      <c r="EB50" s="6">
        <v>1563491.66</v>
      </c>
      <c r="EC50" s="6">
        <v>76886.710000000006</v>
      </c>
      <c r="ED50" s="6">
        <v>116304.51</v>
      </c>
      <c r="EE50" s="6">
        <v>95543.82</v>
      </c>
      <c r="EF50" s="6">
        <v>187294.07999999999</v>
      </c>
      <c r="EG50" s="6">
        <v>126815.67999999999</v>
      </c>
      <c r="EH50" s="6">
        <v>120426.16</v>
      </c>
      <c r="EI50" s="6">
        <v>119805.17</v>
      </c>
      <c r="EJ50" s="226">
        <v>93034.42</v>
      </c>
      <c r="EK50" s="14">
        <v>0</v>
      </c>
      <c r="EL50" s="6">
        <v>131724.56</v>
      </c>
      <c r="EM50" s="6">
        <v>140613.93</v>
      </c>
      <c r="EN50" s="6">
        <v>169390.89</v>
      </c>
      <c r="EO50" s="6">
        <v>78184.490000000005</v>
      </c>
      <c r="EP50" s="6">
        <v>117925.23</v>
      </c>
      <c r="EQ50" s="6">
        <v>121260.72</v>
      </c>
      <c r="ER50" s="6">
        <v>118536.89</v>
      </c>
      <c r="ES50" s="6">
        <v>378675.98</v>
      </c>
      <c r="ET50" s="6">
        <v>234983.8</v>
      </c>
      <c r="EU50" s="6">
        <v>181800.16</v>
      </c>
      <c r="EV50" s="6">
        <v>150732.84</v>
      </c>
      <c r="EW50" s="6">
        <v>161257.45000000001</v>
      </c>
      <c r="EX50" s="6">
        <v>156266.54</v>
      </c>
      <c r="EY50" s="6">
        <v>353934.42</v>
      </c>
      <c r="EZ50" s="6">
        <v>63360.160000000003</v>
      </c>
      <c r="FA50" s="6">
        <v>19919.57</v>
      </c>
      <c r="FB50" s="6">
        <v>138528.4</v>
      </c>
      <c r="FC50" s="6">
        <v>99476.53</v>
      </c>
      <c r="FD50" s="6">
        <v>168643.18</v>
      </c>
      <c r="FE50" s="226">
        <v>234489.08</v>
      </c>
      <c r="FF50" s="6">
        <v>151037.93</v>
      </c>
      <c r="FG50" s="6">
        <v>133771.82</v>
      </c>
      <c r="FH50" s="6">
        <v>154373.49</v>
      </c>
      <c r="FI50" s="6">
        <v>221869.31</v>
      </c>
      <c r="FJ50" s="516">
        <v>180009.60000000001</v>
      </c>
      <c r="FK50" s="6">
        <v>149462.26999999999</v>
      </c>
      <c r="FL50" s="6">
        <v>128582.63</v>
      </c>
      <c r="FM50" s="6">
        <v>169601.95</v>
      </c>
      <c r="FN50" s="6">
        <v>308549.11</v>
      </c>
      <c r="FO50" s="6">
        <v>295214.99</v>
      </c>
      <c r="FP50" s="6">
        <v>123699.9</v>
      </c>
      <c r="FQ50" s="6">
        <v>119392.15</v>
      </c>
      <c r="FR50" s="6">
        <v>132551.15</v>
      </c>
      <c r="FS50" s="6">
        <v>121584.6</v>
      </c>
      <c r="FT50" s="6">
        <v>387503.46</v>
      </c>
      <c r="FU50" s="6">
        <v>787709.45</v>
      </c>
      <c r="FV50" s="6">
        <v>230894.29</v>
      </c>
      <c r="FW50" s="6">
        <v>302215.03000000003</v>
      </c>
      <c r="FX50" s="6">
        <v>177883.84</v>
      </c>
      <c r="FY50" s="6">
        <v>199056.25</v>
      </c>
      <c r="FZ50" s="226">
        <v>52273.68</v>
      </c>
      <c r="GA50" s="6">
        <v>422050.75</v>
      </c>
      <c r="GB50" s="6">
        <v>140817.07999999999</v>
      </c>
      <c r="GC50" s="6">
        <v>138781.35999999999</v>
      </c>
      <c r="GD50" s="6">
        <v>1837052.61</v>
      </c>
      <c r="GE50" s="6">
        <v>151871.62</v>
      </c>
      <c r="GF50" s="6">
        <v>139180.60999999999</v>
      </c>
      <c r="GG50" s="6">
        <v>167766.13</v>
      </c>
      <c r="GH50" s="6">
        <v>136083.35999999999</v>
      </c>
      <c r="GI50" s="6">
        <v>354756.73</v>
      </c>
      <c r="GJ50" s="6">
        <v>135449.07999999999</v>
      </c>
      <c r="GK50" s="6">
        <v>26548.37</v>
      </c>
      <c r="GL50" s="6">
        <v>282603.90000000002</v>
      </c>
      <c r="GM50" s="6">
        <v>200987.03</v>
      </c>
      <c r="GN50" s="6">
        <v>127106.85</v>
      </c>
      <c r="GO50" s="6"/>
      <c r="GP50" s="6">
        <v>122931.31</v>
      </c>
      <c r="GQ50" s="6">
        <v>302091.62</v>
      </c>
      <c r="GR50" s="6">
        <v>142485.94</v>
      </c>
      <c r="GS50" s="6">
        <v>167398.10999999999</v>
      </c>
      <c r="GT50" s="226">
        <v>232958.52</v>
      </c>
      <c r="GU50" s="6">
        <v>100046.15</v>
      </c>
      <c r="GV50" s="6">
        <v>56645.89</v>
      </c>
      <c r="GW50" s="6">
        <v>139769.53</v>
      </c>
      <c r="GX50" s="6">
        <v>116691.31</v>
      </c>
      <c r="GY50" s="6">
        <v>134640.74</v>
      </c>
      <c r="GZ50" s="6">
        <v>96227.4</v>
      </c>
      <c r="HA50" s="6">
        <v>301845.01</v>
      </c>
      <c r="HB50" s="6">
        <v>134013.39000000001</v>
      </c>
      <c r="HC50" s="6">
        <v>132446.5</v>
      </c>
      <c r="HD50" s="6">
        <v>90465.52</v>
      </c>
      <c r="HE50" s="6">
        <v>155510.93</v>
      </c>
      <c r="HF50" s="6">
        <v>150040.25</v>
      </c>
      <c r="HG50" s="6">
        <v>110569.27</v>
      </c>
      <c r="HH50" s="6">
        <v>121289.2</v>
      </c>
      <c r="HI50" s="6">
        <v>1336971.6000000001</v>
      </c>
      <c r="HJ50" s="6">
        <v>188368.72</v>
      </c>
      <c r="HK50" s="6">
        <v>197790.77</v>
      </c>
      <c r="HL50" s="6">
        <v>183669.56</v>
      </c>
      <c r="HM50" s="6">
        <v>74304.45</v>
      </c>
      <c r="HN50" s="6">
        <v>176323.9</v>
      </c>
      <c r="HO50" s="226">
        <v>211116.21</v>
      </c>
      <c r="HP50" s="6">
        <v>224921.99</v>
      </c>
      <c r="HQ50" s="6">
        <v>230843.78</v>
      </c>
      <c r="HR50" s="6">
        <v>6544814.9199999999</v>
      </c>
      <c r="HS50" s="6">
        <v>110450.02</v>
      </c>
      <c r="HT50" s="6">
        <v>141888.26999999999</v>
      </c>
      <c r="HU50" s="6">
        <v>105368.16</v>
      </c>
      <c r="HV50" s="6">
        <v>167777.07</v>
      </c>
      <c r="HW50" s="6">
        <v>115426.48</v>
      </c>
      <c r="HX50" s="6">
        <v>162926.96</v>
      </c>
      <c r="HY50" s="6">
        <v>111628.77</v>
      </c>
      <c r="HZ50" s="6">
        <v>128624.14</v>
      </c>
      <c r="IA50" s="6">
        <v>161633</v>
      </c>
      <c r="IB50" s="6">
        <v>124216.94</v>
      </c>
      <c r="IC50" s="6">
        <v>173935</v>
      </c>
      <c r="ID50" s="6">
        <v>63328.5</v>
      </c>
      <c r="IE50" s="6">
        <v>135311.25</v>
      </c>
      <c r="IF50" s="6">
        <v>191074.36</v>
      </c>
      <c r="IG50" s="6">
        <v>177401.68</v>
      </c>
      <c r="IH50" s="6">
        <v>174991.98</v>
      </c>
      <c r="II50" s="6">
        <v>185024.84</v>
      </c>
      <c r="IJ50" s="226">
        <v>109581.95</v>
      </c>
      <c r="IK50" s="6">
        <v>175613.17</v>
      </c>
      <c r="IL50" s="6">
        <v>159559.34</v>
      </c>
      <c r="IM50" s="6">
        <v>482337.56</v>
      </c>
      <c r="IN50" s="6">
        <v>212737.65</v>
      </c>
      <c r="IO50" s="6">
        <v>520106.2</v>
      </c>
      <c r="IP50" s="6">
        <v>451697.44</v>
      </c>
      <c r="IQ50" s="6">
        <v>459989.16</v>
      </c>
      <c r="IR50" s="6">
        <v>325335.06</v>
      </c>
      <c r="IS50" s="6">
        <v>231263.44</v>
      </c>
      <c r="IT50" s="159"/>
      <c r="IU50" s="6"/>
    </row>
    <row r="51" spans="1:255" ht="14.1" customHeight="1">
      <c r="A51" s="4" t="s">
        <v>15</v>
      </c>
      <c r="B51" s="4"/>
      <c r="C51" s="156">
        <v>16800000</v>
      </c>
      <c r="D51" s="1">
        <v>27300000</v>
      </c>
      <c r="E51" s="1">
        <v>37500000</v>
      </c>
      <c r="F51" s="1">
        <v>49100000</v>
      </c>
      <c r="G51" s="1">
        <v>36900000</v>
      </c>
      <c r="H51" s="1"/>
      <c r="I51" s="1"/>
      <c r="J51" s="1"/>
      <c r="K51" s="1">
        <v>42200000</v>
      </c>
      <c r="L51" s="1"/>
      <c r="M51" s="227"/>
      <c r="N51" s="1">
        <v>31800000</v>
      </c>
      <c r="O51" s="1">
        <v>11200000</v>
      </c>
      <c r="P51" s="1">
        <v>28300000</v>
      </c>
      <c r="Q51" s="1">
        <v>9900000</v>
      </c>
      <c r="R51" s="1">
        <v>20300000</v>
      </c>
      <c r="S51" s="1"/>
      <c r="T51" s="1"/>
      <c r="U51" s="1">
        <v>2100000</v>
      </c>
      <c r="V51" s="1"/>
      <c r="W51" s="1"/>
      <c r="X51" s="1"/>
      <c r="Y51" s="1"/>
      <c r="Z51" s="1">
        <v>800000</v>
      </c>
      <c r="AA51" s="1"/>
      <c r="AB51" s="1">
        <v>10000000</v>
      </c>
      <c r="AC51" s="1">
        <v>6000000</v>
      </c>
      <c r="AD51" s="1"/>
      <c r="AE51" s="1">
        <v>350000</v>
      </c>
      <c r="AF51" s="227"/>
      <c r="AG51" s="1">
        <v>3500000</v>
      </c>
      <c r="AH51" s="1"/>
      <c r="AI51" s="1">
        <v>1200000</v>
      </c>
      <c r="AJ51" s="1"/>
      <c r="AK51" s="1">
        <v>2400000</v>
      </c>
      <c r="AL51" s="1"/>
      <c r="AM51" s="1">
        <v>1000000</v>
      </c>
      <c r="AN51" s="1">
        <v>3400000</v>
      </c>
      <c r="AO51" s="1">
        <v>1500000</v>
      </c>
      <c r="AP51" s="1">
        <v>1300000</v>
      </c>
      <c r="AQ51" s="1"/>
      <c r="AR51" s="1">
        <v>400000</v>
      </c>
      <c r="AS51" s="1"/>
      <c r="AT51" s="1">
        <v>1600000</v>
      </c>
      <c r="AU51" s="1"/>
      <c r="AV51" s="1"/>
      <c r="AW51" s="1">
        <v>3000000</v>
      </c>
      <c r="AX51" s="1"/>
      <c r="AY51" s="1"/>
      <c r="AZ51" s="1"/>
      <c r="BA51" s="1">
        <v>3133712.94</v>
      </c>
      <c r="BB51" s="1">
        <v>67100000</v>
      </c>
      <c r="BC51" s="227"/>
      <c r="BD51" s="1"/>
      <c r="BE51" s="1"/>
      <c r="BF51" s="1"/>
      <c r="BG51" s="1"/>
      <c r="BH51" s="1">
        <v>3500000</v>
      </c>
      <c r="BI51" s="1">
        <v>600000</v>
      </c>
      <c r="BJ51" s="1"/>
      <c r="BK51" s="1">
        <v>900000</v>
      </c>
      <c r="BL51" s="1"/>
      <c r="BM51" s="1"/>
      <c r="BN51" s="1"/>
      <c r="BO51" s="1"/>
      <c r="BP51" s="1"/>
      <c r="BQ51" s="1">
        <v>1200000</v>
      </c>
      <c r="BR51" s="1"/>
      <c r="BS51" s="1"/>
      <c r="BT51" s="1"/>
      <c r="BU51" s="1"/>
      <c r="BV51" s="1">
        <v>65300000</v>
      </c>
      <c r="BW51" s="1"/>
      <c r="BX51" s="1">
        <v>1100000</v>
      </c>
      <c r="BY51" s="227"/>
      <c r="BZ51" s="1"/>
      <c r="CA51" s="1"/>
      <c r="CB51" s="1"/>
      <c r="CC51" s="1"/>
      <c r="CD51" s="1">
        <v>7400000</v>
      </c>
      <c r="CE51" s="1">
        <v>36000000</v>
      </c>
      <c r="CF51" s="1">
        <v>2100000</v>
      </c>
      <c r="CG51" s="1"/>
      <c r="CH51" s="1"/>
      <c r="CI51" s="1"/>
      <c r="CJ51" s="1">
        <v>1200000</v>
      </c>
      <c r="CK51" s="1"/>
      <c r="CL51" s="1"/>
      <c r="CM51" s="1"/>
      <c r="CN51" s="1"/>
      <c r="CO51" s="1"/>
      <c r="CP51" s="1"/>
      <c r="CQ51" s="1">
        <f>70500000+900000</f>
        <v>71400000</v>
      </c>
      <c r="CR51" s="1">
        <v>3100000</v>
      </c>
      <c r="CS51" s="227"/>
      <c r="CT51" s="1"/>
      <c r="CU51" s="1"/>
      <c r="CV51" s="1"/>
      <c r="CW51" s="1">
        <v>5400000</v>
      </c>
      <c r="CX51" s="1"/>
      <c r="CY51" s="1"/>
      <c r="CZ51" s="1"/>
      <c r="DA51" s="1">
        <v>6600000</v>
      </c>
      <c r="DB51" s="1"/>
      <c r="DC51" s="1"/>
      <c r="DD51" s="1"/>
      <c r="DE51" s="1"/>
      <c r="DF51" s="1">
        <v>250000</v>
      </c>
      <c r="DG51" s="1">
        <v>9000000</v>
      </c>
      <c r="DH51" s="1">
        <v>1000000</v>
      </c>
      <c r="DI51" s="1"/>
      <c r="DJ51" s="1"/>
      <c r="DK51" s="1"/>
      <c r="DL51" s="1"/>
      <c r="DM51" s="1">
        <v>46500000</v>
      </c>
      <c r="DN51" s="227"/>
      <c r="DO51" s="1"/>
      <c r="DP51" s="1"/>
      <c r="DQ51" s="1"/>
      <c r="DR51" s="1"/>
      <c r="DS51" s="1"/>
      <c r="DT51" s="1"/>
      <c r="DU51" s="1"/>
      <c r="DV51" s="1">
        <v>2450000</v>
      </c>
      <c r="DW51" s="1">
        <v>9750000</v>
      </c>
      <c r="DX51" s="1"/>
      <c r="DY51" s="1"/>
      <c r="DZ51" s="1"/>
      <c r="EA51" s="1"/>
      <c r="EB51" s="1">
        <v>4600000</v>
      </c>
      <c r="EC51" s="1"/>
      <c r="ED51" s="1">
        <v>7650000</v>
      </c>
      <c r="EE51" s="1"/>
      <c r="EF51" s="1">
        <v>49600000</v>
      </c>
      <c r="EG51" s="1"/>
      <c r="EH51" s="1"/>
      <c r="EI51" s="1">
        <v>8650000</v>
      </c>
      <c r="EJ51" s="227"/>
      <c r="EK51" s="340">
        <v>8050000</v>
      </c>
      <c r="EL51" s="1">
        <v>1250000</v>
      </c>
      <c r="EM51" s="1"/>
      <c r="EN51" s="1"/>
      <c r="EO51" s="1"/>
      <c r="EP51" s="1"/>
      <c r="EQ51" s="1">
        <v>13700000</v>
      </c>
      <c r="ER51" s="1"/>
      <c r="ES51" s="1"/>
      <c r="ET51" s="1"/>
      <c r="EU51" s="1"/>
      <c r="EV51" s="1"/>
      <c r="EW51" s="1">
        <v>950000</v>
      </c>
      <c r="EX51" s="1"/>
      <c r="EY51" s="1"/>
      <c r="EZ51" s="1"/>
      <c r="FA51" s="1">
        <v>500000</v>
      </c>
      <c r="FB51" s="1"/>
      <c r="FC51" s="1"/>
      <c r="FD51" s="1"/>
      <c r="FE51" s="227"/>
      <c r="FF51" s="1"/>
      <c r="FG51" s="1"/>
      <c r="FH51" s="1">
        <v>8800000</v>
      </c>
      <c r="FI51" s="1"/>
      <c r="FJ51" s="227"/>
      <c r="FK51" s="1"/>
      <c r="FL51" s="1">
        <v>2550000</v>
      </c>
      <c r="FM51" s="1">
        <v>58700000</v>
      </c>
      <c r="FN51" s="1"/>
      <c r="FO51" s="1"/>
      <c r="FP51" s="1">
        <v>4150000</v>
      </c>
      <c r="FQ51" s="1"/>
      <c r="FR51" s="1"/>
      <c r="FS51" s="1"/>
      <c r="FT51" s="1"/>
      <c r="FU51" s="1"/>
      <c r="FV51" s="1"/>
      <c r="FW51" s="1"/>
      <c r="FX51" s="1"/>
      <c r="FY51" s="1">
        <v>9900000</v>
      </c>
      <c r="FZ51" s="227"/>
      <c r="GA51" s="1"/>
      <c r="GB51" s="1">
        <v>1100000</v>
      </c>
      <c r="GC51" s="1">
        <v>1950000</v>
      </c>
      <c r="GD51" s="1"/>
      <c r="GE51" s="1">
        <v>1150000</v>
      </c>
      <c r="GF51" s="1">
        <v>2050000</v>
      </c>
      <c r="GG51" s="1">
        <v>19250000</v>
      </c>
      <c r="GH51" s="1">
        <v>1900000</v>
      </c>
      <c r="GI51" s="1">
        <v>3700000</v>
      </c>
      <c r="GJ51" s="1">
        <v>20000000</v>
      </c>
      <c r="GK51" s="1"/>
      <c r="GL51" s="1"/>
      <c r="GM51" s="1">
        <v>2750000</v>
      </c>
      <c r="GN51" s="1"/>
      <c r="GO51" s="1">
        <v>3600000</v>
      </c>
      <c r="GP51" s="1"/>
      <c r="GQ51" s="1"/>
      <c r="GR51" s="1">
        <v>800000</v>
      </c>
      <c r="GS51" s="1"/>
      <c r="GT51" s="227"/>
      <c r="GU51" s="1"/>
      <c r="GV51" s="1">
        <v>6350000</v>
      </c>
      <c r="GW51" s="1"/>
      <c r="GX51" s="1">
        <v>1500000</v>
      </c>
      <c r="GY51" s="1">
        <v>600000</v>
      </c>
      <c r="GZ51" s="1"/>
      <c r="HA51" s="1">
        <v>500000</v>
      </c>
      <c r="HB51" s="1"/>
      <c r="HC51" s="1">
        <v>5850000</v>
      </c>
      <c r="HD51" s="1">
        <v>4650000</v>
      </c>
      <c r="HE51" s="1">
        <v>150000</v>
      </c>
      <c r="HF51" s="1">
        <v>2700000</v>
      </c>
      <c r="HG51" s="1"/>
      <c r="HH51" s="1"/>
      <c r="HI51" s="1">
        <v>1000000</v>
      </c>
      <c r="HJ51" s="1">
        <v>750000</v>
      </c>
      <c r="HK51" s="1">
        <v>8900000</v>
      </c>
      <c r="HL51" s="1">
        <v>2100000</v>
      </c>
      <c r="HM51" s="1"/>
      <c r="HN51" s="1"/>
      <c r="HO51" s="227"/>
      <c r="HP51" s="1">
        <v>5550000</v>
      </c>
      <c r="HQ51" s="1"/>
      <c r="HR51" s="1"/>
      <c r="HS51" s="1"/>
      <c r="HT51" s="1"/>
      <c r="HU51" s="1">
        <v>900000</v>
      </c>
      <c r="HV51" s="1"/>
      <c r="HW51" s="1"/>
      <c r="HX51" s="1"/>
      <c r="HY51" s="1"/>
      <c r="HZ51" s="1"/>
      <c r="IA51" s="1">
        <v>3250000</v>
      </c>
      <c r="IB51" s="1">
        <v>4600000</v>
      </c>
      <c r="IC51" s="1"/>
      <c r="ID51" s="1"/>
      <c r="IE51" s="1"/>
      <c r="IF51" s="1">
        <v>6400000</v>
      </c>
      <c r="IG51" s="1"/>
      <c r="IH51" s="1">
        <v>11950000</v>
      </c>
      <c r="II51" s="1">
        <v>11300000</v>
      </c>
      <c r="IJ51" s="227"/>
      <c r="IK51" s="1">
        <v>2150000</v>
      </c>
      <c r="IL51" s="1"/>
      <c r="IM51" s="1"/>
      <c r="IN51" s="1"/>
      <c r="IO51" s="1"/>
      <c r="IP51" s="1"/>
      <c r="IQ51" s="1"/>
      <c r="IR51" s="1"/>
      <c r="IS51" s="1"/>
      <c r="IT51" s="156"/>
      <c r="IU51" s="4"/>
    </row>
    <row r="52" spans="1:255" ht="14.1" customHeight="1">
      <c r="A52" s="4" t="s">
        <v>139</v>
      </c>
      <c r="B52" s="5"/>
      <c r="C52" s="370"/>
      <c r="D52" s="11"/>
      <c r="E52" s="11"/>
      <c r="F52" s="11"/>
      <c r="G52" s="11"/>
      <c r="H52" s="11"/>
      <c r="I52" s="11"/>
      <c r="J52" s="11"/>
      <c r="K52" s="11"/>
      <c r="L52" s="11"/>
      <c r="M52" s="37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37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37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37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373" t="s">
        <v>142</v>
      </c>
      <c r="CP52" s="11">
        <v>0</v>
      </c>
      <c r="CQ52" s="11">
        <v>50000000</v>
      </c>
      <c r="CR52" s="11"/>
      <c r="CS52" s="37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37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371"/>
      <c r="EK52" s="372"/>
      <c r="EL52" s="11">
        <v>10000000</v>
      </c>
      <c r="EM52" s="11"/>
      <c r="EN52" s="11"/>
      <c r="EO52" s="11"/>
      <c r="EP52" s="11"/>
      <c r="EQ52" s="11">
        <v>60000000</v>
      </c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>
        <v>15000000</v>
      </c>
      <c r="FC52" s="11"/>
      <c r="FD52" s="11"/>
      <c r="FE52" s="371"/>
      <c r="FF52" s="11"/>
      <c r="FG52" s="11"/>
      <c r="FH52" s="11"/>
      <c r="FI52" s="11"/>
      <c r="FJ52" s="227"/>
      <c r="FK52" s="11"/>
      <c r="FL52" s="11"/>
      <c r="FM52" s="11">
        <v>60000000</v>
      </c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371"/>
      <c r="GA52" s="11"/>
      <c r="GB52" s="11"/>
      <c r="GC52" s="11"/>
      <c r="GD52" s="11"/>
      <c r="GE52" s="11"/>
      <c r="GF52" s="11"/>
      <c r="GG52" s="11">
        <v>65000000</v>
      </c>
      <c r="GH52" s="11"/>
      <c r="GI52" s="11"/>
      <c r="GJ52" s="11"/>
      <c r="GK52" s="11">
        <v>20000000</v>
      </c>
      <c r="GL52" s="11"/>
      <c r="GM52" s="11"/>
      <c r="GN52" s="11"/>
      <c r="GO52" s="11"/>
      <c r="GP52" s="11"/>
      <c r="GQ52" s="11"/>
      <c r="GR52" s="11"/>
      <c r="GS52" s="11"/>
      <c r="GT52" s="37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>
        <v>2200000</v>
      </c>
      <c r="HH52" s="11"/>
      <c r="HI52" s="11"/>
      <c r="HJ52" s="11"/>
      <c r="HK52" s="11"/>
      <c r="HL52" s="11"/>
      <c r="HM52" s="11"/>
      <c r="HN52" s="11">
        <v>5500000</v>
      </c>
      <c r="HO52" s="371"/>
      <c r="HP52" s="11"/>
      <c r="HQ52" s="11">
        <v>4300000</v>
      </c>
      <c r="HR52" s="11">
        <v>2800000</v>
      </c>
      <c r="HS52" s="11">
        <v>9000000</v>
      </c>
      <c r="HT52" s="11">
        <v>16850000</v>
      </c>
      <c r="HU52" s="11"/>
      <c r="HV52" s="11">
        <v>27750000</v>
      </c>
      <c r="HW52" s="11"/>
      <c r="HX52" s="11">
        <v>5700000</v>
      </c>
      <c r="HY52" s="11"/>
      <c r="HZ52" s="11">
        <v>15100000</v>
      </c>
      <c r="IA52" s="11"/>
      <c r="IB52" s="11">
        <v>35000000</v>
      </c>
      <c r="IC52" s="11"/>
      <c r="ID52" s="11">
        <v>9550000</v>
      </c>
      <c r="IE52" s="11">
        <v>6950000</v>
      </c>
      <c r="IF52" s="11"/>
      <c r="IG52" s="11">
        <v>150000</v>
      </c>
      <c r="IH52" s="11">
        <v>50000000</v>
      </c>
      <c r="II52" s="11"/>
      <c r="IJ52" s="371"/>
      <c r="IK52" s="11"/>
      <c r="IL52" s="11">
        <v>14750000</v>
      </c>
      <c r="IM52" s="11"/>
      <c r="IN52" s="11">
        <v>15550000</v>
      </c>
      <c r="IO52" s="11">
        <v>7000000</v>
      </c>
      <c r="IP52" s="11">
        <v>19400000</v>
      </c>
      <c r="IQ52" s="11">
        <v>15550000</v>
      </c>
      <c r="IR52" s="11"/>
      <c r="IS52" s="11">
        <v>26750000</v>
      </c>
      <c r="IT52" s="370"/>
      <c r="IU52" s="4"/>
    </row>
    <row r="53" spans="1:255" ht="14.1" customHeight="1">
      <c r="A53" s="5" t="s">
        <v>39</v>
      </c>
      <c r="B53" s="13"/>
      <c r="C53" s="157">
        <f t="shared" ref="C53:I53" si="14">SUM(C49:C51)</f>
        <v>18563359.800000001</v>
      </c>
      <c r="D53" s="5">
        <f t="shared" si="14"/>
        <v>31844459.720000003</v>
      </c>
      <c r="E53" s="5">
        <f t="shared" si="14"/>
        <v>39272044.049999997</v>
      </c>
      <c r="F53" s="5">
        <f t="shared" si="14"/>
        <v>51057396.640000001</v>
      </c>
      <c r="G53" s="5">
        <f t="shared" si="14"/>
        <v>39456365.350000001</v>
      </c>
      <c r="H53" s="5">
        <f t="shared" si="14"/>
        <v>18026471.729999997</v>
      </c>
      <c r="I53" s="5">
        <f t="shared" si="14"/>
        <v>151825765.56</v>
      </c>
      <c r="J53" s="5">
        <f>SUM(J49:J51)+0.22</f>
        <v>1767362.93</v>
      </c>
      <c r="K53" s="5">
        <f t="shared" ref="K53:BV53" si="15">SUM(K49:K51)</f>
        <v>43851564.950000003</v>
      </c>
      <c r="L53" s="5">
        <f t="shared" si="15"/>
        <v>127924752.84000002</v>
      </c>
      <c r="M53" s="228">
        <f t="shared" si="15"/>
        <v>69785410.950000003</v>
      </c>
      <c r="N53" s="5">
        <f t="shared" si="15"/>
        <v>34643974.140000001</v>
      </c>
      <c r="O53" s="5">
        <f t="shared" si="15"/>
        <v>11958005.130000001</v>
      </c>
      <c r="P53" s="5">
        <f t="shared" si="15"/>
        <v>29363357.420000002</v>
      </c>
      <c r="Q53" s="5">
        <f t="shared" si="15"/>
        <v>13797868.800000001</v>
      </c>
      <c r="R53" s="5">
        <f t="shared" si="15"/>
        <v>21917523.760000002</v>
      </c>
      <c r="S53" s="5">
        <f t="shared" si="15"/>
        <v>7018747.6099999994</v>
      </c>
      <c r="T53" s="5">
        <f t="shared" si="15"/>
        <v>63863311.740000002</v>
      </c>
      <c r="U53" s="5">
        <f t="shared" si="15"/>
        <v>3050371.95</v>
      </c>
      <c r="V53" s="5">
        <f t="shared" si="15"/>
        <v>1402175.29</v>
      </c>
      <c r="W53" s="5">
        <f t="shared" si="15"/>
        <v>2991626.68</v>
      </c>
      <c r="X53" s="5">
        <f t="shared" si="15"/>
        <v>2899716.41</v>
      </c>
      <c r="Y53" s="5">
        <f t="shared" si="15"/>
        <v>1891699.65</v>
      </c>
      <c r="Z53" s="5">
        <f t="shared" si="15"/>
        <v>2660905.9900000002</v>
      </c>
      <c r="AA53" s="5">
        <f t="shared" si="15"/>
        <v>19233931.009999998</v>
      </c>
      <c r="AB53" s="5">
        <f t="shared" si="15"/>
        <v>12141560.060000001</v>
      </c>
      <c r="AC53" s="5">
        <f t="shared" si="15"/>
        <v>7409973.4299999997</v>
      </c>
      <c r="AD53" s="5">
        <f t="shared" si="15"/>
        <v>1128319.6600000001</v>
      </c>
      <c r="AE53" s="5">
        <f t="shared" si="15"/>
        <v>978999.89999999991</v>
      </c>
      <c r="AF53" s="228">
        <f t="shared" si="15"/>
        <v>68007506.37000002</v>
      </c>
      <c r="AG53" s="5">
        <f t="shared" si="15"/>
        <v>5668918.8200000003</v>
      </c>
      <c r="AH53" s="5">
        <f t="shared" si="15"/>
        <v>1795606.32</v>
      </c>
      <c r="AI53" s="5">
        <f t="shared" si="15"/>
        <v>1961888.47</v>
      </c>
      <c r="AJ53" s="5">
        <f t="shared" si="15"/>
        <v>1434601.4600000002</v>
      </c>
      <c r="AK53" s="5">
        <f t="shared" si="15"/>
        <v>7790210.8499999996</v>
      </c>
      <c r="AL53" s="5">
        <f t="shared" si="15"/>
        <v>3180797.2</v>
      </c>
      <c r="AM53" s="5">
        <f t="shared" si="15"/>
        <v>1517601.3</v>
      </c>
      <c r="AN53" s="5">
        <f t="shared" si="15"/>
        <v>8006794.21</v>
      </c>
      <c r="AO53" s="5">
        <f t="shared" si="15"/>
        <v>1770903.69</v>
      </c>
      <c r="AP53" s="5">
        <f t="shared" si="15"/>
        <v>1770295.24</v>
      </c>
      <c r="AQ53" s="5">
        <f t="shared" si="15"/>
        <v>3198945.0700000003</v>
      </c>
      <c r="AR53" s="5">
        <f t="shared" si="15"/>
        <v>1443051.68</v>
      </c>
      <c r="AS53" s="5">
        <f t="shared" si="15"/>
        <v>3987381.71</v>
      </c>
      <c r="AT53" s="5">
        <f t="shared" si="15"/>
        <v>2032109.23</v>
      </c>
      <c r="AU53" s="5">
        <f t="shared" si="15"/>
        <v>3116346.39</v>
      </c>
      <c r="AV53" s="5">
        <f t="shared" si="15"/>
        <v>16661694.6</v>
      </c>
      <c r="AW53" s="5">
        <f t="shared" si="15"/>
        <v>4776621.04</v>
      </c>
      <c r="AX53" s="5">
        <f t="shared" si="15"/>
        <v>1643167.46</v>
      </c>
      <c r="AY53" s="5">
        <f t="shared" si="15"/>
        <v>1463325.77</v>
      </c>
      <c r="AZ53" s="5">
        <f t="shared" si="15"/>
        <v>1424807.98</v>
      </c>
      <c r="BA53" s="5">
        <f t="shared" si="15"/>
        <v>5147125.04</v>
      </c>
      <c r="BB53" s="5">
        <f t="shared" si="15"/>
        <v>72491050.390000001</v>
      </c>
      <c r="BC53" s="228">
        <f t="shared" si="15"/>
        <v>68971755.379999995</v>
      </c>
      <c r="BD53" s="5">
        <f t="shared" si="15"/>
        <v>1130864.6300000001</v>
      </c>
      <c r="BE53" s="5">
        <f t="shared" si="15"/>
        <v>4762031.7600000007</v>
      </c>
      <c r="BF53" s="5">
        <f t="shared" si="15"/>
        <v>5276032.3999999994</v>
      </c>
      <c r="BG53" s="5">
        <f t="shared" si="15"/>
        <v>628201.03</v>
      </c>
      <c r="BH53" s="5">
        <f t="shared" si="15"/>
        <v>7342032.6999999993</v>
      </c>
      <c r="BI53" s="5">
        <f t="shared" si="15"/>
        <v>1209023.03</v>
      </c>
      <c r="BJ53" s="5">
        <f t="shared" si="15"/>
        <v>1496538.6600000001</v>
      </c>
      <c r="BK53" s="5">
        <f t="shared" si="15"/>
        <v>4865614.75</v>
      </c>
      <c r="BL53" s="5">
        <f t="shared" si="15"/>
        <v>1259670.9499999997</v>
      </c>
      <c r="BM53" s="5">
        <f t="shared" si="15"/>
        <v>1604323.66</v>
      </c>
      <c r="BN53" s="5">
        <f t="shared" si="15"/>
        <v>4138369.2399999998</v>
      </c>
      <c r="BO53" s="5">
        <f t="shared" si="15"/>
        <v>5113987.78</v>
      </c>
      <c r="BP53" s="5">
        <f t="shared" si="15"/>
        <v>3518861.98</v>
      </c>
      <c r="BQ53" s="5">
        <f t="shared" si="15"/>
        <v>2237582.34</v>
      </c>
      <c r="BR53" s="5">
        <f t="shared" si="15"/>
        <v>15680620.050000003</v>
      </c>
      <c r="BS53" s="5">
        <f t="shared" si="15"/>
        <v>1434188</v>
      </c>
      <c r="BT53" s="5">
        <f t="shared" si="15"/>
        <v>1317099.5</v>
      </c>
      <c r="BU53" s="5">
        <f t="shared" si="15"/>
        <v>1571654.57</v>
      </c>
      <c r="BV53" s="5">
        <f t="shared" si="15"/>
        <v>70184181.680000007</v>
      </c>
      <c r="BW53" s="5">
        <f t="shared" ref="BW53:CO53" si="16">SUM(BW49:BW51)</f>
        <v>1393814.7199999997</v>
      </c>
      <c r="BX53" s="5">
        <f t="shared" si="16"/>
        <v>1510156.0699999998</v>
      </c>
      <c r="BY53" s="228">
        <f t="shared" si="16"/>
        <v>72145701.260000005</v>
      </c>
      <c r="BZ53" s="5">
        <f t="shared" si="16"/>
        <v>1973214.7099999997</v>
      </c>
      <c r="CA53" s="5">
        <f t="shared" si="16"/>
        <v>1301479.3600000001</v>
      </c>
      <c r="CB53" s="5">
        <f t="shared" si="16"/>
        <v>9889573.8899999987</v>
      </c>
      <c r="CC53" s="5">
        <f t="shared" si="16"/>
        <v>475588.83</v>
      </c>
      <c r="CD53" s="5">
        <f t="shared" si="16"/>
        <v>9006768.4199999999</v>
      </c>
      <c r="CE53" s="5">
        <f t="shared" si="16"/>
        <v>39101755.450000003</v>
      </c>
      <c r="CF53" s="5">
        <f t="shared" si="16"/>
        <v>3518935.29</v>
      </c>
      <c r="CG53" s="5">
        <f t="shared" si="16"/>
        <v>1926670.5499999998</v>
      </c>
      <c r="CH53" s="5">
        <f t="shared" si="16"/>
        <v>6396115.7200000007</v>
      </c>
      <c r="CI53" s="5">
        <f t="shared" si="16"/>
        <v>3417876.92</v>
      </c>
      <c r="CJ53" s="5">
        <f t="shared" si="16"/>
        <v>2745202.99</v>
      </c>
      <c r="CK53" s="5">
        <f t="shared" si="16"/>
        <v>1526027.58</v>
      </c>
      <c r="CL53" s="5">
        <f t="shared" si="16"/>
        <v>913710.07</v>
      </c>
      <c r="CM53" s="5">
        <f t="shared" si="16"/>
        <v>18616577.300000001</v>
      </c>
      <c r="CN53" s="5">
        <f t="shared" si="16"/>
        <v>1562837.9899999998</v>
      </c>
      <c r="CO53" s="5">
        <f t="shared" si="16"/>
        <v>1523424.9</v>
      </c>
      <c r="CP53" s="5">
        <f t="shared" ref="CP53:FA53" si="17">SUM(CP49:CP52)</f>
        <v>2117372.46</v>
      </c>
      <c r="CQ53" s="5">
        <f t="shared" si="17"/>
        <v>121873471.98999999</v>
      </c>
      <c r="CR53" s="5">
        <f t="shared" si="17"/>
        <v>7936051.4800000004</v>
      </c>
      <c r="CS53" s="374">
        <f t="shared" si="17"/>
        <v>65765473.759999998</v>
      </c>
      <c r="CT53" s="5">
        <f t="shared" si="17"/>
        <v>2567973.46</v>
      </c>
      <c r="CU53" s="5">
        <f t="shared" si="17"/>
        <v>3088365.22</v>
      </c>
      <c r="CV53" s="5">
        <f t="shared" si="17"/>
        <v>2067696.56</v>
      </c>
      <c r="CW53" s="5">
        <f t="shared" si="17"/>
        <v>7545738.4199999999</v>
      </c>
      <c r="CX53" s="5">
        <f t="shared" si="17"/>
        <v>2577593.7599999998</v>
      </c>
      <c r="CY53" s="5">
        <f t="shared" si="17"/>
        <v>1802120.2999999998</v>
      </c>
      <c r="CZ53" s="5">
        <f t="shared" si="17"/>
        <v>1661211.0199999998</v>
      </c>
      <c r="DA53" s="5">
        <f t="shared" si="17"/>
        <v>7523056.4500000002</v>
      </c>
      <c r="DB53" s="5">
        <f t="shared" si="17"/>
        <v>7283612.8899999997</v>
      </c>
      <c r="DC53" s="5">
        <f t="shared" si="17"/>
        <v>1418468.56</v>
      </c>
      <c r="DD53" s="5">
        <f t="shared" si="17"/>
        <v>15359993.299999997</v>
      </c>
      <c r="DE53" s="5">
        <f t="shared" si="17"/>
        <v>2382336.4</v>
      </c>
      <c r="DF53" s="5">
        <f t="shared" si="17"/>
        <v>2061468.88</v>
      </c>
      <c r="DG53" s="5">
        <f t="shared" si="17"/>
        <v>11007202.300000001</v>
      </c>
      <c r="DH53" s="5">
        <f t="shared" si="17"/>
        <v>1463504.07</v>
      </c>
      <c r="DI53" s="5">
        <f t="shared" si="17"/>
        <v>823022.05999999994</v>
      </c>
      <c r="DJ53" s="5">
        <f t="shared" si="17"/>
        <v>585056.6399999999</v>
      </c>
      <c r="DK53" s="5">
        <f t="shared" si="17"/>
        <v>2534788.48</v>
      </c>
      <c r="DL53" s="5">
        <f t="shared" si="17"/>
        <v>400619.62</v>
      </c>
      <c r="DM53" s="5">
        <f t="shared" si="17"/>
        <v>46827587.68</v>
      </c>
      <c r="DN53" s="374">
        <f t="shared" si="17"/>
        <v>73343176.100000009</v>
      </c>
      <c r="DO53" s="5">
        <f t="shared" si="17"/>
        <v>1028615.73</v>
      </c>
      <c r="DP53" s="5">
        <f t="shared" si="17"/>
        <v>7635581.2199999997</v>
      </c>
      <c r="DQ53" s="5">
        <f t="shared" si="17"/>
        <v>1715620.8099999998</v>
      </c>
      <c r="DR53" s="5">
        <f t="shared" si="17"/>
        <v>4407195.62</v>
      </c>
      <c r="DS53" s="5">
        <f t="shared" si="17"/>
        <v>3107904.98</v>
      </c>
      <c r="DT53" s="5">
        <f t="shared" si="17"/>
        <v>3050866.33</v>
      </c>
      <c r="DU53" s="5">
        <f t="shared" si="17"/>
        <v>5350844.41</v>
      </c>
      <c r="DV53" s="5">
        <f t="shared" si="17"/>
        <v>3928642.6500000004</v>
      </c>
      <c r="DW53" s="5">
        <f t="shared" si="17"/>
        <v>10618207.25</v>
      </c>
      <c r="DX53" s="5">
        <f t="shared" si="17"/>
        <v>4898143.2299999995</v>
      </c>
      <c r="DY53" s="5">
        <f t="shared" si="17"/>
        <v>672903.87999999989</v>
      </c>
      <c r="DZ53" s="5">
        <f t="shared" si="17"/>
        <v>4442118.67</v>
      </c>
      <c r="EA53" s="5">
        <f t="shared" si="17"/>
        <v>986404.99</v>
      </c>
      <c r="EB53" s="5">
        <f t="shared" si="17"/>
        <v>6666088.4299999997</v>
      </c>
      <c r="EC53" s="5">
        <f t="shared" si="17"/>
        <v>3307157.75</v>
      </c>
      <c r="ED53" s="5">
        <f t="shared" si="17"/>
        <v>21900446.490000002</v>
      </c>
      <c r="EE53" s="5">
        <f t="shared" si="17"/>
        <v>2679495.69</v>
      </c>
      <c r="EF53" s="5">
        <f t="shared" si="17"/>
        <v>50140159.210000001</v>
      </c>
      <c r="EG53" s="5">
        <f t="shared" si="17"/>
        <v>465656.04</v>
      </c>
      <c r="EH53" s="5">
        <f t="shared" si="17"/>
        <v>1941578.5499999998</v>
      </c>
      <c r="EI53" s="5">
        <f t="shared" si="17"/>
        <v>9674611.1099999994</v>
      </c>
      <c r="EJ53" s="374">
        <f t="shared" si="17"/>
        <v>65633865.630000003</v>
      </c>
      <c r="EK53" s="5">
        <f t="shared" si="17"/>
        <v>9797890.9299999997</v>
      </c>
      <c r="EL53" s="5">
        <f t="shared" si="17"/>
        <v>14890886.039999999</v>
      </c>
      <c r="EM53" s="5">
        <f t="shared" si="17"/>
        <v>3605396.06</v>
      </c>
      <c r="EN53" s="5">
        <f t="shared" si="17"/>
        <v>598429.48</v>
      </c>
      <c r="EO53" s="5">
        <f t="shared" si="17"/>
        <v>2273820.7200000002</v>
      </c>
      <c r="EP53" s="5">
        <f t="shared" si="17"/>
        <v>4239203.76</v>
      </c>
      <c r="EQ53" s="5">
        <f t="shared" si="17"/>
        <v>74361834.289999992</v>
      </c>
      <c r="ER53" s="5">
        <f t="shared" si="17"/>
        <v>2937456.6000000006</v>
      </c>
      <c r="ES53" s="5">
        <f t="shared" si="17"/>
        <v>577733.03</v>
      </c>
      <c r="ET53" s="5">
        <f t="shared" si="17"/>
        <v>1495292.5799999998</v>
      </c>
      <c r="EU53" s="5">
        <f t="shared" si="17"/>
        <v>4086151.6300000004</v>
      </c>
      <c r="EV53" s="5">
        <f t="shared" si="17"/>
        <v>3410042.68</v>
      </c>
      <c r="EW53" s="5">
        <f t="shared" si="17"/>
        <v>2183188.5300000003</v>
      </c>
      <c r="EX53" s="5">
        <f t="shared" si="17"/>
        <v>341622.35000000003</v>
      </c>
      <c r="EY53" s="5">
        <f t="shared" si="17"/>
        <v>16631373.07</v>
      </c>
      <c r="EZ53" s="5">
        <f t="shared" si="17"/>
        <v>1751187.1299999997</v>
      </c>
      <c r="FA53" s="5">
        <f t="shared" si="17"/>
        <v>1037851.37</v>
      </c>
      <c r="FB53" s="5">
        <f t="shared" ref="FB53:HM53" si="18">SUM(FB49:FB52)</f>
        <v>16822848.030000001</v>
      </c>
      <c r="FC53" s="5">
        <f t="shared" si="18"/>
        <v>511988.93999999994</v>
      </c>
      <c r="FD53" s="5">
        <f t="shared" si="18"/>
        <v>1760736.19</v>
      </c>
      <c r="FE53" s="374">
        <f t="shared" si="18"/>
        <v>67759565.849999994</v>
      </c>
      <c r="FF53" s="5">
        <f t="shared" si="18"/>
        <v>1517525.76</v>
      </c>
      <c r="FG53" s="5">
        <f t="shared" si="18"/>
        <v>806419.87000000011</v>
      </c>
      <c r="FH53" s="5">
        <f t="shared" si="18"/>
        <v>13297551.629999999</v>
      </c>
      <c r="FI53" s="5">
        <f t="shared" si="18"/>
        <v>4795689.21</v>
      </c>
      <c r="FJ53" s="374">
        <f t="shared" si="18"/>
        <v>822050.64</v>
      </c>
      <c r="FK53" s="5">
        <f t="shared" si="18"/>
        <v>2524090.2200000002</v>
      </c>
      <c r="FL53" s="5">
        <f t="shared" si="18"/>
        <v>2970259.89</v>
      </c>
      <c r="FM53" s="5">
        <f t="shared" si="18"/>
        <v>123646702.24000001</v>
      </c>
      <c r="FN53" s="5">
        <f t="shared" si="18"/>
        <v>5958597.2300000004</v>
      </c>
      <c r="FO53" s="5">
        <f t="shared" si="18"/>
        <v>36482980.110000007</v>
      </c>
      <c r="FP53" s="5">
        <f t="shared" si="18"/>
        <v>5445282.5</v>
      </c>
      <c r="FQ53" s="5">
        <f t="shared" si="18"/>
        <v>954314.53</v>
      </c>
      <c r="FR53" s="5">
        <f t="shared" si="18"/>
        <v>4376139.9300000006</v>
      </c>
      <c r="FS53" s="5">
        <f t="shared" si="18"/>
        <v>3584158.18</v>
      </c>
      <c r="FT53" s="5">
        <f t="shared" si="18"/>
        <v>20286658.629999999</v>
      </c>
      <c r="FU53" s="5">
        <f t="shared" si="18"/>
        <v>1313599.68</v>
      </c>
      <c r="FV53" s="5">
        <f t="shared" si="18"/>
        <v>4961350.09</v>
      </c>
      <c r="FW53" s="5">
        <f t="shared" si="18"/>
        <v>709077.33000000007</v>
      </c>
      <c r="FX53" s="5">
        <f t="shared" si="18"/>
        <v>3854962.4000000004</v>
      </c>
      <c r="FY53" s="5">
        <f t="shared" si="18"/>
        <v>11876424.960000001</v>
      </c>
      <c r="FZ53" s="374">
        <f t="shared" si="18"/>
        <v>69310497.910000011</v>
      </c>
      <c r="GA53" s="5">
        <f t="shared" si="18"/>
        <v>8120939.459999999</v>
      </c>
      <c r="GB53" s="5">
        <f t="shared" si="18"/>
        <v>3946614.96</v>
      </c>
      <c r="GC53" s="5">
        <f t="shared" si="18"/>
        <v>2965747.38</v>
      </c>
      <c r="GD53" s="5">
        <f t="shared" si="18"/>
        <v>2902341.16</v>
      </c>
      <c r="GE53" s="5">
        <f t="shared" si="18"/>
        <v>3216655.17</v>
      </c>
      <c r="GF53" s="5">
        <f t="shared" si="18"/>
        <v>2915025.96</v>
      </c>
      <c r="GG53" s="5">
        <f t="shared" si="18"/>
        <v>91199491.960000008</v>
      </c>
      <c r="GH53" s="5">
        <f t="shared" si="18"/>
        <v>3353470.44</v>
      </c>
      <c r="GI53" s="5">
        <f t="shared" si="18"/>
        <v>16639416.600000001</v>
      </c>
      <c r="GJ53" s="5">
        <f t="shared" si="18"/>
        <v>21681095.449999999</v>
      </c>
      <c r="GK53" s="5">
        <f t="shared" si="18"/>
        <v>24013029.140000001</v>
      </c>
      <c r="GL53" s="5">
        <f t="shared" si="18"/>
        <v>3191893.25</v>
      </c>
      <c r="GM53" s="5">
        <f t="shared" si="18"/>
        <v>4133286.4000000004</v>
      </c>
      <c r="GN53" s="5">
        <f t="shared" si="18"/>
        <v>1856899.21</v>
      </c>
      <c r="GO53" s="5">
        <f t="shared" si="18"/>
        <v>5604256.5199999996</v>
      </c>
      <c r="GP53" s="5">
        <f t="shared" si="18"/>
        <v>16029339.910000002</v>
      </c>
      <c r="GQ53" s="5">
        <f t="shared" si="18"/>
        <v>2288210.09</v>
      </c>
      <c r="GR53" s="5">
        <f t="shared" si="18"/>
        <v>2059249.02</v>
      </c>
      <c r="GS53" s="5">
        <f t="shared" si="18"/>
        <v>2263215.39</v>
      </c>
      <c r="GT53" s="374">
        <f t="shared" si="18"/>
        <v>69815805.319999993</v>
      </c>
      <c r="GU53" s="5">
        <f t="shared" si="18"/>
        <v>2787775.88</v>
      </c>
      <c r="GV53" s="5">
        <f t="shared" si="18"/>
        <v>7548629.6600000001</v>
      </c>
      <c r="GW53" s="5">
        <f t="shared" si="18"/>
        <v>3381967.69</v>
      </c>
      <c r="GX53" s="5">
        <f t="shared" si="18"/>
        <v>2220077.04</v>
      </c>
      <c r="GY53" s="5">
        <f t="shared" si="18"/>
        <v>1325388.72</v>
      </c>
      <c r="GZ53" s="5">
        <f t="shared" si="18"/>
        <v>9472140.7800000012</v>
      </c>
      <c r="HA53" s="5">
        <f t="shared" si="18"/>
        <v>1579380.87</v>
      </c>
      <c r="HB53" s="5">
        <f t="shared" si="18"/>
        <v>1995114.25</v>
      </c>
      <c r="HC53" s="5">
        <f t="shared" si="18"/>
        <v>9971983.9600000009</v>
      </c>
      <c r="HD53" s="5">
        <f t="shared" si="18"/>
        <v>6187401.9000000004</v>
      </c>
      <c r="HE53" s="5">
        <f t="shared" si="18"/>
        <v>1113151.04</v>
      </c>
      <c r="HF53" s="5">
        <f t="shared" si="18"/>
        <v>4605030.01</v>
      </c>
      <c r="HG53" s="5">
        <f t="shared" si="18"/>
        <v>2456091.7999999998</v>
      </c>
      <c r="HH53" s="5">
        <f t="shared" si="18"/>
        <v>15414496.73</v>
      </c>
      <c r="HI53" s="5">
        <f t="shared" si="18"/>
        <v>5846169.8599999994</v>
      </c>
      <c r="HJ53" s="5">
        <f t="shared" si="18"/>
        <v>3725541.4200000004</v>
      </c>
      <c r="HK53" s="5">
        <f t="shared" si="18"/>
        <v>11801008.42</v>
      </c>
      <c r="HL53" s="5">
        <f t="shared" si="18"/>
        <v>3465056.048</v>
      </c>
      <c r="HM53" s="5">
        <f t="shared" si="18"/>
        <v>3524529.45</v>
      </c>
      <c r="HN53" s="5">
        <f t="shared" ref="HN53:IQ53" si="19">SUM(HN49:HN52)</f>
        <v>9901710.6500000004</v>
      </c>
      <c r="HO53" s="374">
        <f t="shared" si="19"/>
        <v>71850752.560000002</v>
      </c>
      <c r="HP53" s="5">
        <f t="shared" si="19"/>
        <v>7006416.5899999999</v>
      </c>
      <c r="HQ53" s="5">
        <f t="shared" si="19"/>
        <v>5387715.6799999997</v>
      </c>
      <c r="HR53" s="5">
        <f t="shared" si="19"/>
        <v>9851537.0199999996</v>
      </c>
      <c r="HS53" s="5">
        <f t="shared" si="19"/>
        <v>19690770.719999999</v>
      </c>
      <c r="HT53" s="5">
        <f t="shared" si="19"/>
        <v>17627820.719999999</v>
      </c>
      <c r="HU53" s="5">
        <f t="shared" si="19"/>
        <v>4092540.12</v>
      </c>
      <c r="HV53" s="5">
        <f t="shared" si="19"/>
        <v>31869538.100000001</v>
      </c>
      <c r="HW53" s="5">
        <f t="shared" si="19"/>
        <v>2006096.32</v>
      </c>
      <c r="HX53" s="5">
        <f t="shared" si="19"/>
        <v>6595252.7000000002</v>
      </c>
      <c r="HY53" s="5">
        <f t="shared" si="19"/>
        <v>18641799.149999999</v>
      </c>
      <c r="HZ53" s="5">
        <f t="shared" si="19"/>
        <v>15326441.699999999</v>
      </c>
      <c r="IA53" s="5">
        <f t="shared" si="19"/>
        <v>4799026.5</v>
      </c>
      <c r="IB53" s="5">
        <f t="shared" si="19"/>
        <v>39954626.789999999</v>
      </c>
      <c r="IC53" s="5">
        <f t="shared" si="19"/>
        <v>31310373.369999997</v>
      </c>
      <c r="ID53" s="5">
        <f t="shared" si="19"/>
        <v>10067979.32</v>
      </c>
      <c r="IE53" s="5">
        <f t="shared" si="19"/>
        <v>9447456.8499999996</v>
      </c>
      <c r="IF53" s="5">
        <f t="shared" si="19"/>
        <v>8814109.4000000004</v>
      </c>
      <c r="IG53" s="5">
        <f t="shared" si="19"/>
        <v>2634630.0200000005</v>
      </c>
      <c r="IH53" s="5">
        <f t="shared" si="19"/>
        <v>65834089.620000005</v>
      </c>
      <c r="II53" s="5">
        <f t="shared" si="19"/>
        <v>11851455.33</v>
      </c>
      <c r="IJ53" s="374">
        <f t="shared" si="19"/>
        <v>66467738.340000004</v>
      </c>
      <c r="IK53" s="5">
        <f t="shared" si="19"/>
        <v>8246746.9000000004</v>
      </c>
      <c r="IL53" s="5">
        <f t="shared" si="19"/>
        <v>16082394.65</v>
      </c>
      <c r="IM53" s="5">
        <f t="shared" si="19"/>
        <v>91872402.719999999</v>
      </c>
      <c r="IN53" s="5">
        <f t="shared" si="19"/>
        <v>20962010.93</v>
      </c>
      <c r="IO53" s="5">
        <f t="shared" si="19"/>
        <v>10695688.52</v>
      </c>
      <c r="IP53" s="5">
        <f t="shared" si="19"/>
        <v>20462088.59</v>
      </c>
      <c r="IQ53" s="5">
        <f t="shared" si="19"/>
        <v>18063493.690000001</v>
      </c>
      <c r="IR53" s="5">
        <f>SUM(IR49:IR52)</f>
        <v>34917892.120000005</v>
      </c>
      <c r="IS53" s="5">
        <f>SUM(IS49:IS52)</f>
        <v>30313542.850000001</v>
      </c>
      <c r="IT53" s="5">
        <f>SUM(IT49:IT52)</f>
        <v>0</v>
      </c>
      <c r="IU53" s="5">
        <f>SUM(IU49:IV52)</f>
        <v>2043989018.0179996</v>
      </c>
    </row>
    <row r="54" spans="1:255" s="42" customFormat="1" ht="14.1" customHeight="1" thickBot="1">
      <c r="A54" s="64" t="s">
        <v>40</v>
      </c>
      <c r="B54" s="60"/>
      <c r="C54" s="60">
        <f t="shared" ref="C54:BN54" si="20">+C6+C27-C53</f>
        <v>113098.01999999955</v>
      </c>
      <c r="D54" s="60">
        <f t="shared" si="20"/>
        <v>130273.01999999583</v>
      </c>
      <c r="E54" s="60">
        <f t="shared" si="20"/>
        <v>111667.01999999583</v>
      </c>
      <c r="F54" s="60">
        <f t="shared" si="20"/>
        <v>131863.02000000328</v>
      </c>
      <c r="G54" s="60">
        <f t="shared" si="20"/>
        <v>120762.01999999583</v>
      </c>
      <c r="H54" s="60">
        <f t="shared" si="20"/>
        <v>128182.01999999583</v>
      </c>
      <c r="I54" s="60">
        <f t="shared" si="20"/>
        <v>233490.01999998093</v>
      </c>
      <c r="J54" s="60">
        <f t="shared" si="20"/>
        <v>114201.79999998095</v>
      </c>
      <c r="K54" s="60">
        <f t="shared" si="20"/>
        <v>120344.79999998212</v>
      </c>
      <c r="L54" s="60">
        <f t="shared" si="20"/>
        <v>120851.79999996722</v>
      </c>
      <c r="M54" s="67">
        <f t="shared" si="20"/>
        <v>154096.69999995828</v>
      </c>
      <c r="N54" s="60">
        <f t="shared" si="20"/>
        <v>149491.89999995381</v>
      </c>
      <c r="O54" s="60">
        <f t="shared" si="20"/>
        <v>177303.89999995381</v>
      </c>
      <c r="P54" s="60">
        <f t="shared" si="20"/>
        <v>114214.89999995008</v>
      </c>
      <c r="Q54" s="60">
        <f t="shared" si="20"/>
        <v>108437.89999995008</v>
      </c>
      <c r="R54" s="60">
        <f t="shared" si="20"/>
        <v>111160.89999994636</v>
      </c>
      <c r="S54" s="60">
        <f t="shared" si="20"/>
        <v>119050.89999994636</v>
      </c>
      <c r="T54" s="60">
        <f t="shared" si="20"/>
        <v>114770.89999994636</v>
      </c>
      <c r="U54" s="60">
        <f t="shared" si="20"/>
        <v>104932.89999994636</v>
      </c>
      <c r="V54" s="60">
        <f t="shared" si="20"/>
        <v>121574.89999994636</v>
      </c>
      <c r="W54" s="60">
        <f t="shared" si="20"/>
        <v>166787.89999994636</v>
      </c>
      <c r="X54" s="60">
        <f t="shared" si="20"/>
        <v>130803.89999994589</v>
      </c>
      <c r="Y54" s="60">
        <f t="shared" si="20"/>
        <v>114318.89999994612</v>
      </c>
      <c r="Z54" s="60">
        <f t="shared" si="20"/>
        <v>130181.89999994542</v>
      </c>
      <c r="AA54" s="60">
        <f t="shared" si="20"/>
        <v>183670.89999995008</v>
      </c>
      <c r="AB54" s="60">
        <f t="shared" si="20"/>
        <v>175295.89999995008</v>
      </c>
      <c r="AC54" s="60">
        <f t="shared" si="20"/>
        <v>186348.89999995008</v>
      </c>
      <c r="AD54" s="60">
        <f t="shared" si="20"/>
        <v>177991.89999994985</v>
      </c>
      <c r="AE54" s="60">
        <f t="shared" si="20"/>
        <v>119531.89999995008</v>
      </c>
      <c r="AF54" s="67">
        <f t="shared" si="20"/>
        <v>194826.89999993145</v>
      </c>
      <c r="AG54" s="60">
        <f t="shared" si="20"/>
        <v>146073.89999993145</v>
      </c>
      <c r="AH54" s="60">
        <f t="shared" si="20"/>
        <v>985857.89999993122</v>
      </c>
      <c r="AI54" s="60">
        <f t="shared" si="20"/>
        <v>154948.89999993122</v>
      </c>
      <c r="AJ54" s="60">
        <f t="shared" si="20"/>
        <v>100131.89999993099</v>
      </c>
      <c r="AK54" s="60">
        <f t="shared" si="20"/>
        <v>99999.899999931455</v>
      </c>
      <c r="AL54" s="60">
        <f t="shared" si="20"/>
        <v>99999.899999931455</v>
      </c>
      <c r="AM54" s="60">
        <f t="shared" si="20"/>
        <v>108143.89999993122</v>
      </c>
      <c r="AN54" s="60">
        <f t="shared" si="20"/>
        <v>116172.89999993239</v>
      </c>
      <c r="AO54" s="60">
        <f t="shared" si="20"/>
        <v>111172.89999993262</v>
      </c>
      <c r="AP54" s="60">
        <f t="shared" si="20"/>
        <v>115273.89999993285</v>
      </c>
      <c r="AQ54" s="60">
        <f t="shared" si="20"/>
        <v>122411.89999993239</v>
      </c>
      <c r="AR54" s="60">
        <f t="shared" si="20"/>
        <v>366036.89999993239</v>
      </c>
      <c r="AS54" s="60">
        <f t="shared" si="20"/>
        <v>165251.89999993239</v>
      </c>
      <c r="AT54" s="60">
        <f t="shared" si="20"/>
        <v>208744.89999993285</v>
      </c>
      <c r="AU54" s="60">
        <f t="shared" si="20"/>
        <v>183688.89999993285</v>
      </c>
      <c r="AV54" s="60">
        <f t="shared" si="20"/>
        <v>142160.89999993332</v>
      </c>
      <c r="AW54" s="60">
        <f t="shared" si="20"/>
        <v>110778.89999993332</v>
      </c>
      <c r="AX54" s="60">
        <f t="shared" si="20"/>
        <v>211555.89999993332</v>
      </c>
      <c r="AY54" s="60">
        <f t="shared" si="20"/>
        <v>130434.89999993332</v>
      </c>
      <c r="AZ54" s="60">
        <f t="shared" si="20"/>
        <v>162981.89999993355</v>
      </c>
      <c r="BA54" s="60">
        <f t="shared" si="20"/>
        <v>119257.89999993239</v>
      </c>
      <c r="BB54" s="60">
        <f t="shared" si="20"/>
        <v>124282.89999993145</v>
      </c>
      <c r="BC54" s="67">
        <f t="shared" si="20"/>
        <v>128894.89999993145</v>
      </c>
      <c r="BD54" s="60">
        <f t="shared" si="20"/>
        <v>111196.89999993122</v>
      </c>
      <c r="BE54" s="60">
        <f t="shared" si="20"/>
        <v>117759.89999993052</v>
      </c>
      <c r="BF54" s="60">
        <f t="shared" si="20"/>
        <v>162326.89999993145</v>
      </c>
      <c r="BG54" s="60">
        <f t="shared" si="20"/>
        <v>145999.89999993145</v>
      </c>
      <c r="BH54" s="60">
        <f t="shared" si="20"/>
        <v>114939.89999993145</v>
      </c>
      <c r="BI54" s="60">
        <f t="shared" si="20"/>
        <v>108179.89999993145</v>
      </c>
      <c r="BJ54" s="60">
        <f t="shared" si="20"/>
        <v>130926.89999993145</v>
      </c>
      <c r="BK54" s="60">
        <f t="shared" si="20"/>
        <v>132177.89999993145</v>
      </c>
      <c r="BL54" s="60">
        <f t="shared" si="20"/>
        <v>110908.89999993169</v>
      </c>
      <c r="BM54" s="60">
        <f t="shared" si="20"/>
        <v>106568.89999993169</v>
      </c>
      <c r="BN54" s="60">
        <f t="shared" si="20"/>
        <v>138481.89999993192</v>
      </c>
      <c r="BO54" s="60">
        <f t="shared" ref="BO54:DZ54" si="21">+BO6+BO27-BO53</f>
        <v>187327.89999993239</v>
      </c>
      <c r="BP54" s="60">
        <f t="shared" si="21"/>
        <v>175938.89999993239</v>
      </c>
      <c r="BQ54" s="60">
        <f t="shared" si="21"/>
        <v>146548.89999993239</v>
      </c>
      <c r="BR54" s="60">
        <f t="shared" si="21"/>
        <v>140876.89999992959</v>
      </c>
      <c r="BS54" s="60">
        <f t="shared" si="21"/>
        <v>246929.89999992959</v>
      </c>
      <c r="BT54" s="60">
        <f t="shared" si="21"/>
        <v>124919.89999992959</v>
      </c>
      <c r="BU54" s="60">
        <f t="shared" si="21"/>
        <v>-251313.10000007087</v>
      </c>
      <c r="BV54" s="60">
        <f t="shared" si="21"/>
        <v>126514.89999993145</v>
      </c>
      <c r="BW54" s="60">
        <f t="shared" si="21"/>
        <v>117316.89999993169</v>
      </c>
      <c r="BX54" s="60">
        <f t="shared" si="21"/>
        <v>102585.89999993192</v>
      </c>
      <c r="BY54" s="67">
        <f t="shared" si="21"/>
        <v>104120.89999993145</v>
      </c>
      <c r="BZ54" s="60">
        <f t="shared" si="21"/>
        <v>153742.89999993169</v>
      </c>
      <c r="CA54" s="60">
        <f t="shared" si="21"/>
        <v>172902.89999993145</v>
      </c>
      <c r="CB54" s="60">
        <f t="shared" si="21"/>
        <v>117529.89999993332</v>
      </c>
      <c r="CC54" s="60">
        <f t="shared" si="21"/>
        <v>107577.89999993326</v>
      </c>
      <c r="CD54" s="60">
        <f t="shared" si="21"/>
        <v>104127.89999993332</v>
      </c>
      <c r="CE54" s="60">
        <f t="shared" si="21"/>
        <v>112196.89999993145</v>
      </c>
      <c r="CF54" s="60">
        <f t="shared" si="21"/>
        <v>108129.89999993145</v>
      </c>
      <c r="CG54" s="60">
        <f t="shared" si="21"/>
        <v>142155.89999993145</v>
      </c>
      <c r="CH54" s="60">
        <f t="shared" si="21"/>
        <v>147153.89999993145</v>
      </c>
      <c r="CI54" s="60">
        <f t="shared" si="21"/>
        <v>137383.89999993145</v>
      </c>
      <c r="CJ54" s="60">
        <f t="shared" si="21"/>
        <v>141262.89999993145</v>
      </c>
      <c r="CK54" s="60">
        <f t="shared" si="21"/>
        <v>132836.89999993145</v>
      </c>
      <c r="CL54" s="60">
        <f t="shared" si="21"/>
        <v>113878.89999993157</v>
      </c>
      <c r="CM54" s="60">
        <f t="shared" si="21"/>
        <v>117025.89999993145</v>
      </c>
      <c r="CN54" s="60">
        <f t="shared" si="21"/>
        <v>103425.89999993169</v>
      </c>
      <c r="CO54" s="60">
        <f t="shared" si="21"/>
        <v>120153.89999993169</v>
      </c>
      <c r="CP54" s="60">
        <f t="shared" si="21"/>
        <v>192524.89999993145</v>
      </c>
      <c r="CQ54" s="60">
        <f t="shared" si="21"/>
        <v>137248.89999993145</v>
      </c>
      <c r="CR54" s="60">
        <f t="shared" si="21"/>
        <v>141449.89999993145</v>
      </c>
      <c r="CS54" s="67">
        <f t="shared" si="21"/>
        <v>114700.89999993145</v>
      </c>
      <c r="CT54" s="60">
        <f t="shared" si="21"/>
        <v>207345.89999993145</v>
      </c>
      <c r="CU54" s="60">
        <f t="shared" si="21"/>
        <v>248175.89999993099</v>
      </c>
      <c r="CV54" s="60">
        <f t="shared" si="21"/>
        <v>307676.89999993099</v>
      </c>
      <c r="CW54" s="60">
        <f t="shared" si="21"/>
        <v>223474.89999993145</v>
      </c>
      <c r="CX54" s="60">
        <f t="shared" si="21"/>
        <v>110803.89999993145</v>
      </c>
      <c r="CY54" s="60">
        <f t="shared" si="21"/>
        <v>460358.89999993145</v>
      </c>
      <c r="CZ54" s="60">
        <f t="shared" si="21"/>
        <v>209310.89999993169</v>
      </c>
      <c r="DA54" s="60">
        <f t="shared" si="21"/>
        <v>215062.89999993145</v>
      </c>
      <c r="DB54" s="60">
        <f t="shared" si="21"/>
        <v>190867.89999993145</v>
      </c>
      <c r="DC54" s="60">
        <f t="shared" si="21"/>
        <v>102203.89999993145</v>
      </c>
      <c r="DD54" s="60">
        <f t="shared" si="21"/>
        <v>121735.89999993518</v>
      </c>
      <c r="DE54" s="60">
        <f t="shared" si="21"/>
        <v>115561.89999993518</v>
      </c>
      <c r="DF54" s="60">
        <f t="shared" si="21"/>
        <v>100910.89999993518</v>
      </c>
      <c r="DG54" s="60">
        <f t="shared" si="21"/>
        <v>99999.89999993518</v>
      </c>
      <c r="DH54" s="60">
        <f t="shared" si="21"/>
        <v>99999.99999993504</v>
      </c>
      <c r="DI54" s="60">
        <f t="shared" si="21"/>
        <v>-147457.15000006498</v>
      </c>
      <c r="DJ54" s="60">
        <f t="shared" si="21"/>
        <v>99999.999999935157</v>
      </c>
      <c r="DK54" s="60">
        <f t="shared" si="21"/>
        <v>99999.999999935273</v>
      </c>
      <c r="DL54" s="60">
        <f t="shared" si="21"/>
        <v>99999.999999935273</v>
      </c>
      <c r="DM54" s="60">
        <f t="shared" si="21"/>
        <v>99999.999999932945</v>
      </c>
      <c r="DN54" s="67">
        <f t="shared" si="21"/>
        <v>537701.37999992073</v>
      </c>
      <c r="DO54" s="60">
        <f t="shared" si="21"/>
        <v>421653.9599999208</v>
      </c>
      <c r="DP54" s="60">
        <f t="shared" si="21"/>
        <v>220650.99999992084</v>
      </c>
      <c r="DQ54" s="60">
        <f t="shared" si="21"/>
        <v>144692.99999992107</v>
      </c>
      <c r="DR54" s="60">
        <f t="shared" si="21"/>
        <v>120624.99999992084</v>
      </c>
      <c r="DS54" s="60">
        <f t="shared" si="21"/>
        <v>140284.9999999213</v>
      </c>
      <c r="DT54" s="60">
        <f t="shared" si="21"/>
        <v>130413.9999999213</v>
      </c>
      <c r="DU54" s="60">
        <f t="shared" si="21"/>
        <v>120263.99999992177</v>
      </c>
      <c r="DV54" s="60">
        <f t="shared" si="21"/>
        <v>106461.9999999213</v>
      </c>
      <c r="DW54" s="60">
        <f t="shared" si="21"/>
        <v>196428.99999992363</v>
      </c>
      <c r="DX54" s="60">
        <f t="shared" si="21"/>
        <v>477959.99999992456</v>
      </c>
      <c r="DY54" s="60">
        <f t="shared" si="21"/>
        <v>132189.99999992456</v>
      </c>
      <c r="DZ54" s="60">
        <f t="shared" si="21"/>
        <v>100631.99999992456</v>
      </c>
      <c r="EA54" s="60">
        <f t="shared" ref="EA54:GL54" si="22">+EA6+EA27-EA53</f>
        <v>99999.999999924796</v>
      </c>
      <c r="EB54" s="60">
        <f t="shared" si="22"/>
        <v>195399.99999992456</v>
      </c>
      <c r="EC54" s="60">
        <f t="shared" si="22"/>
        <v>168228.99999992456</v>
      </c>
      <c r="ED54" s="60">
        <f t="shared" si="22"/>
        <v>129865.99999992177</v>
      </c>
      <c r="EE54" s="60">
        <f t="shared" si="22"/>
        <v>140973.99999992177</v>
      </c>
      <c r="EF54" s="60">
        <f t="shared" si="22"/>
        <v>-49897184.000000082</v>
      </c>
      <c r="EG54" s="60">
        <f t="shared" si="22"/>
        <v>-49870991.964500085</v>
      </c>
      <c r="EH54" s="60">
        <f t="shared" si="22"/>
        <v>-49876335.964500085</v>
      </c>
      <c r="EI54" s="60">
        <f t="shared" si="22"/>
        <v>-49861826.964500085</v>
      </c>
      <c r="EJ54" s="67">
        <f t="shared" si="22"/>
        <v>-49652347.964500085</v>
      </c>
      <c r="EK54" s="353">
        <f t="shared" si="22"/>
        <v>-49734144.594500087</v>
      </c>
      <c r="EL54" s="60">
        <f t="shared" si="22"/>
        <v>-49886319.964500085</v>
      </c>
      <c r="EM54" s="60">
        <f t="shared" si="22"/>
        <v>-49894824.964500085</v>
      </c>
      <c r="EN54" s="60">
        <f t="shared" si="22"/>
        <v>-49895541.964500085</v>
      </c>
      <c r="EO54" s="60">
        <f t="shared" si="22"/>
        <v>-49835513.964500085</v>
      </c>
      <c r="EP54" s="60">
        <f t="shared" si="22"/>
        <v>-49854623.964500085</v>
      </c>
      <c r="EQ54" s="60">
        <f t="shared" si="22"/>
        <v>-49870113.964500085</v>
      </c>
      <c r="ER54" s="60">
        <f t="shared" si="22"/>
        <v>-49839017.964500085</v>
      </c>
      <c r="ES54" s="60">
        <f t="shared" si="22"/>
        <v>-49858311.964500085</v>
      </c>
      <c r="ET54" s="60">
        <f t="shared" si="22"/>
        <v>-49876398.98450008</v>
      </c>
      <c r="EU54" s="60">
        <f t="shared" si="22"/>
        <v>-49895493.98450008</v>
      </c>
      <c r="EV54" s="60">
        <f t="shared" si="22"/>
        <v>-49830415.98450008</v>
      </c>
      <c r="EW54" s="60">
        <f t="shared" si="22"/>
        <v>-49878804.98450008</v>
      </c>
      <c r="EX54" s="60">
        <f t="shared" si="22"/>
        <v>-49867977.98450008</v>
      </c>
      <c r="EY54" s="60">
        <f t="shared" si="22"/>
        <v>-49843161.98450008</v>
      </c>
      <c r="EZ54" s="60">
        <f t="shared" si="22"/>
        <v>-49533413.98450008</v>
      </c>
      <c r="FA54" s="60">
        <f t="shared" si="22"/>
        <v>-49766449.98450008</v>
      </c>
      <c r="FB54" s="60">
        <f t="shared" si="22"/>
        <v>-64871736.98450008</v>
      </c>
      <c r="FC54" s="60">
        <f t="shared" si="22"/>
        <v>-64807850.98450008</v>
      </c>
      <c r="FD54" s="60">
        <f t="shared" si="22"/>
        <v>-64858508.98450008</v>
      </c>
      <c r="FE54" s="67">
        <f t="shared" si="22"/>
        <v>-64877947.98450008</v>
      </c>
      <c r="FF54" s="60">
        <f t="shared" si="22"/>
        <v>-64886329.98450008</v>
      </c>
      <c r="FG54" s="60">
        <f t="shared" si="22"/>
        <v>-64867117.98450008</v>
      </c>
      <c r="FH54" s="60">
        <f t="shared" si="22"/>
        <v>-64879680.014500082</v>
      </c>
      <c r="FI54" s="60">
        <f t="shared" si="22"/>
        <v>-64896763.014500082</v>
      </c>
      <c r="FJ54" s="67">
        <f t="shared" si="22"/>
        <v>-64898558.014500082</v>
      </c>
      <c r="FK54" s="60">
        <f t="shared" si="22"/>
        <v>-64872621.014500082</v>
      </c>
      <c r="FL54" s="60">
        <f t="shared" si="22"/>
        <v>-64868061.014500082</v>
      </c>
      <c r="FM54" s="60">
        <f t="shared" si="22"/>
        <v>-64896082.014500096</v>
      </c>
      <c r="FN54" s="60">
        <f t="shared" si="22"/>
        <v>-64885954.014500096</v>
      </c>
      <c r="FO54" s="60">
        <f t="shared" si="22"/>
        <v>-64861666.014500104</v>
      </c>
      <c r="FP54" s="60">
        <f t="shared" si="22"/>
        <v>-64861232.014500104</v>
      </c>
      <c r="FQ54" s="60">
        <f t="shared" si="22"/>
        <v>-64872260.014500104</v>
      </c>
      <c r="FR54" s="60">
        <f t="shared" si="22"/>
        <v>-64874274.014500104</v>
      </c>
      <c r="FS54" s="60">
        <f t="shared" si="22"/>
        <v>-64897623.014500104</v>
      </c>
      <c r="FT54" s="60">
        <f t="shared" si="22"/>
        <v>-64631342.014500096</v>
      </c>
      <c r="FU54" s="60">
        <f t="shared" si="22"/>
        <v>-64637678.014500096</v>
      </c>
      <c r="FV54" s="60">
        <f t="shared" si="22"/>
        <v>-64869819.014500096</v>
      </c>
      <c r="FW54" s="60">
        <f t="shared" si="22"/>
        <v>-64894753.014500096</v>
      </c>
      <c r="FX54" s="60">
        <f t="shared" si="22"/>
        <v>-64889068.014500096</v>
      </c>
      <c r="FY54" s="60">
        <f t="shared" si="22"/>
        <v>-64879997.014500096</v>
      </c>
      <c r="FZ54" s="67">
        <f t="shared" si="22"/>
        <v>-64769469.014500111</v>
      </c>
      <c r="GA54" s="60">
        <f t="shared" si="22"/>
        <v>-64811113.014500111</v>
      </c>
      <c r="GB54" s="60">
        <f t="shared" si="22"/>
        <v>-64861798.014500111</v>
      </c>
      <c r="GC54" s="60">
        <f t="shared" si="22"/>
        <v>-64862169.014500111</v>
      </c>
      <c r="GD54" s="60">
        <f t="shared" si="22"/>
        <v>-64894927.014500111</v>
      </c>
      <c r="GE54" s="60">
        <f t="shared" si="22"/>
        <v>-64864395.014500111</v>
      </c>
      <c r="GF54" s="60">
        <f t="shared" si="22"/>
        <v>-64895191.014500111</v>
      </c>
      <c r="GG54" s="60">
        <f t="shared" si="22"/>
        <v>-64895372.014500126</v>
      </c>
      <c r="GH54" s="60">
        <f t="shared" si="22"/>
        <v>-64896497.014500126</v>
      </c>
      <c r="GI54" s="60">
        <f t="shared" si="22"/>
        <v>-64891941.014500126</v>
      </c>
      <c r="GJ54" s="60">
        <f t="shared" si="22"/>
        <v>-84806922.014500126</v>
      </c>
      <c r="GK54" s="60">
        <f t="shared" si="22"/>
        <v>-84689744.014500126</v>
      </c>
      <c r="GL54" s="60">
        <f t="shared" si="22"/>
        <v>-84814595.014500126</v>
      </c>
      <c r="GM54" s="60">
        <f t="shared" ref="GM54:IT54" si="23">+GM6+GM27-GM53</f>
        <v>-84864305.014500126</v>
      </c>
      <c r="GN54" s="60">
        <f t="shared" si="23"/>
        <v>-84338637.014500126</v>
      </c>
      <c r="GO54" s="60">
        <f t="shared" si="23"/>
        <v>-84663285.924500123</v>
      </c>
      <c r="GP54" s="60">
        <f t="shared" si="23"/>
        <v>-84857248.014500111</v>
      </c>
      <c r="GQ54" s="60">
        <f t="shared" si="23"/>
        <v>-84885335.014500111</v>
      </c>
      <c r="GR54" s="60">
        <f t="shared" si="23"/>
        <v>-84865529.014500111</v>
      </c>
      <c r="GS54" s="60">
        <f t="shared" si="23"/>
        <v>-84870994.014500111</v>
      </c>
      <c r="GT54" s="67">
        <f t="shared" si="23"/>
        <v>-84881597.014500111</v>
      </c>
      <c r="GU54" s="60">
        <f t="shared" si="23"/>
        <v>-84832611.014500111</v>
      </c>
      <c r="GV54" s="60">
        <f t="shared" si="23"/>
        <v>-84699021.014500111</v>
      </c>
      <c r="GW54" s="60">
        <f t="shared" si="23"/>
        <v>-84823481.114500105</v>
      </c>
      <c r="GX54" s="60">
        <f t="shared" si="23"/>
        <v>-84620414.114500105</v>
      </c>
      <c r="GY54" s="60">
        <f t="shared" si="23"/>
        <v>-84848679.114500105</v>
      </c>
      <c r="GZ54" s="60">
        <f t="shared" si="23"/>
        <v>-84804063.114500105</v>
      </c>
      <c r="HA54" s="60">
        <f t="shared" si="23"/>
        <v>-84847666.114500105</v>
      </c>
      <c r="HB54" s="60">
        <f t="shared" si="23"/>
        <v>-84896866.114500105</v>
      </c>
      <c r="HC54" s="60">
        <f t="shared" si="23"/>
        <v>-84899996.114500105</v>
      </c>
      <c r="HD54" s="60">
        <f t="shared" si="23"/>
        <v>-84899985.114500105</v>
      </c>
      <c r="HE54" s="60">
        <f t="shared" si="23"/>
        <v>-84896716.114500105</v>
      </c>
      <c r="HF54" s="60">
        <f t="shared" si="23"/>
        <v>-84874978.114500105</v>
      </c>
      <c r="HG54" s="60">
        <f t="shared" si="23"/>
        <v>-84812143.114500105</v>
      </c>
      <c r="HH54" s="60">
        <f t="shared" si="23"/>
        <v>-84811794.114500105</v>
      </c>
      <c r="HI54" s="60">
        <f t="shared" si="23"/>
        <v>-84800209.114500105</v>
      </c>
      <c r="HJ54" s="60">
        <f t="shared" si="23"/>
        <v>-84888186.114500105</v>
      </c>
      <c r="HK54" s="60">
        <f t="shared" si="23"/>
        <v>-84881665.114500105</v>
      </c>
      <c r="HL54" s="60">
        <f t="shared" si="23"/>
        <v>-84880394.112500101</v>
      </c>
      <c r="HM54" s="60">
        <f t="shared" si="23"/>
        <v>-84356212.112500101</v>
      </c>
      <c r="HN54" s="60">
        <f t="shared" si="23"/>
        <v>-84863336.112500101</v>
      </c>
      <c r="HO54" s="67">
        <f t="shared" si="23"/>
        <v>-84878035.112500101</v>
      </c>
      <c r="HP54" s="60">
        <f t="shared" si="23"/>
        <v>-84890477.112500101</v>
      </c>
      <c r="HQ54" s="60">
        <f t="shared" si="23"/>
        <v>-84831070.112500101</v>
      </c>
      <c r="HR54" s="60">
        <f t="shared" si="23"/>
        <v>-84869731.112500101</v>
      </c>
      <c r="HS54" s="60">
        <f t="shared" si="23"/>
        <v>-84823040.112500101</v>
      </c>
      <c r="HT54" s="60">
        <f t="shared" si="23"/>
        <v>-84883352.112500101</v>
      </c>
      <c r="HU54" s="60">
        <f t="shared" si="23"/>
        <v>-84892934.112500101</v>
      </c>
      <c r="HV54" s="60">
        <f t="shared" si="23"/>
        <v>-84899681.112500101</v>
      </c>
      <c r="HW54" s="60">
        <f t="shared" si="23"/>
        <v>-84900000.112500101</v>
      </c>
      <c r="HX54" s="60">
        <f t="shared" si="23"/>
        <v>-84900000.112500101</v>
      </c>
      <c r="HY54" s="60">
        <f t="shared" si="23"/>
        <v>-84899980.112500101</v>
      </c>
      <c r="HZ54" s="60">
        <f t="shared" si="23"/>
        <v>-84900000.112500101</v>
      </c>
      <c r="IA54" s="60">
        <f t="shared" si="23"/>
        <v>-84900000.112500101</v>
      </c>
      <c r="IB54" s="60">
        <f t="shared" si="23"/>
        <v>-84900000.112500101</v>
      </c>
      <c r="IC54" s="60">
        <f t="shared" si="23"/>
        <v>-84464406.052500099</v>
      </c>
      <c r="ID54" s="60">
        <f t="shared" si="23"/>
        <v>-84626456.052500099</v>
      </c>
      <c r="IE54" s="60">
        <f t="shared" si="23"/>
        <v>-84826216.95250009</v>
      </c>
      <c r="IF54" s="60">
        <f t="shared" si="23"/>
        <v>-84889280.95250009</v>
      </c>
      <c r="IG54" s="60">
        <f t="shared" si="23"/>
        <v>-84862499.95250009</v>
      </c>
      <c r="IH54" s="60">
        <f t="shared" si="23"/>
        <v>-84877109.95250009</v>
      </c>
      <c r="II54" s="60">
        <f t="shared" si="23"/>
        <v>-84744571.95250009</v>
      </c>
      <c r="IJ54" s="67">
        <f t="shared" si="23"/>
        <v>-84760855.95250009</v>
      </c>
      <c r="IK54" s="60">
        <f t="shared" si="23"/>
        <v>-84884757.95250009</v>
      </c>
      <c r="IL54" s="60">
        <f t="shared" si="23"/>
        <v>-84847674.95250009</v>
      </c>
      <c r="IM54" s="60">
        <f t="shared" si="23"/>
        <v>-84878978.95250009</v>
      </c>
      <c r="IN54" s="60">
        <f t="shared" si="23"/>
        <v>-84894594.952500105</v>
      </c>
      <c r="IO54" s="60">
        <f t="shared" si="23"/>
        <v>-84838432.952500105</v>
      </c>
      <c r="IP54" s="60">
        <f t="shared" si="23"/>
        <v>-84800359.952500105</v>
      </c>
      <c r="IQ54" s="60">
        <f t="shared" si="23"/>
        <v>-84871448.952500105</v>
      </c>
      <c r="IR54" s="60">
        <f>+IR6+IR27-IR53</f>
        <v>-84896099.952500105</v>
      </c>
      <c r="IS54" s="60">
        <f>+IS6+IS27-IS53</f>
        <v>-84898271.952500105</v>
      </c>
      <c r="IT54" s="60">
        <f t="shared" si="23"/>
        <v>-84898271.952500105</v>
      </c>
      <c r="IU54" s="60"/>
    </row>
    <row r="55" spans="1:255" ht="14.1" customHeight="1">
      <c r="A55" s="7" t="s">
        <v>16</v>
      </c>
      <c r="B55" s="14"/>
      <c r="C55" s="39">
        <v>16800000</v>
      </c>
      <c r="D55" s="7">
        <v>27300000</v>
      </c>
      <c r="E55" s="7">
        <v>37500000</v>
      </c>
      <c r="F55" s="7">
        <v>49100000</v>
      </c>
      <c r="G55" s="7">
        <v>36900000</v>
      </c>
      <c r="H55" s="7">
        <v>-2600000</v>
      </c>
      <c r="I55" s="7">
        <v>-140600000</v>
      </c>
      <c r="J55" s="7">
        <v>-250000</v>
      </c>
      <c r="K55" s="7">
        <v>42200000</v>
      </c>
      <c r="L55" s="7">
        <v>-52000000</v>
      </c>
      <c r="M55" s="229">
        <v>-41800000</v>
      </c>
      <c r="N55" s="7">
        <v>31800000</v>
      </c>
      <c r="O55" s="7">
        <v>11200000</v>
      </c>
      <c r="P55" s="7">
        <v>28300000</v>
      </c>
      <c r="Q55" s="7">
        <v>9900000</v>
      </c>
      <c r="R55" s="7">
        <v>20300000</v>
      </c>
      <c r="S55" s="7">
        <v>-2400000</v>
      </c>
      <c r="T55" s="7">
        <v>-57900000</v>
      </c>
      <c r="U55" s="7">
        <v>2100000</v>
      </c>
      <c r="V55" s="7">
        <v>-450000</v>
      </c>
      <c r="W55" s="7">
        <v>-350000</v>
      </c>
      <c r="X55" s="7">
        <v>-1300000</v>
      </c>
      <c r="Y55" s="7">
        <v>-600000</v>
      </c>
      <c r="Z55" s="7">
        <v>800000</v>
      </c>
      <c r="AA55" s="7">
        <f t="shared" ref="AA55:CL55" si="24">-AA20+AA51</f>
        <v>-16600000</v>
      </c>
      <c r="AB55" s="7">
        <f t="shared" si="24"/>
        <v>10000000</v>
      </c>
      <c r="AC55" s="7">
        <f t="shared" si="24"/>
        <v>6000000</v>
      </c>
      <c r="AD55" s="7">
        <f t="shared" si="24"/>
        <v>0</v>
      </c>
      <c r="AE55" s="7">
        <f t="shared" si="24"/>
        <v>350000</v>
      </c>
      <c r="AF55" s="354">
        <f t="shared" si="24"/>
        <v>-67000000</v>
      </c>
      <c r="AG55" s="7">
        <f t="shared" si="24"/>
        <v>3500000</v>
      </c>
      <c r="AH55" s="7">
        <f t="shared" si="24"/>
        <v>-700000</v>
      </c>
      <c r="AI55" s="7">
        <f t="shared" si="24"/>
        <v>1200000</v>
      </c>
      <c r="AJ55" s="7">
        <f t="shared" si="24"/>
        <v>-1100000</v>
      </c>
      <c r="AK55" s="7">
        <f t="shared" si="24"/>
        <v>2400000</v>
      </c>
      <c r="AL55" s="7">
        <f t="shared" si="24"/>
        <v>-2600000</v>
      </c>
      <c r="AM55" s="7">
        <f t="shared" si="24"/>
        <v>1000000</v>
      </c>
      <c r="AN55" s="7">
        <f t="shared" si="24"/>
        <v>3400000</v>
      </c>
      <c r="AO55" s="7">
        <f t="shared" si="24"/>
        <v>1500000</v>
      </c>
      <c r="AP55" s="7">
        <f t="shared" si="24"/>
        <v>1300000</v>
      </c>
      <c r="AQ55" s="7">
        <f t="shared" si="24"/>
        <v>-2600000</v>
      </c>
      <c r="AR55" s="7">
        <f t="shared" si="24"/>
        <v>400000</v>
      </c>
      <c r="AS55" s="7">
        <f t="shared" si="24"/>
        <v>-2900000</v>
      </c>
      <c r="AT55" s="7">
        <f t="shared" si="24"/>
        <v>1600000</v>
      </c>
      <c r="AU55" s="7">
        <f t="shared" si="24"/>
        <v>-200000</v>
      </c>
      <c r="AV55" s="7">
        <f t="shared" si="24"/>
        <v>-15600000</v>
      </c>
      <c r="AW55" s="7">
        <f t="shared" si="24"/>
        <v>3000000</v>
      </c>
      <c r="AX55" s="7">
        <f t="shared" si="24"/>
        <v>-300000</v>
      </c>
      <c r="AY55" s="7">
        <f t="shared" si="24"/>
        <v>-500000</v>
      </c>
      <c r="AZ55" s="7">
        <f t="shared" si="24"/>
        <v>0</v>
      </c>
      <c r="BA55" s="7">
        <f t="shared" si="24"/>
        <v>3133712.94</v>
      </c>
      <c r="BB55" s="7">
        <f t="shared" si="24"/>
        <v>67100000</v>
      </c>
      <c r="BC55" s="354">
        <f t="shared" si="24"/>
        <v>-68700000</v>
      </c>
      <c r="BD55" s="7">
        <f t="shared" si="24"/>
        <v>-700000</v>
      </c>
      <c r="BE55" s="7">
        <f t="shared" si="24"/>
        <v>-4200000</v>
      </c>
      <c r="BF55" s="7">
        <f t="shared" si="24"/>
        <v>-5000000</v>
      </c>
      <c r="BG55" s="7">
        <f t="shared" si="24"/>
        <v>0</v>
      </c>
      <c r="BH55" s="7">
        <f t="shared" si="24"/>
        <v>3500000</v>
      </c>
      <c r="BI55" s="7">
        <f t="shared" si="24"/>
        <v>600000</v>
      </c>
      <c r="BJ55" s="7">
        <f t="shared" si="24"/>
        <v>-500000</v>
      </c>
      <c r="BK55" s="7">
        <f t="shared" si="24"/>
        <v>900000</v>
      </c>
      <c r="BL55" s="7">
        <f t="shared" si="24"/>
        <v>-700000</v>
      </c>
      <c r="BM55" s="7">
        <f t="shared" si="24"/>
        <v>-1400000</v>
      </c>
      <c r="BN55" s="7">
        <f t="shared" si="24"/>
        <v>-3400000</v>
      </c>
      <c r="BO55" s="7">
        <f t="shared" si="24"/>
        <v>-4600000</v>
      </c>
      <c r="BP55" s="7">
        <f t="shared" si="24"/>
        <v>-2600000</v>
      </c>
      <c r="BQ55" s="7">
        <f t="shared" si="24"/>
        <v>1200000</v>
      </c>
      <c r="BR55" s="7">
        <f t="shared" si="24"/>
        <v>-8200000</v>
      </c>
      <c r="BS55" s="7">
        <f t="shared" si="24"/>
        <v>-1000000</v>
      </c>
      <c r="BT55" s="7">
        <f t="shared" si="24"/>
        <v>-400000</v>
      </c>
      <c r="BU55" s="7">
        <f t="shared" si="24"/>
        <v>-100000</v>
      </c>
      <c r="BV55" s="7">
        <f t="shared" si="24"/>
        <v>65300000</v>
      </c>
      <c r="BW55" s="7">
        <f t="shared" si="24"/>
        <v>-800000</v>
      </c>
      <c r="BX55" s="7">
        <f t="shared" si="24"/>
        <v>1000000</v>
      </c>
      <c r="BY55" s="354">
        <f t="shared" si="24"/>
        <v>-70500000</v>
      </c>
      <c r="BZ55" s="7">
        <f t="shared" si="24"/>
        <v>-1600000</v>
      </c>
      <c r="CA55" s="7">
        <f t="shared" si="24"/>
        <v>-400000</v>
      </c>
      <c r="CB55" s="7">
        <f t="shared" si="24"/>
        <v>-9600000</v>
      </c>
      <c r="CC55" s="7">
        <f t="shared" si="24"/>
        <v>-100000</v>
      </c>
      <c r="CD55" s="7">
        <f t="shared" si="24"/>
        <v>7400000</v>
      </c>
      <c r="CE55" s="7">
        <f t="shared" si="24"/>
        <v>36000000</v>
      </c>
      <c r="CF55" s="7">
        <f t="shared" si="24"/>
        <v>2100000</v>
      </c>
      <c r="CG55" s="7">
        <f t="shared" si="24"/>
        <v>-1400000</v>
      </c>
      <c r="CH55" s="7">
        <f t="shared" si="24"/>
        <v>-5300000</v>
      </c>
      <c r="CI55" s="7">
        <f t="shared" si="24"/>
        <v>-600000</v>
      </c>
      <c r="CJ55" s="7">
        <f t="shared" si="24"/>
        <v>1200000</v>
      </c>
      <c r="CK55" s="7">
        <f t="shared" si="24"/>
        <v>-700000</v>
      </c>
      <c r="CL55" s="7">
        <f t="shared" si="24"/>
        <v>-350000</v>
      </c>
      <c r="CM55" s="7">
        <f t="shared" ref="CM55:EX55" si="25">-CM20+CM51</f>
        <v>-16000000</v>
      </c>
      <c r="CN55" s="7">
        <f t="shared" si="25"/>
        <v>-750000</v>
      </c>
      <c r="CO55" s="7">
        <f t="shared" si="25"/>
        <v>-800000</v>
      </c>
      <c r="CP55" s="7">
        <f t="shared" si="25"/>
        <v>-250000</v>
      </c>
      <c r="CQ55" s="7">
        <f t="shared" si="25"/>
        <v>71400000</v>
      </c>
      <c r="CR55" s="7">
        <f t="shared" si="25"/>
        <v>3100000</v>
      </c>
      <c r="CS55" s="354">
        <f t="shared" si="25"/>
        <v>-64900000</v>
      </c>
      <c r="CT55" s="7">
        <f t="shared" si="25"/>
        <v>-850000</v>
      </c>
      <c r="CU55" s="7">
        <f t="shared" si="25"/>
        <v>-100000</v>
      </c>
      <c r="CV55" s="7">
        <f t="shared" si="25"/>
        <v>-1600000</v>
      </c>
      <c r="CW55" s="7">
        <f t="shared" si="25"/>
        <v>5400000</v>
      </c>
      <c r="CX55" s="7">
        <f t="shared" si="25"/>
        <v>-1900000</v>
      </c>
      <c r="CY55" s="7">
        <f t="shared" si="25"/>
        <v>-1200000</v>
      </c>
      <c r="CZ55" s="7">
        <f t="shared" si="25"/>
        <v>-1150000</v>
      </c>
      <c r="DA55" s="7">
        <f t="shared" si="25"/>
        <v>6600000</v>
      </c>
      <c r="DB55" s="7">
        <f t="shared" si="25"/>
        <v>-2650000</v>
      </c>
      <c r="DC55" s="7">
        <f t="shared" si="25"/>
        <v>-950000</v>
      </c>
      <c r="DD55" s="7">
        <f t="shared" si="25"/>
        <v>-14800000</v>
      </c>
      <c r="DE55" s="7">
        <f t="shared" si="25"/>
        <v>-1400000</v>
      </c>
      <c r="DF55" s="7">
        <f t="shared" si="25"/>
        <v>250000</v>
      </c>
      <c r="DG55" s="7">
        <f t="shared" si="25"/>
        <v>9000000</v>
      </c>
      <c r="DH55" s="7">
        <f t="shared" si="25"/>
        <v>1000000</v>
      </c>
      <c r="DI55" s="7">
        <f t="shared" si="25"/>
        <v>-200000</v>
      </c>
      <c r="DJ55" s="7">
        <f t="shared" si="25"/>
        <v>-300000</v>
      </c>
      <c r="DK55" s="7">
        <f t="shared" si="25"/>
        <v>-1800000</v>
      </c>
      <c r="DL55" s="7">
        <f t="shared" si="25"/>
        <v>-150000</v>
      </c>
      <c r="DM55" s="7">
        <f t="shared" si="25"/>
        <v>46500000</v>
      </c>
      <c r="DN55" s="354">
        <f t="shared" si="25"/>
        <v>-65000000</v>
      </c>
      <c r="DO55" s="7">
        <f t="shared" si="25"/>
        <v>-500000</v>
      </c>
      <c r="DP55" s="7">
        <f t="shared" si="25"/>
        <v>-7350000</v>
      </c>
      <c r="DQ55" s="7">
        <f t="shared" si="25"/>
        <v>-1050000</v>
      </c>
      <c r="DR55" s="7">
        <f t="shared" si="25"/>
        <v>-1350000</v>
      </c>
      <c r="DS55" s="7">
        <f t="shared" si="25"/>
        <v>-1200000</v>
      </c>
      <c r="DT55" s="7">
        <f t="shared" si="25"/>
        <v>-2800000</v>
      </c>
      <c r="DU55" s="7">
        <f t="shared" si="25"/>
        <v>-2800000</v>
      </c>
      <c r="DV55" s="7">
        <f t="shared" si="25"/>
        <v>2450000</v>
      </c>
      <c r="DW55" s="7">
        <f t="shared" si="25"/>
        <v>9750000</v>
      </c>
      <c r="DX55" s="7">
        <f t="shared" si="25"/>
        <v>-1950000</v>
      </c>
      <c r="DY55" s="7">
        <f t="shared" si="25"/>
        <v>0</v>
      </c>
      <c r="DZ55" s="7">
        <f t="shared" si="25"/>
        <v>-4100000</v>
      </c>
      <c r="EA55" s="7">
        <f t="shared" si="25"/>
        <v>-150000</v>
      </c>
      <c r="EB55" s="7">
        <f t="shared" si="25"/>
        <v>4600000</v>
      </c>
      <c r="EC55" s="7">
        <f t="shared" si="25"/>
        <v>-1650000</v>
      </c>
      <c r="ED55" s="7">
        <f t="shared" si="25"/>
        <v>7650000</v>
      </c>
      <c r="EE55" s="7">
        <f t="shared" si="25"/>
        <v>-2350000</v>
      </c>
      <c r="EF55" s="7">
        <f t="shared" si="25"/>
        <v>49600000</v>
      </c>
      <c r="EG55" s="7">
        <f t="shared" si="25"/>
        <v>-100000</v>
      </c>
      <c r="EH55" s="7">
        <f t="shared" si="25"/>
        <v>-1800000</v>
      </c>
      <c r="EI55" s="7">
        <f t="shared" si="25"/>
        <v>8650000</v>
      </c>
      <c r="EJ55" s="229">
        <f t="shared" si="25"/>
        <v>-65350000</v>
      </c>
      <c r="EK55" s="7">
        <f t="shared" si="25"/>
        <v>8050000</v>
      </c>
      <c r="EL55" s="7">
        <f t="shared" si="25"/>
        <v>1250000</v>
      </c>
      <c r="EM55" s="7">
        <f t="shared" si="25"/>
        <v>-1900000</v>
      </c>
      <c r="EN55" s="7">
        <f t="shared" si="25"/>
        <v>-450000</v>
      </c>
      <c r="EO55" s="7">
        <f t="shared" si="25"/>
        <v>-2100000</v>
      </c>
      <c r="EP55" s="7">
        <f t="shared" si="25"/>
        <v>-4100000</v>
      </c>
      <c r="EQ55" s="7">
        <f t="shared" si="25"/>
        <v>13700000</v>
      </c>
      <c r="ER55" s="7">
        <f t="shared" si="25"/>
        <v>-2750000</v>
      </c>
      <c r="ES55" s="7">
        <f t="shared" si="25"/>
        <v>-250000</v>
      </c>
      <c r="ET55" s="7">
        <f t="shared" si="25"/>
        <v>-950000</v>
      </c>
      <c r="EU55" s="7">
        <f t="shared" si="25"/>
        <v>-3550000</v>
      </c>
      <c r="EV55" s="7">
        <f t="shared" si="25"/>
        <v>-2400000</v>
      </c>
      <c r="EW55" s="7">
        <f t="shared" si="25"/>
        <v>950000</v>
      </c>
      <c r="EX55" s="7">
        <f t="shared" si="25"/>
        <v>-100000</v>
      </c>
      <c r="EY55" s="7">
        <f t="shared" ref="EY55:HJ55" si="26">-EY20+EY51</f>
        <v>0</v>
      </c>
      <c r="EZ55" s="7">
        <f t="shared" si="26"/>
        <v>-1300000</v>
      </c>
      <c r="FA55" s="7">
        <f t="shared" si="26"/>
        <v>500000</v>
      </c>
      <c r="FB55" s="7">
        <f t="shared" si="26"/>
        <v>-1500000</v>
      </c>
      <c r="FC55" s="7">
        <f t="shared" si="26"/>
        <v>-300000</v>
      </c>
      <c r="FD55" s="7">
        <f t="shared" si="26"/>
        <v>-1500000</v>
      </c>
      <c r="FE55" s="354">
        <f t="shared" si="26"/>
        <v>0</v>
      </c>
      <c r="FF55" s="7">
        <f t="shared" si="26"/>
        <v>-1200000</v>
      </c>
      <c r="FG55" s="7">
        <f t="shared" si="26"/>
        <v>-600000</v>
      </c>
      <c r="FH55" s="7">
        <f t="shared" si="26"/>
        <v>8800000</v>
      </c>
      <c r="FI55" s="7">
        <f t="shared" si="26"/>
        <v>-4500000</v>
      </c>
      <c r="FJ55" s="229">
        <f t="shared" si="26"/>
        <v>-350000</v>
      </c>
      <c r="FK55" s="7">
        <f t="shared" si="26"/>
        <v>-1800000</v>
      </c>
      <c r="FL55" s="7">
        <f t="shared" si="26"/>
        <v>2550000</v>
      </c>
      <c r="FM55" s="7">
        <f t="shared" si="26"/>
        <v>58700000</v>
      </c>
      <c r="FN55" s="7">
        <f t="shared" si="26"/>
        <v>-4300000</v>
      </c>
      <c r="FO55" s="7">
        <f t="shared" si="26"/>
        <v>-33250000</v>
      </c>
      <c r="FP55" s="7">
        <f t="shared" si="26"/>
        <v>4150000</v>
      </c>
      <c r="FQ55" s="7">
        <f t="shared" si="26"/>
        <v>-350000</v>
      </c>
      <c r="FR55" s="7">
        <f t="shared" si="26"/>
        <v>-3900000</v>
      </c>
      <c r="FS55" s="7">
        <f t="shared" si="26"/>
        <v>-3400000</v>
      </c>
      <c r="FT55" s="7">
        <f t="shared" si="26"/>
        <v>-16250000</v>
      </c>
      <c r="FU55" s="7">
        <f t="shared" si="26"/>
        <v>-350000</v>
      </c>
      <c r="FV55" s="7">
        <f t="shared" si="26"/>
        <v>-300000</v>
      </c>
      <c r="FW55" s="7">
        <f t="shared" si="26"/>
        <v>-100000</v>
      </c>
      <c r="FX55" s="7">
        <f t="shared" si="26"/>
        <v>-3000000</v>
      </c>
      <c r="FY55" s="7">
        <f t="shared" si="26"/>
        <v>9900000</v>
      </c>
      <c r="FZ55" s="354">
        <f t="shared" si="26"/>
        <v>0</v>
      </c>
      <c r="GA55" s="7">
        <f t="shared" si="26"/>
        <v>-6850000</v>
      </c>
      <c r="GB55" s="7">
        <f t="shared" si="26"/>
        <v>1100000</v>
      </c>
      <c r="GC55" s="7">
        <f t="shared" si="26"/>
        <v>1950000</v>
      </c>
      <c r="GD55" s="7">
        <f t="shared" si="26"/>
        <v>-1900000</v>
      </c>
      <c r="GE55" s="7">
        <f t="shared" si="26"/>
        <v>1150000</v>
      </c>
      <c r="GF55" s="7">
        <f t="shared" si="26"/>
        <v>2050000</v>
      </c>
      <c r="GG55" s="7">
        <f t="shared" si="26"/>
        <v>19250000</v>
      </c>
      <c r="GH55" s="7">
        <f t="shared" si="26"/>
        <v>1900000</v>
      </c>
      <c r="GI55" s="7">
        <f t="shared" si="26"/>
        <v>3700000</v>
      </c>
      <c r="GJ55" s="7">
        <f t="shared" si="26"/>
        <v>19850000</v>
      </c>
      <c r="GK55" s="7">
        <f t="shared" si="26"/>
        <v>-22700000</v>
      </c>
      <c r="GL55" s="7">
        <f t="shared" si="26"/>
        <v>-1750000</v>
      </c>
      <c r="GM55" s="7">
        <f t="shared" si="26"/>
        <v>2750000</v>
      </c>
      <c r="GN55" s="7">
        <f>-GN20+GN51</f>
        <v>-400000</v>
      </c>
      <c r="GO55" s="7">
        <f t="shared" si="26"/>
        <v>3600000</v>
      </c>
      <c r="GP55" s="7">
        <f t="shared" si="26"/>
        <v>-14500000</v>
      </c>
      <c r="GQ55" s="7">
        <f t="shared" si="26"/>
        <v>-600000</v>
      </c>
      <c r="GR55" s="7">
        <f t="shared" si="26"/>
        <v>800000</v>
      </c>
      <c r="GS55" s="7">
        <f t="shared" si="26"/>
        <v>-900000</v>
      </c>
      <c r="GT55" s="354">
        <f t="shared" si="26"/>
        <v>-13400000</v>
      </c>
      <c r="GU55" s="7">
        <f t="shared" si="26"/>
        <v>-1950000</v>
      </c>
      <c r="GV55" s="7">
        <f t="shared" si="26"/>
        <v>6350000</v>
      </c>
      <c r="GW55" s="7">
        <f t="shared" si="26"/>
        <v>-2700000</v>
      </c>
      <c r="GX55" s="7">
        <f t="shared" si="26"/>
        <v>1500000</v>
      </c>
      <c r="GY55" s="7">
        <f t="shared" si="26"/>
        <v>600000</v>
      </c>
      <c r="GZ55" s="7">
        <f t="shared" si="26"/>
        <v>-7750000</v>
      </c>
      <c r="HA55" s="7">
        <f t="shared" si="26"/>
        <v>500000</v>
      </c>
      <c r="HB55" s="7">
        <f t="shared" si="26"/>
        <v>-250000</v>
      </c>
      <c r="HC55" s="7">
        <f t="shared" si="26"/>
        <v>5850000</v>
      </c>
      <c r="HD55" s="7">
        <f t="shared" si="26"/>
        <v>4650000</v>
      </c>
      <c r="HE55" s="7">
        <f t="shared" si="26"/>
        <v>150000</v>
      </c>
      <c r="HF55" s="7">
        <f t="shared" si="26"/>
        <v>2700000</v>
      </c>
      <c r="HG55" s="7">
        <f t="shared" si="26"/>
        <v>0</v>
      </c>
      <c r="HH55" s="7">
        <f t="shared" si="26"/>
        <v>-11150000</v>
      </c>
      <c r="HI55" s="7">
        <f t="shared" si="26"/>
        <v>-2700000</v>
      </c>
      <c r="HJ55" s="7">
        <f t="shared" si="26"/>
        <v>750000</v>
      </c>
      <c r="HK55" s="7">
        <f t="shared" ref="HK55:IU55" si="27">-HK20+HK51</f>
        <v>8900000</v>
      </c>
      <c r="HL55" s="7">
        <f t="shared" si="27"/>
        <v>2100000</v>
      </c>
      <c r="HM55" s="7">
        <f t="shared" si="27"/>
        <v>-600000</v>
      </c>
      <c r="HN55" s="7">
        <f t="shared" si="27"/>
        <v>0</v>
      </c>
      <c r="HO55" s="354">
        <f t="shared" si="27"/>
        <v>-17050000</v>
      </c>
      <c r="HP55" s="7">
        <f t="shared" si="27"/>
        <v>5550000</v>
      </c>
      <c r="HQ55" s="7">
        <f t="shared" si="27"/>
        <v>0</v>
      </c>
      <c r="HR55" s="7">
        <f t="shared" si="27"/>
        <v>0</v>
      </c>
      <c r="HS55" s="7">
        <f t="shared" si="27"/>
        <v>0</v>
      </c>
      <c r="HT55" s="7">
        <f t="shared" si="27"/>
        <v>0</v>
      </c>
      <c r="HU55" s="7">
        <f t="shared" si="27"/>
        <v>900000</v>
      </c>
      <c r="HV55" s="7">
        <f t="shared" si="27"/>
        <v>0</v>
      </c>
      <c r="HW55" s="7">
        <f t="shared" si="27"/>
        <v>-1000000</v>
      </c>
      <c r="HX55" s="7">
        <f t="shared" si="27"/>
        <v>0</v>
      </c>
      <c r="HY55" s="7">
        <f t="shared" si="27"/>
        <v>0</v>
      </c>
      <c r="HZ55" s="7">
        <f t="shared" si="27"/>
        <v>0</v>
      </c>
      <c r="IA55" s="7">
        <f t="shared" si="27"/>
        <v>2950000</v>
      </c>
      <c r="IB55" s="7">
        <f t="shared" si="27"/>
        <v>4600000</v>
      </c>
      <c r="IC55" s="7">
        <f t="shared" si="27"/>
        <v>0</v>
      </c>
      <c r="ID55" s="7">
        <f t="shared" si="27"/>
        <v>0</v>
      </c>
      <c r="IE55" s="7">
        <f t="shared" si="27"/>
        <v>0</v>
      </c>
      <c r="IF55" s="7">
        <f t="shared" si="27"/>
        <v>6400000</v>
      </c>
      <c r="IG55" s="7">
        <f t="shared" si="27"/>
        <v>0</v>
      </c>
      <c r="IH55" s="7">
        <f t="shared" si="27"/>
        <v>11950000</v>
      </c>
      <c r="II55" s="7">
        <f t="shared" si="27"/>
        <v>11300000</v>
      </c>
      <c r="IJ55" s="354">
        <f t="shared" si="27"/>
        <v>-25700000</v>
      </c>
      <c r="IK55" s="7">
        <f t="shared" si="27"/>
        <v>2150000</v>
      </c>
      <c r="IL55" s="7">
        <f t="shared" si="27"/>
        <v>0</v>
      </c>
      <c r="IM55" s="7">
        <f t="shared" si="27"/>
        <v>-900000</v>
      </c>
      <c r="IN55" s="7">
        <f t="shared" si="27"/>
        <v>0</v>
      </c>
      <c r="IO55" s="7">
        <f t="shared" si="27"/>
        <v>0</v>
      </c>
      <c r="IP55" s="7">
        <f t="shared" si="27"/>
        <v>0</v>
      </c>
      <c r="IQ55" s="7">
        <f t="shared" si="27"/>
        <v>0</v>
      </c>
      <c r="IR55" s="7">
        <f>-IR20+IR51</f>
        <v>0</v>
      </c>
      <c r="IS55" s="7">
        <f>-IS20+IS51</f>
        <v>0</v>
      </c>
      <c r="IT55" s="7">
        <f t="shared" si="27"/>
        <v>0</v>
      </c>
      <c r="IU55" s="7">
        <f t="shared" si="27"/>
        <v>0</v>
      </c>
    </row>
    <row r="56" spans="1:255" ht="14.1" customHeight="1">
      <c r="A56" s="21"/>
      <c r="B56" s="14"/>
      <c r="C56" s="152"/>
      <c r="M56" s="213"/>
      <c r="T56" s="124"/>
      <c r="AF56" s="213"/>
      <c r="BC56" s="213"/>
      <c r="BY56" s="213"/>
      <c r="CS56" s="213"/>
      <c r="CZ56" s="8"/>
      <c r="DN56" s="213"/>
      <c r="DR56" s="8"/>
      <c r="EB56" s="8"/>
      <c r="EJ56" s="213"/>
      <c r="EK56" s="140"/>
      <c r="EQ56" s="8"/>
      <c r="FD56" s="8"/>
      <c r="FE56" s="213"/>
      <c r="FJ56" s="213"/>
      <c r="FZ56" s="213"/>
      <c r="GT56" s="213"/>
      <c r="HO56" s="213"/>
      <c r="IJ56" s="213"/>
    </row>
    <row r="57" spans="1:255" ht="14.1" customHeight="1">
      <c r="A57" s="22" t="s">
        <v>23</v>
      </c>
      <c r="B57" s="22" t="s">
        <v>42</v>
      </c>
      <c r="C57" s="152"/>
      <c r="M57" s="213"/>
      <c r="AF57" s="213"/>
      <c r="BC57" s="213"/>
      <c r="BY57" s="213"/>
      <c r="CS57" s="213"/>
      <c r="CZ57" s="8"/>
      <c r="DN57" s="213"/>
      <c r="DR57" s="8"/>
      <c r="EB57" s="8"/>
      <c r="EJ57" s="213"/>
      <c r="EK57" s="140"/>
      <c r="EQ57" s="8"/>
      <c r="FD57" s="8"/>
      <c r="FE57" s="213"/>
      <c r="FJ57" s="213"/>
      <c r="FZ57" s="213"/>
      <c r="GT57" s="213"/>
      <c r="HO57" s="213"/>
      <c r="IJ57" s="213"/>
    </row>
    <row r="58" spans="1:255" ht="14.1" customHeight="1">
      <c r="A58" s="14" t="s">
        <v>17</v>
      </c>
      <c r="B58" s="14"/>
      <c r="C58" s="39">
        <f>131287033.45+133339.3</f>
        <v>131420372.75</v>
      </c>
      <c r="D58" s="14">
        <f t="shared" ref="D58:U58" si="28">C58+D55</f>
        <v>158720372.75</v>
      </c>
      <c r="E58" s="14">
        <f t="shared" si="28"/>
        <v>196220372.75</v>
      </c>
      <c r="F58" s="14">
        <f t="shared" si="28"/>
        <v>245320372.75</v>
      </c>
      <c r="G58" s="14">
        <f t="shared" si="28"/>
        <v>282220372.75</v>
      </c>
      <c r="H58" s="14">
        <f t="shared" si="28"/>
        <v>279620372.75</v>
      </c>
      <c r="I58" s="14">
        <f t="shared" si="28"/>
        <v>139020372.75</v>
      </c>
      <c r="J58" s="14">
        <f t="shared" si="28"/>
        <v>138770372.75</v>
      </c>
      <c r="K58" s="14">
        <f t="shared" si="28"/>
        <v>180970372.75</v>
      </c>
      <c r="L58" s="14">
        <f t="shared" si="28"/>
        <v>128970372.75</v>
      </c>
      <c r="M58" s="230">
        <f t="shared" si="28"/>
        <v>87170372.75</v>
      </c>
      <c r="N58" s="14">
        <f t="shared" si="28"/>
        <v>118970372.75</v>
      </c>
      <c r="O58" s="14">
        <f t="shared" si="28"/>
        <v>130170372.75</v>
      </c>
      <c r="P58" s="14">
        <f t="shared" si="28"/>
        <v>158470372.75</v>
      </c>
      <c r="Q58" s="14">
        <f t="shared" si="28"/>
        <v>168370372.75</v>
      </c>
      <c r="R58" s="14">
        <f t="shared" si="28"/>
        <v>188670372.75</v>
      </c>
      <c r="S58" s="14">
        <f t="shared" si="28"/>
        <v>186270372.75</v>
      </c>
      <c r="T58" s="14">
        <f t="shared" si="28"/>
        <v>128370372.75</v>
      </c>
      <c r="U58" s="14">
        <f t="shared" si="28"/>
        <v>130470372.75</v>
      </c>
      <c r="V58" s="39">
        <f>U58+V55+116108.11</f>
        <v>130136480.86</v>
      </c>
      <c r="W58" s="14">
        <f t="shared" ref="W58:AR58" si="29">V58+W55</f>
        <v>129786480.86</v>
      </c>
      <c r="X58" s="14">
        <f t="shared" si="29"/>
        <v>128486480.86</v>
      </c>
      <c r="Y58" s="14">
        <f t="shared" si="29"/>
        <v>127886480.86</v>
      </c>
      <c r="Z58" s="14">
        <f t="shared" si="29"/>
        <v>128686480.86</v>
      </c>
      <c r="AA58" s="14">
        <f t="shared" si="29"/>
        <v>112086480.86</v>
      </c>
      <c r="AB58" s="14">
        <f t="shared" si="29"/>
        <v>122086480.86</v>
      </c>
      <c r="AC58" s="14">
        <f t="shared" si="29"/>
        <v>128086480.86</v>
      </c>
      <c r="AD58" s="14">
        <f t="shared" si="29"/>
        <v>128086480.86</v>
      </c>
      <c r="AE58" s="14">
        <f t="shared" si="29"/>
        <v>128436480.86</v>
      </c>
      <c r="AF58" s="230">
        <f t="shared" si="29"/>
        <v>61436480.859999999</v>
      </c>
      <c r="AG58" s="14">
        <f t="shared" si="29"/>
        <v>64936480.859999999</v>
      </c>
      <c r="AH58" s="14">
        <f t="shared" si="29"/>
        <v>64236480.859999999</v>
      </c>
      <c r="AI58" s="14">
        <f t="shared" si="29"/>
        <v>65436480.859999999</v>
      </c>
      <c r="AJ58" s="14">
        <f t="shared" si="29"/>
        <v>64336480.859999999</v>
      </c>
      <c r="AK58" s="14">
        <f t="shared" si="29"/>
        <v>66736480.859999999</v>
      </c>
      <c r="AL58" s="14">
        <f t="shared" si="29"/>
        <v>64136480.859999999</v>
      </c>
      <c r="AM58" s="14">
        <f t="shared" si="29"/>
        <v>65136480.859999999</v>
      </c>
      <c r="AN58" s="14">
        <f t="shared" si="29"/>
        <v>68536480.859999999</v>
      </c>
      <c r="AO58" s="14">
        <f t="shared" si="29"/>
        <v>70036480.859999999</v>
      </c>
      <c r="AP58" s="14">
        <f t="shared" si="29"/>
        <v>71336480.859999999</v>
      </c>
      <c r="AQ58" s="14">
        <f t="shared" si="29"/>
        <v>68736480.859999999</v>
      </c>
      <c r="AR58" s="39">
        <f t="shared" si="29"/>
        <v>69136480.859999999</v>
      </c>
      <c r="AS58" s="14">
        <f>AR58+AS55+48734.95</f>
        <v>66285215.810000002</v>
      </c>
      <c r="AT58" s="14">
        <f t="shared" ref="AT58:BN58" si="30">AS58+AT55</f>
        <v>67885215.810000002</v>
      </c>
      <c r="AU58" s="14">
        <f t="shared" si="30"/>
        <v>67685215.810000002</v>
      </c>
      <c r="AV58" s="14">
        <f t="shared" si="30"/>
        <v>52085215.810000002</v>
      </c>
      <c r="AW58" s="14">
        <f t="shared" si="30"/>
        <v>55085215.810000002</v>
      </c>
      <c r="AX58" s="14">
        <f t="shared" si="30"/>
        <v>54785215.810000002</v>
      </c>
      <c r="AY58" s="14">
        <f t="shared" si="30"/>
        <v>54285215.810000002</v>
      </c>
      <c r="AZ58" s="14">
        <f t="shared" si="30"/>
        <v>54285215.810000002</v>
      </c>
      <c r="BA58" s="14">
        <f t="shared" si="30"/>
        <v>57418928.75</v>
      </c>
      <c r="BB58" s="14">
        <f t="shared" si="30"/>
        <v>124518928.75</v>
      </c>
      <c r="BC58" s="230">
        <f t="shared" si="30"/>
        <v>55818928.75</v>
      </c>
      <c r="BD58" s="14">
        <f t="shared" si="30"/>
        <v>55118928.75</v>
      </c>
      <c r="BE58" s="14">
        <f t="shared" si="30"/>
        <v>50918928.75</v>
      </c>
      <c r="BF58" s="14">
        <f t="shared" si="30"/>
        <v>45918928.75</v>
      </c>
      <c r="BG58" s="14">
        <f t="shared" si="30"/>
        <v>45918928.75</v>
      </c>
      <c r="BH58" s="14">
        <f t="shared" si="30"/>
        <v>49418928.75</v>
      </c>
      <c r="BI58" s="14">
        <f t="shared" si="30"/>
        <v>50018928.75</v>
      </c>
      <c r="BJ58" s="14">
        <f t="shared" si="30"/>
        <v>49518928.75</v>
      </c>
      <c r="BK58" s="14">
        <f t="shared" si="30"/>
        <v>50418928.75</v>
      </c>
      <c r="BL58" s="14">
        <f t="shared" si="30"/>
        <v>49718928.75</v>
      </c>
      <c r="BM58" s="14">
        <f t="shared" si="30"/>
        <v>48318928.75</v>
      </c>
      <c r="BN58" s="39">
        <f t="shared" si="30"/>
        <v>44918928.75</v>
      </c>
      <c r="BO58" s="14">
        <f>BN58+BO55+23479.09</f>
        <v>40342407.840000004</v>
      </c>
      <c r="BP58" s="14">
        <f t="shared" ref="BP58:CH58" si="31">BO58+BP55</f>
        <v>37742407.840000004</v>
      </c>
      <c r="BQ58" s="14">
        <f t="shared" si="31"/>
        <v>38942407.840000004</v>
      </c>
      <c r="BR58" s="14">
        <f t="shared" si="31"/>
        <v>30742407.840000004</v>
      </c>
      <c r="BS58" s="14">
        <f t="shared" si="31"/>
        <v>29742407.840000004</v>
      </c>
      <c r="BT58" s="14">
        <f t="shared" si="31"/>
        <v>29342407.840000004</v>
      </c>
      <c r="BU58" s="14">
        <f t="shared" si="31"/>
        <v>29242407.840000004</v>
      </c>
      <c r="BV58" s="14">
        <f t="shared" si="31"/>
        <v>94542407.840000004</v>
      </c>
      <c r="BW58" s="14">
        <f t="shared" si="31"/>
        <v>93742407.840000004</v>
      </c>
      <c r="BX58" s="14">
        <f t="shared" si="31"/>
        <v>94742407.840000004</v>
      </c>
      <c r="BY58" s="230">
        <f t="shared" si="31"/>
        <v>24242407.840000004</v>
      </c>
      <c r="BZ58" s="14">
        <f t="shared" si="31"/>
        <v>22642407.840000004</v>
      </c>
      <c r="CA58" s="14">
        <f t="shared" si="31"/>
        <v>22242407.840000004</v>
      </c>
      <c r="CB58" s="14">
        <f t="shared" si="31"/>
        <v>12642407.840000004</v>
      </c>
      <c r="CC58" s="14">
        <f t="shared" si="31"/>
        <v>12542407.840000004</v>
      </c>
      <c r="CD58" s="14">
        <f t="shared" si="31"/>
        <v>19942407.840000004</v>
      </c>
      <c r="CE58" s="14">
        <f t="shared" si="31"/>
        <v>55942407.840000004</v>
      </c>
      <c r="CF58" s="14">
        <f t="shared" si="31"/>
        <v>58042407.840000004</v>
      </c>
      <c r="CG58" s="14">
        <f t="shared" si="31"/>
        <v>56642407.840000004</v>
      </c>
      <c r="CH58" s="39">
        <f t="shared" si="31"/>
        <v>51342407.840000004</v>
      </c>
      <c r="CI58" s="14">
        <v>50756664.189999998</v>
      </c>
      <c r="CJ58" s="14">
        <f t="shared" ref="CJ58:EU58" si="32">CI58+CJ55</f>
        <v>51956664.189999998</v>
      </c>
      <c r="CK58" s="14">
        <f t="shared" si="32"/>
        <v>51256664.189999998</v>
      </c>
      <c r="CL58" s="14">
        <f t="shared" si="32"/>
        <v>50906664.189999998</v>
      </c>
      <c r="CM58" s="14">
        <f t="shared" si="32"/>
        <v>34906664.189999998</v>
      </c>
      <c r="CN58" s="14">
        <f t="shared" si="32"/>
        <v>34156664.189999998</v>
      </c>
      <c r="CO58" s="14">
        <f t="shared" si="32"/>
        <v>33356664.189999998</v>
      </c>
      <c r="CP58" s="14">
        <f t="shared" si="32"/>
        <v>33106664.189999998</v>
      </c>
      <c r="CQ58" s="14">
        <f t="shared" si="32"/>
        <v>104506664.19</v>
      </c>
      <c r="CR58" s="14">
        <f t="shared" si="32"/>
        <v>107606664.19</v>
      </c>
      <c r="CS58" s="230">
        <f t="shared" si="32"/>
        <v>42706664.189999998</v>
      </c>
      <c r="CT58" s="14">
        <f t="shared" si="32"/>
        <v>41856664.189999998</v>
      </c>
      <c r="CU58" s="14">
        <f t="shared" si="32"/>
        <v>41756664.189999998</v>
      </c>
      <c r="CV58" s="14">
        <f t="shared" si="32"/>
        <v>40156664.189999998</v>
      </c>
      <c r="CW58" s="14">
        <f t="shared" si="32"/>
        <v>45556664.189999998</v>
      </c>
      <c r="CX58" s="14">
        <f t="shared" si="32"/>
        <v>43656664.189999998</v>
      </c>
      <c r="CY58" s="14">
        <f t="shared" si="32"/>
        <v>42456664.189999998</v>
      </c>
      <c r="CZ58" s="14">
        <f t="shared" si="32"/>
        <v>41306664.189999998</v>
      </c>
      <c r="DA58" s="14">
        <f t="shared" si="32"/>
        <v>47906664.189999998</v>
      </c>
      <c r="DB58" s="14">
        <f t="shared" si="32"/>
        <v>45256664.189999998</v>
      </c>
      <c r="DC58" s="14">
        <f t="shared" si="32"/>
        <v>44306664.189999998</v>
      </c>
      <c r="DD58" s="39">
        <f t="shared" si="32"/>
        <v>29506664.189999998</v>
      </c>
      <c r="DE58" s="14">
        <v>28120931.109999999</v>
      </c>
      <c r="DF58" s="14">
        <f t="shared" si="32"/>
        <v>28370931.109999999</v>
      </c>
      <c r="DG58" s="14">
        <f t="shared" si="32"/>
        <v>37370931.109999999</v>
      </c>
      <c r="DH58" s="14">
        <f t="shared" si="32"/>
        <v>38370931.109999999</v>
      </c>
      <c r="DI58" s="14">
        <f t="shared" si="32"/>
        <v>38170931.109999999</v>
      </c>
      <c r="DJ58" s="14">
        <f t="shared" si="32"/>
        <v>37870931.109999999</v>
      </c>
      <c r="DK58" s="14">
        <f t="shared" si="32"/>
        <v>36070931.109999999</v>
      </c>
      <c r="DL58" s="14">
        <f t="shared" si="32"/>
        <v>35920931.109999999</v>
      </c>
      <c r="DM58" s="14">
        <f t="shared" si="32"/>
        <v>82420931.109999999</v>
      </c>
      <c r="DN58" s="230">
        <f t="shared" si="32"/>
        <v>17420931.109999999</v>
      </c>
      <c r="DO58" s="14">
        <f t="shared" si="32"/>
        <v>16920931.109999999</v>
      </c>
      <c r="DP58" s="14">
        <f t="shared" si="32"/>
        <v>9570931.1099999994</v>
      </c>
      <c r="DQ58" s="14">
        <f t="shared" si="32"/>
        <v>8520931.1099999994</v>
      </c>
      <c r="DR58" s="14">
        <f t="shared" si="32"/>
        <v>7170931.1099999994</v>
      </c>
      <c r="DS58" s="14">
        <f t="shared" si="32"/>
        <v>5970931.1099999994</v>
      </c>
      <c r="DT58" s="14">
        <f t="shared" si="32"/>
        <v>3170931.1099999994</v>
      </c>
      <c r="DU58" s="14">
        <f t="shared" si="32"/>
        <v>370931.1099999994</v>
      </c>
      <c r="DV58" s="14">
        <f t="shared" si="32"/>
        <v>2820931.1099999994</v>
      </c>
      <c r="DW58" s="14">
        <f t="shared" si="32"/>
        <v>12570931.109999999</v>
      </c>
      <c r="DX58" s="14">
        <f t="shared" si="32"/>
        <v>10620931.109999999</v>
      </c>
      <c r="DY58" s="14">
        <f t="shared" si="32"/>
        <v>10620931.109999999</v>
      </c>
      <c r="DZ58" s="39">
        <f>DY58+DZ55+4765.54</f>
        <v>6525696.6499999994</v>
      </c>
      <c r="EA58" s="14">
        <f t="shared" si="32"/>
        <v>6375696.6499999994</v>
      </c>
      <c r="EB58" s="14">
        <f t="shared" si="32"/>
        <v>10975696.649999999</v>
      </c>
      <c r="EC58" s="14">
        <f t="shared" si="32"/>
        <v>9325696.6499999985</v>
      </c>
      <c r="ED58" s="14">
        <f t="shared" si="32"/>
        <v>16975696.649999999</v>
      </c>
      <c r="EE58" s="14">
        <f t="shared" si="32"/>
        <v>14625696.649999999</v>
      </c>
      <c r="EF58" s="14">
        <f t="shared" si="32"/>
        <v>64225696.649999999</v>
      </c>
      <c r="EG58" s="14">
        <f t="shared" si="32"/>
        <v>64125696.649999999</v>
      </c>
      <c r="EH58" s="14">
        <f t="shared" si="32"/>
        <v>62325696.649999999</v>
      </c>
      <c r="EI58" s="14">
        <f t="shared" si="32"/>
        <v>70975696.650000006</v>
      </c>
      <c r="EJ58" s="230">
        <f t="shared" si="32"/>
        <v>5625696.650000006</v>
      </c>
      <c r="EK58" s="14">
        <f t="shared" si="32"/>
        <v>13675696.650000006</v>
      </c>
      <c r="EL58" s="14">
        <f t="shared" si="32"/>
        <v>14925696.650000006</v>
      </c>
      <c r="EM58" s="14">
        <f t="shared" si="32"/>
        <v>13025696.650000006</v>
      </c>
      <c r="EN58" s="14">
        <f t="shared" si="32"/>
        <v>12575696.650000006</v>
      </c>
      <c r="EO58" s="14">
        <f t="shared" si="32"/>
        <v>10475696.650000006</v>
      </c>
      <c r="EP58" s="14">
        <f t="shared" si="32"/>
        <v>6375696.650000006</v>
      </c>
      <c r="EQ58" s="14">
        <f t="shared" si="32"/>
        <v>20075696.650000006</v>
      </c>
      <c r="ER58" s="14">
        <f t="shared" si="32"/>
        <v>17325696.650000006</v>
      </c>
      <c r="ES58" s="14">
        <f t="shared" si="32"/>
        <v>17075696.650000006</v>
      </c>
      <c r="ET58" s="14">
        <f t="shared" si="32"/>
        <v>16125696.650000006</v>
      </c>
      <c r="EU58" s="39">
        <f t="shared" si="32"/>
        <v>12575696.650000006</v>
      </c>
      <c r="EV58" s="14">
        <f t="shared" ref="EV58:HG58" si="33">EU58+EV55</f>
        <v>10175696.650000006</v>
      </c>
      <c r="EW58" s="14">
        <f t="shared" si="33"/>
        <v>11125696.650000006</v>
      </c>
      <c r="EX58" s="14">
        <f t="shared" si="33"/>
        <v>11025696.650000006</v>
      </c>
      <c r="EY58" s="14">
        <f t="shared" si="33"/>
        <v>11025696.650000006</v>
      </c>
      <c r="EZ58" s="14">
        <f t="shared" si="33"/>
        <v>9725696.650000006</v>
      </c>
      <c r="FA58" s="14">
        <f t="shared" si="33"/>
        <v>10225696.650000006</v>
      </c>
      <c r="FB58" s="14">
        <f t="shared" si="33"/>
        <v>8725696.650000006</v>
      </c>
      <c r="FC58" s="14">
        <f t="shared" si="33"/>
        <v>8425696.650000006</v>
      </c>
      <c r="FD58" s="14">
        <f t="shared" si="33"/>
        <v>6925696.650000006</v>
      </c>
      <c r="FE58" s="230">
        <f t="shared" si="33"/>
        <v>6925696.650000006</v>
      </c>
      <c r="FF58" s="14">
        <f t="shared" si="33"/>
        <v>5725696.650000006</v>
      </c>
      <c r="FG58" s="14">
        <f t="shared" si="33"/>
        <v>5125696.650000006</v>
      </c>
      <c r="FH58" s="14">
        <f t="shared" si="33"/>
        <v>13925696.650000006</v>
      </c>
      <c r="FI58" s="14">
        <f t="shared" si="33"/>
        <v>9425696.650000006</v>
      </c>
      <c r="FJ58" s="230">
        <f t="shared" si="33"/>
        <v>9075696.650000006</v>
      </c>
      <c r="FK58" s="14">
        <f t="shared" si="33"/>
        <v>7275696.650000006</v>
      </c>
      <c r="FL58" s="14">
        <f t="shared" si="33"/>
        <v>9825696.650000006</v>
      </c>
      <c r="FM58" s="14">
        <f t="shared" si="33"/>
        <v>68525696.650000006</v>
      </c>
      <c r="FN58" s="14">
        <f t="shared" si="33"/>
        <v>64225696.650000006</v>
      </c>
      <c r="FO58" s="14">
        <f t="shared" si="33"/>
        <v>30975696.650000006</v>
      </c>
      <c r="FP58" s="39">
        <f t="shared" si="33"/>
        <v>35125696.650000006</v>
      </c>
      <c r="FQ58" s="14">
        <f t="shared" si="33"/>
        <v>34775696.650000006</v>
      </c>
      <c r="FR58" s="14">
        <f t="shared" si="33"/>
        <v>30875696.650000006</v>
      </c>
      <c r="FS58" s="14">
        <f t="shared" si="33"/>
        <v>27475696.650000006</v>
      </c>
      <c r="FT58" s="14">
        <f t="shared" si="33"/>
        <v>11225696.650000006</v>
      </c>
      <c r="FU58" s="14">
        <f t="shared" si="33"/>
        <v>10875696.650000006</v>
      </c>
      <c r="FV58" s="14">
        <f t="shared" si="33"/>
        <v>10575696.650000006</v>
      </c>
      <c r="FW58" s="14">
        <f t="shared" si="33"/>
        <v>10475696.650000006</v>
      </c>
      <c r="FX58" s="14">
        <f t="shared" si="33"/>
        <v>7475696.650000006</v>
      </c>
      <c r="FY58" s="14">
        <f t="shared" si="33"/>
        <v>17375696.650000006</v>
      </c>
      <c r="FZ58" s="230">
        <f t="shared" si="33"/>
        <v>17375696.650000006</v>
      </c>
      <c r="GA58" s="14">
        <f t="shared" si="33"/>
        <v>10525696.650000006</v>
      </c>
      <c r="GB58" s="14">
        <f t="shared" si="33"/>
        <v>11625696.650000006</v>
      </c>
      <c r="GC58" s="14">
        <f t="shared" si="33"/>
        <v>13575696.650000006</v>
      </c>
      <c r="GD58" s="14">
        <f t="shared" si="33"/>
        <v>11675696.650000006</v>
      </c>
      <c r="GE58" s="14">
        <f t="shared" si="33"/>
        <v>12825696.650000006</v>
      </c>
      <c r="GF58" s="14">
        <f t="shared" si="33"/>
        <v>14875696.650000006</v>
      </c>
      <c r="GG58" s="14">
        <f t="shared" si="33"/>
        <v>34125696.650000006</v>
      </c>
      <c r="GH58" s="14">
        <f t="shared" si="33"/>
        <v>36025696.650000006</v>
      </c>
      <c r="GI58" s="14">
        <f t="shared" si="33"/>
        <v>39725696.650000006</v>
      </c>
      <c r="GJ58" s="14">
        <f t="shared" si="33"/>
        <v>59575696.650000006</v>
      </c>
      <c r="GK58" s="39">
        <f t="shared" si="33"/>
        <v>36875696.650000006</v>
      </c>
      <c r="GL58" s="14">
        <f t="shared" si="33"/>
        <v>35125696.650000006</v>
      </c>
      <c r="GM58" s="14">
        <f t="shared" si="33"/>
        <v>37875696.650000006</v>
      </c>
      <c r="GN58" s="14">
        <f t="shared" si="33"/>
        <v>37475696.650000006</v>
      </c>
      <c r="GO58" s="14">
        <f t="shared" si="33"/>
        <v>41075696.650000006</v>
      </c>
      <c r="GP58" s="14">
        <f t="shared" si="33"/>
        <v>26575696.650000006</v>
      </c>
      <c r="GQ58" s="14">
        <f t="shared" si="33"/>
        <v>25975696.650000006</v>
      </c>
      <c r="GR58" s="14">
        <f t="shared" si="33"/>
        <v>26775696.650000006</v>
      </c>
      <c r="GS58" s="14">
        <f t="shared" si="33"/>
        <v>25875696.650000006</v>
      </c>
      <c r="GT58" s="230">
        <f t="shared" si="33"/>
        <v>12475696.650000006</v>
      </c>
      <c r="GU58" s="14">
        <f t="shared" si="33"/>
        <v>10525696.650000006</v>
      </c>
      <c r="GV58" s="14">
        <f t="shared" si="33"/>
        <v>16875696.650000006</v>
      </c>
      <c r="GW58" s="14">
        <f t="shared" si="33"/>
        <v>14175696.650000006</v>
      </c>
      <c r="GX58" s="14">
        <f t="shared" si="33"/>
        <v>15675696.650000006</v>
      </c>
      <c r="GY58" s="14">
        <f t="shared" si="33"/>
        <v>16275696.650000006</v>
      </c>
      <c r="GZ58" s="14">
        <f t="shared" si="33"/>
        <v>8525696.650000006</v>
      </c>
      <c r="HA58" s="14">
        <f t="shared" si="33"/>
        <v>9025696.650000006</v>
      </c>
      <c r="HB58" s="14">
        <f t="shared" si="33"/>
        <v>8775696.650000006</v>
      </c>
      <c r="HC58" s="14">
        <f t="shared" si="33"/>
        <v>14625696.650000006</v>
      </c>
      <c r="HD58" s="39">
        <f t="shared" si="33"/>
        <v>19275696.650000006</v>
      </c>
      <c r="HE58" s="14">
        <f t="shared" si="33"/>
        <v>19425696.650000006</v>
      </c>
      <c r="HF58" s="14">
        <f t="shared" si="33"/>
        <v>22125696.650000006</v>
      </c>
      <c r="HG58" s="14">
        <f t="shared" si="33"/>
        <v>22125696.650000006</v>
      </c>
      <c r="HH58" s="14">
        <f t="shared" ref="HH58:IT58" si="34">HG58+HH55</f>
        <v>10975696.650000006</v>
      </c>
      <c r="HI58" s="14">
        <f t="shared" si="34"/>
        <v>8275696.650000006</v>
      </c>
      <c r="HJ58" s="14">
        <v>9035381.5800000001</v>
      </c>
      <c r="HK58" s="14">
        <f t="shared" si="34"/>
        <v>17935381.579999998</v>
      </c>
      <c r="HL58" s="14">
        <f t="shared" si="34"/>
        <v>20035381.579999998</v>
      </c>
      <c r="HM58" s="14">
        <f t="shared" si="34"/>
        <v>19435381.579999998</v>
      </c>
      <c r="HN58" s="14">
        <f t="shared" si="34"/>
        <v>19435381.579999998</v>
      </c>
      <c r="HO58" s="230">
        <f t="shared" si="34"/>
        <v>2385381.5799999982</v>
      </c>
      <c r="HP58" s="14">
        <f t="shared" si="34"/>
        <v>7935381.5799999982</v>
      </c>
      <c r="HQ58" s="14">
        <f t="shared" si="34"/>
        <v>7935381.5799999982</v>
      </c>
      <c r="HR58" s="14">
        <f t="shared" si="34"/>
        <v>7935381.5799999982</v>
      </c>
      <c r="HS58" s="14">
        <f t="shared" si="34"/>
        <v>7935381.5799999982</v>
      </c>
      <c r="HT58" s="14">
        <f t="shared" si="34"/>
        <v>7935381.5799999982</v>
      </c>
      <c r="HU58" s="14">
        <f t="shared" si="34"/>
        <v>8835381.5799999982</v>
      </c>
      <c r="HV58" s="14">
        <f t="shared" si="34"/>
        <v>8835381.5799999982</v>
      </c>
      <c r="HW58" s="14">
        <f t="shared" si="34"/>
        <v>7835381.5799999982</v>
      </c>
      <c r="HX58" s="14">
        <f t="shared" si="34"/>
        <v>7835381.5799999982</v>
      </c>
      <c r="HY58" s="14">
        <f t="shared" si="34"/>
        <v>7835381.5799999982</v>
      </c>
      <c r="HZ58" s="39">
        <f t="shared" si="34"/>
        <v>7835381.5799999982</v>
      </c>
      <c r="IA58" s="14">
        <f t="shared" si="34"/>
        <v>10785381.579999998</v>
      </c>
      <c r="IB58" s="14">
        <f t="shared" si="34"/>
        <v>15385381.579999998</v>
      </c>
      <c r="IC58" s="14">
        <f t="shared" si="34"/>
        <v>15385381.579999998</v>
      </c>
      <c r="ID58" s="14">
        <f t="shared" si="34"/>
        <v>15385381.579999998</v>
      </c>
      <c r="IE58" s="14">
        <f t="shared" si="34"/>
        <v>15385381.579999998</v>
      </c>
      <c r="IF58" s="14">
        <f t="shared" si="34"/>
        <v>21785381.579999998</v>
      </c>
      <c r="IG58" s="14">
        <f t="shared" si="34"/>
        <v>21785381.579999998</v>
      </c>
      <c r="IH58" s="14">
        <f t="shared" si="34"/>
        <v>33735381.579999998</v>
      </c>
      <c r="II58" s="14">
        <f t="shared" si="34"/>
        <v>45035381.579999998</v>
      </c>
      <c r="IJ58" s="230">
        <f t="shared" si="34"/>
        <v>19335381.579999998</v>
      </c>
      <c r="IK58" s="14">
        <f t="shared" si="34"/>
        <v>21485381.579999998</v>
      </c>
      <c r="IL58" s="14">
        <f t="shared" si="34"/>
        <v>21485381.579999998</v>
      </c>
      <c r="IM58" s="14">
        <f t="shared" si="34"/>
        <v>20585381.579999998</v>
      </c>
      <c r="IN58" s="14">
        <f t="shared" si="34"/>
        <v>20585381.579999998</v>
      </c>
      <c r="IO58" s="14">
        <f t="shared" si="34"/>
        <v>20585381.579999998</v>
      </c>
      <c r="IP58" s="14">
        <f t="shared" si="34"/>
        <v>20585381.579999998</v>
      </c>
      <c r="IQ58" s="14">
        <f t="shared" si="34"/>
        <v>20585381.579999998</v>
      </c>
      <c r="IR58" s="14">
        <f>IQ58+IR55</f>
        <v>20585381.579999998</v>
      </c>
      <c r="IS58" s="14">
        <f>IR58+IS55</f>
        <v>20585381.579999998</v>
      </c>
      <c r="IT58" s="39">
        <f t="shared" si="34"/>
        <v>20585381.579999998</v>
      </c>
      <c r="IU58" s="14"/>
    </row>
    <row r="59" spans="1:255" ht="14.1" customHeight="1">
      <c r="A59" s="14" t="s">
        <v>140</v>
      </c>
      <c r="B59" s="14"/>
      <c r="C59" s="39"/>
      <c r="D59" s="14"/>
      <c r="E59" s="14"/>
      <c r="F59" s="14"/>
      <c r="G59" s="14"/>
      <c r="H59" s="14"/>
      <c r="I59" s="14"/>
      <c r="J59" s="14"/>
      <c r="K59" s="14"/>
      <c r="L59" s="14"/>
      <c r="M59" s="230"/>
      <c r="N59" s="14"/>
      <c r="O59" s="14"/>
      <c r="P59" s="14"/>
      <c r="Q59" s="14"/>
      <c r="R59" s="14"/>
      <c r="S59" s="14"/>
      <c r="T59" s="14"/>
      <c r="U59" s="14"/>
      <c r="V59" s="39"/>
      <c r="W59" s="14"/>
      <c r="X59" s="14"/>
      <c r="Y59" s="14"/>
      <c r="Z59" s="14"/>
      <c r="AA59" s="14"/>
      <c r="AB59" s="14"/>
      <c r="AC59" s="14"/>
      <c r="AD59" s="14"/>
      <c r="AE59" s="14"/>
      <c r="AF59" s="230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39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230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39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230"/>
      <c r="BZ59" s="14"/>
      <c r="CA59" s="14"/>
      <c r="CB59" s="14"/>
      <c r="CC59" s="14"/>
      <c r="CD59" s="14"/>
      <c r="CE59" s="14"/>
      <c r="CF59" s="14"/>
      <c r="CG59" s="14"/>
      <c r="CH59" s="39"/>
      <c r="CI59" s="14"/>
      <c r="CJ59" s="14"/>
      <c r="CK59" s="14"/>
      <c r="CL59" s="14"/>
      <c r="CM59" s="14"/>
      <c r="CN59" s="14"/>
      <c r="CO59" s="14">
        <v>0</v>
      </c>
      <c r="CP59" s="14">
        <f t="shared" ref="CP59:FA59" si="35">+CO59-CP21+CP52</f>
        <v>0</v>
      </c>
      <c r="CQ59" s="14">
        <f t="shared" si="35"/>
        <v>50000000</v>
      </c>
      <c r="CR59" s="14">
        <f t="shared" si="35"/>
        <v>50000000</v>
      </c>
      <c r="CS59" s="230">
        <f t="shared" si="35"/>
        <v>50000000</v>
      </c>
      <c r="CT59" s="14">
        <f t="shared" si="35"/>
        <v>50000000</v>
      </c>
      <c r="CU59" s="14">
        <f t="shared" si="35"/>
        <v>50000000</v>
      </c>
      <c r="CV59" s="14">
        <f t="shared" si="35"/>
        <v>50000000</v>
      </c>
      <c r="CW59" s="14">
        <f t="shared" si="35"/>
        <v>50000000</v>
      </c>
      <c r="CX59" s="14">
        <f t="shared" si="35"/>
        <v>50000000</v>
      </c>
      <c r="CY59" s="14">
        <f t="shared" si="35"/>
        <v>50000000</v>
      </c>
      <c r="CZ59" s="14">
        <f t="shared" si="35"/>
        <v>50000000</v>
      </c>
      <c r="DA59" s="14">
        <f t="shared" si="35"/>
        <v>50000000</v>
      </c>
      <c r="DB59" s="14">
        <f t="shared" si="35"/>
        <v>50000000</v>
      </c>
      <c r="DC59" s="14">
        <f t="shared" si="35"/>
        <v>50000000</v>
      </c>
      <c r="DD59" s="14">
        <f t="shared" si="35"/>
        <v>50000000</v>
      </c>
      <c r="DE59" s="14">
        <f>+DD59-DE21+DE52+8219.1</f>
        <v>50008219.100000001</v>
      </c>
      <c r="DF59" s="14">
        <f t="shared" si="35"/>
        <v>50008219.100000001</v>
      </c>
      <c r="DG59" s="14">
        <f t="shared" si="35"/>
        <v>50008219.100000001</v>
      </c>
      <c r="DH59" s="14">
        <f t="shared" si="35"/>
        <v>50008219.100000001</v>
      </c>
      <c r="DI59" s="14">
        <f t="shared" si="35"/>
        <v>50008219.100000001</v>
      </c>
      <c r="DJ59" s="14">
        <f t="shared" si="35"/>
        <v>50008219.100000001</v>
      </c>
      <c r="DK59" s="14">
        <f t="shared" si="35"/>
        <v>50008219.100000001</v>
      </c>
      <c r="DL59" s="14">
        <f t="shared" si="35"/>
        <v>50008219.100000001</v>
      </c>
      <c r="DM59" s="14">
        <f t="shared" si="35"/>
        <v>25008219.100000001</v>
      </c>
      <c r="DN59" s="230">
        <f t="shared" si="35"/>
        <v>25008219.100000001</v>
      </c>
      <c r="DO59" s="14">
        <f t="shared" si="35"/>
        <v>25008219.100000001</v>
      </c>
      <c r="DP59" s="14">
        <f t="shared" si="35"/>
        <v>25008219.100000001</v>
      </c>
      <c r="DQ59" s="14">
        <f t="shared" si="35"/>
        <v>25008219.100000001</v>
      </c>
      <c r="DR59" s="14">
        <f t="shared" si="35"/>
        <v>25008219.100000001</v>
      </c>
      <c r="DS59" s="14">
        <f t="shared" si="35"/>
        <v>25008219.100000001</v>
      </c>
      <c r="DT59" s="14">
        <f t="shared" si="35"/>
        <v>25008219.100000001</v>
      </c>
      <c r="DU59" s="14">
        <f t="shared" si="35"/>
        <v>25008219.100000001</v>
      </c>
      <c r="DV59" s="14">
        <f t="shared" si="35"/>
        <v>25008219.100000001</v>
      </c>
      <c r="DW59" s="14">
        <f t="shared" si="35"/>
        <v>25008219.100000001</v>
      </c>
      <c r="DX59" s="14">
        <f t="shared" si="35"/>
        <v>25008219.100000001</v>
      </c>
      <c r="DY59" s="14">
        <f t="shared" si="35"/>
        <v>25008219.100000001</v>
      </c>
      <c r="DZ59" s="14">
        <v>25032059.870000001</v>
      </c>
      <c r="EA59" s="14">
        <f t="shared" si="35"/>
        <v>25032059.870000001</v>
      </c>
      <c r="EB59" s="14">
        <f t="shared" si="35"/>
        <v>25032059.870000001</v>
      </c>
      <c r="EC59" s="14">
        <f t="shared" si="35"/>
        <v>25032059.870000001</v>
      </c>
      <c r="ED59" s="14">
        <f t="shared" si="35"/>
        <v>5032059.870000001</v>
      </c>
      <c r="EE59" s="14">
        <f t="shared" si="35"/>
        <v>5032059.870000001</v>
      </c>
      <c r="EF59" s="14">
        <f t="shared" si="35"/>
        <v>5032059.870000001</v>
      </c>
      <c r="EG59" s="14">
        <f t="shared" si="35"/>
        <v>5032059.870000001</v>
      </c>
      <c r="EH59" s="14">
        <f t="shared" si="35"/>
        <v>5032059.870000001</v>
      </c>
      <c r="EI59" s="14">
        <f t="shared" si="35"/>
        <v>5032059.870000001</v>
      </c>
      <c r="EJ59" s="230">
        <f t="shared" si="35"/>
        <v>5032059.870000001</v>
      </c>
      <c r="EK59" s="14">
        <f t="shared" si="35"/>
        <v>5032059.870000001</v>
      </c>
      <c r="EL59" s="14">
        <f t="shared" si="35"/>
        <v>15032059.870000001</v>
      </c>
      <c r="EM59" s="14">
        <f t="shared" si="35"/>
        <v>15032059.870000001</v>
      </c>
      <c r="EN59" s="14">
        <f t="shared" si="35"/>
        <v>15032059.870000001</v>
      </c>
      <c r="EO59" s="14">
        <f t="shared" si="35"/>
        <v>15032059.870000001</v>
      </c>
      <c r="EP59" s="14">
        <f t="shared" si="35"/>
        <v>15032059.870000001</v>
      </c>
      <c r="EQ59" s="14">
        <f t="shared" si="35"/>
        <v>75032059.870000005</v>
      </c>
      <c r="ER59" s="14">
        <f t="shared" si="35"/>
        <v>75032059.870000005</v>
      </c>
      <c r="ES59" s="14">
        <f t="shared" si="35"/>
        <v>75032059.870000005</v>
      </c>
      <c r="ET59" s="14">
        <f t="shared" si="35"/>
        <v>75032059.870000005</v>
      </c>
      <c r="EU59" s="14">
        <f t="shared" si="35"/>
        <v>75032059.870000005</v>
      </c>
      <c r="EV59" s="14">
        <f t="shared" si="35"/>
        <v>75032059.870000005</v>
      </c>
      <c r="EW59" s="14">
        <f t="shared" si="35"/>
        <v>75032059.870000005</v>
      </c>
      <c r="EX59" s="14">
        <f t="shared" si="35"/>
        <v>75032059.870000005</v>
      </c>
      <c r="EY59" s="14">
        <f t="shared" si="35"/>
        <v>59532059.870000005</v>
      </c>
      <c r="EZ59" s="14">
        <f t="shared" si="35"/>
        <v>59532059.870000005</v>
      </c>
      <c r="FA59" s="14">
        <f t="shared" si="35"/>
        <v>59532059.870000005</v>
      </c>
      <c r="FB59" s="14">
        <f t="shared" ref="FB59:HM59" si="36">+FA59-FB21+FB52</f>
        <v>74532059.870000005</v>
      </c>
      <c r="FC59" s="14">
        <f t="shared" si="36"/>
        <v>74532059.870000005</v>
      </c>
      <c r="FD59" s="14">
        <f t="shared" si="36"/>
        <v>74532059.870000005</v>
      </c>
      <c r="FE59" s="230">
        <f t="shared" si="36"/>
        <v>7832059.8700000048</v>
      </c>
      <c r="FF59" s="14">
        <f t="shared" si="36"/>
        <v>7832059.8700000048</v>
      </c>
      <c r="FG59" s="14">
        <f t="shared" si="36"/>
        <v>7832059.8700000048</v>
      </c>
      <c r="FH59" s="14">
        <f t="shared" si="36"/>
        <v>7832059.8700000048</v>
      </c>
      <c r="FI59" s="14">
        <f t="shared" si="36"/>
        <v>7832059.8700000048</v>
      </c>
      <c r="FJ59" s="230">
        <f t="shared" si="36"/>
        <v>7832059.8700000048</v>
      </c>
      <c r="FK59" s="14">
        <f t="shared" si="36"/>
        <v>7832059.8700000048</v>
      </c>
      <c r="FL59" s="14">
        <f t="shared" si="36"/>
        <v>7832059.8700000048</v>
      </c>
      <c r="FM59" s="14">
        <f t="shared" si="36"/>
        <v>67832059.870000005</v>
      </c>
      <c r="FN59" s="14">
        <f t="shared" si="36"/>
        <v>67832059.870000005</v>
      </c>
      <c r="FO59" s="14">
        <f t="shared" si="36"/>
        <v>67832059.870000005</v>
      </c>
      <c r="FP59" s="14">
        <f t="shared" si="36"/>
        <v>67832059.870000005</v>
      </c>
      <c r="FQ59" s="14">
        <f t="shared" si="36"/>
        <v>67832059.870000005</v>
      </c>
      <c r="FR59" s="14">
        <f t="shared" si="36"/>
        <v>67832059.870000005</v>
      </c>
      <c r="FS59" s="14">
        <f t="shared" si="36"/>
        <v>67832059.870000005</v>
      </c>
      <c r="FT59" s="14">
        <f t="shared" si="36"/>
        <v>67832059.870000005</v>
      </c>
      <c r="FU59" s="14">
        <f t="shared" si="36"/>
        <v>67832059.870000005</v>
      </c>
      <c r="FV59" s="14">
        <f t="shared" si="36"/>
        <v>67832059.870000005</v>
      </c>
      <c r="FW59" s="14">
        <f t="shared" si="36"/>
        <v>67832059.870000005</v>
      </c>
      <c r="FX59" s="14">
        <f t="shared" si="36"/>
        <v>67832059.870000005</v>
      </c>
      <c r="FY59" s="14">
        <f t="shared" si="36"/>
        <v>67832059.870000005</v>
      </c>
      <c r="FZ59" s="230">
        <f t="shared" si="36"/>
        <v>8132059.8700000048</v>
      </c>
      <c r="GA59" s="14">
        <f t="shared" si="36"/>
        <v>8132059.8700000048</v>
      </c>
      <c r="GB59" s="14">
        <f t="shared" si="36"/>
        <v>8132059.8700000048</v>
      </c>
      <c r="GC59" s="14">
        <f t="shared" si="36"/>
        <v>8132059.8700000048</v>
      </c>
      <c r="GD59" s="14">
        <f t="shared" si="36"/>
        <v>8132059.8700000048</v>
      </c>
      <c r="GE59" s="14">
        <f t="shared" si="36"/>
        <v>8132059.8700000048</v>
      </c>
      <c r="GF59" s="14">
        <f t="shared" si="36"/>
        <v>8132059.8700000048</v>
      </c>
      <c r="GG59" s="14">
        <f t="shared" si="36"/>
        <v>73132059.870000005</v>
      </c>
      <c r="GH59" s="14">
        <f t="shared" si="36"/>
        <v>73132059.870000005</v>
      </c>
      <c r="GI59" s="14">
        <f t="shared" si="36"/>
        <v>73132059.870000005</v>
      </c>
      <c r="GJ59" s="14">
        <f t="shared" si="36"/>
        <v>73132059.870000005</v>
      </c>
      <c r="GK59" s="14">
        <f t="shared" si="36"/>
        <v>93132059.870000005</v>
      </c>
      <c r="GL59" s="14">
        <f t="shared" si="36"/>
        <v>93132059.870000005</v>
      </c>
      <c r="GM59" s="14">
        <f t="shared" si="36"/>
        <v>93132059.870000005</v>
      </c>
      <c r="GN59" s="14">
        <f t="shared" si="36"/>
        <v>93132059.870000005</v>
      </c>
      <c r="GO59" s="14">
        <f t="shared" si="36"/>
        <v>93132059.870000005</v>
      </c>
      <c r="GP59" s="14">
        <f t="shared" si="36"/>
        <v>93132059.870000005</v>
      </c>
      <c r="GQ59" s="14">
        <f t="shared" si="36"/>
        <v>93132059.870000005</v>
      </c>
      <c r="GR59" s="14">
        <f t="shared" si="36"/>
        <v>93132059.870000005</v>
      </c>
      <c r="GS59" s="14">
        <f t="shared" si="36"/>
        <v>93132059.870000005</v>
      </c>
      <c r="GT59" s="230">
        <f t="shared" si="36"/>
        <v>38132059.870000005</v>
      </c>
      <c r="GU59" s="14">
        <f t="shared" si="36"/>
        <v>38132059.870000005</v>
      </c>
      <c r="GV59" s="14">
        <f t="shared" si="36"/>
        <v>38132059.870000005</v>
      </c>
      <c r="GW59" s="14">
        <f t="shared" si="36"/>
        <v>38132059.870000005</v>
      </c>
      <c r="GX59" s="14">
        <f t="shared" si="36"/>
        <v>38132059.870000005</v>
      </c>
      <c r="GY59" s="14">
        <f t="shared" si="36"/>
        <v>38132059.870000005</v>
      </c>
      <c r="GZ59" s="14">
        <f t="shared" si="36"/>
        <v>38132059.870000005</v>
      </c>
      <c r="HA59" s="14">
        <f t="shared" si="36"/>
        <v>38132059.870000005</v>
      </c>
      <c r="HB59" s="14">
        <f t="shared" si="36"/>
        <v>38132059.870000005</v>
      </c>
      <c r="HC59" s="14">
        <f t="shared" si="36"/>
        <v>38132059.870000005</v>
      </c>
      <c r="HD59" s="14">
        <f t="shared" si="36"/>
        <v>38132059.870000005</v>
      </c>
      <c r="HE59" s="14">
        <f t="shared" si="36"/>
        <v>38132059.870000005</v>
      </c>
      <c r="HF59" s="14">
        <f t="shared" si="36"/>
        <v>38132059.870000005</v>
      </c>
      <c r="HG59" s="14">
        <v>40436235.420000002</v>
      </c>
      <c r="HH59" s="14">
        <f t="shared" si="36"/>
        <v>40436235.420000002</v>
      </c>
      <c r="HI59" s="14">
        <f t="shared" si="36"/>
        <v>40436235.420000002</v>
      </c>
      <c r="HJ59" s="14">
        <f t="shared" si="36"/>
        <v>40436235.420000002</v>
      </c>
      <c r="HK59" s="14">
        <f t="shared" si="36"/>
        <v>40436235.420000002</v>
      </c>
      <c r="HL59" s="14">
        <f t="shared" si="36"/>
        <v>40436235.420000002</v>
      </c>
      <c r="HM59" s="14">
        <f t="shared" si="36"/>
        <v>40436235.420000002</v>
      </c>
      <c r="HN59" s="14">
        <f t="shared" ref="HN59:IU59" si="37">+HM59-HN21+HN52</f>
        <v>45936235.420000002</v>
      </c>
      <c r="HO59" s="230">
        <f t="shared" si="37"/>
        <v>5036235.4200000018</v>
      </c>
      <c r="HP59" s="14">
        <f t="shared" si="37"/>
        <v>5036235.4200000018</v>
      </c>
      <c r="HQ59" s="14">
        <f t="shared" si="37"/>
        <v>9336235.4200000018</v>
      </c>
      <c r="HR59" s="14">
        <f t="shared" si="37"/>
        <v>5736235.4200000018</v>
      </c>
      <c r="HS59" s="14">
        <f t="shared" si="37"/>
        <v>14736235.420000002</v>
      </c>
      <c r="HT59" s="14">
        <f t="shared" si="37"/>
        <v>31586235.420000002</v>
      </c>
      <c r="HU59" s="14">
        <f t="shared" si="37"/>
        <v>31586235.420000002</v>
      </c>
      <c r="HV59" s="14">
        <f t="shared" si="37"/>
        <v>59336235.420000002</v>
      </c>
      <c r="HW59" s="14">
        <f t="shared" si="37"/>
        <v>59336235.420000002</v>
      </c>
      <c r="HX59" s="14">
        <f t="shared" si="37"/>
        <v>65036235.420000002</v>
      </c>
      <c r="HY59" s="14">
        <f t="shared" si="37"/>
        <v>55686235.420000002</v>
      </c>
      <c r="HZ59" s="14">
        <f t="shared" si="37"/>
        <v>70786235.420000002</v>
      </c>
      <c r="IA59" s="14">
        <f t="shared" si="37"/>
        <v>70786235.420000002</v>
      </c>
      <c r="IB59" s="14">
        <f t="shared" si="37"/>
        <v>105786235.42</v>
      </c>
      <c r="IC59" s="14">
        <f t="shared" si="37"/>
        <v>105786235.42</v>
      </c>
      <c r="ID59" s="14">
        <f t="shared" si="37"/>
        <v>115336235.42</v>
      </c>
      <c r="IE59" s="14">
        <f t="shared" si="37"/>
        <v>122286235.42</v>
      </c>
      <c r="IF59" s="14">
        <f t="shared" si="37"/>
        <v>122286235.42</v>
      </c>
      <c r="IG59" s="14">
        <f t="shared" si="37"/>
        <v>122436235.42</v>
      </c>
      <c r="IH59" s="14">
        <f t="shared" si="37"/>
        <v>172436235.42000002</v>
      </c>
      <c r="II59" s="14">
        <f t="shared" si="37"/>
        <v>172436235.42000002</v>
      </c>
      <c r="IJ59" s="230">
        <f t="shared" si="37"/>
        <v>147436235.42000002</v>
      </c>
      <c r="IK59" s="14">
        <f t="shared" si="37"/>
        <v>147436235.42000002</v>
      </c>
      <c r="IL59" s="14">
        <f t="shared" si="37"/>
        <v>162186235.42000002</v>
      </c>
      <c r="IM59" s="14">
        <f t="shared" si="37"/>
        <v>82986235.420000017</v>
      </c>
      <c r="IN59" s="14">
        <f t="shared" si="37"/>
        <v>98536235.420000017</v>
      </c>
      <c r="IO59" s="14">
        <f t="shared" si="37"/>
        <v>105536235.42000002</v>
      </c>
      <c r="IP59" s="14">
        <f t="shared" si="37"/>
        <v>124936235.42000002</v>
      </c>
      <c r="IQ59" s="14">
        <f t="shared" si="37"/>
        <v>140486235.42000002</v>
      </c>
      <c r="IR59" s="14">
        <f>+IQ59-IR21+IR52</f>
        <v>140486235.42000002</v>
      </c>
      <c r="IS59" s="14">
        <f>+IR59-IS21+IS52</f>
        <v>167236235.42000002</v>
      </c>
      <c r="IT59" s="14">
        <f t="shared" si="37"/>
        <v>167236235.42000002</v>
      </c>
      <c r="IU59" s="14">
        <f t="shared" si="37"/>
        <v>167236235.42000002</v>
      </c>
    </row>
    <row r="60" spans="1:255" ht="14.1" customHeight="1">
      <c r="A60" s="14" t="s">
        <v>69</v>
      </c>
      <c r="B60" s="14"/>
      <c r="C60" s="39">
        <v>0</v>
      </c>
      <c r="D60" s="14">
        <f t="shared" ref="D60:U60" si="38">+C60</f>
        <v>0</v>
      </c>
      <c r="E60" s="14">
        <f t="shared" si="38"/>
        <v>0</v>
      </c>
      <c r="F60" s="14">
        <f t="shared" si="38"/>
        <v>0</v>
      </c>
      <c r="G60" s="14">
        <f t="shared" si="38"/>
        <v>0</v>
      </c>
      <c r="H60" s="14">
        <f t="shared" si="38"/>
        <v>0</v>
      </c>
      <c r="I60" s="14">
        <f t="shared" si="38"/>
        <v>0</v>
      </c>
      <c r="J60" s="14">
        <f t="shared" si="38"/>
        <v>0</v>
      </c>
      <c r="K60" s="14">
        <f t="shared" si="38"/>
        <v>0</v>
      </c>
      <c r="L60" s="14">
        <f t="shared" si="38"/>
        <v>0</v>
      </c>
      <c r="M60" s="230">
        <f t="shared" si="38"/>
        <v>0</v>
      </c>
      <c r="N60" s="14">
        <f t="shared" si="38"/>
        <v>0</v>
      </c>
      <c r="O60" s="14">
        <f t="shared" si="38"/>
        <v>0</v>
      </c>
      <c r="P60" s="14">
        <f t="shared" si="38"/>
        <v>0</v>
      </c>
      <c r="Q60" s="14">
        <f t="shared" si="38"/>
        <v>0</v>
      </c>
      <c r="R60" s="14">
        <f t="shared" si="38"/>
        <v>0</v>
      </c>
      <c r="S60" s="14">
        <f t="shared" si="38"/>
        <v>0</v>
      </c>
      <c r="T60" s="14">
        <f t="shared" si="38"/>
        <v>0</v>
      </c>
      <c r="U60" s="14">
        <f t="shared" si="38"/>
        <v>0</v>
      </c>
      <c r="V60" s="14">
        <v>0</v>
      </c>
      <c r="W60" s="14">
        <f t="shared" ref="W60:CH60" si="39">+V60</f>
        <v>0</v>
      </c>
      <c r="X60" s="14">
        <f t="shared" si="39"/>
        <v>0</v>
      </c>
      <c r="Y60" s="14">
        <f t="shared" si="39"/>
        <v>0</v>
      </c>
      <c r="Z60" s="14">
        <f t="shared" si="39"/>
        <v>0</v>
      </c>
      <c r="AA60" s="14">
        <f t="shared" si="39"/>
        <v>0</v>
      </c>
      <c r="AB60" s="14">
        <f t="shared" si="39"/>
        <v>0</v>
      </c>
      <c r="AC60" s="14">
        <f t="shared" si="39"/>
        <v>0</v>
      </c>
      <c r="AD60" s="14">
        <f t="shared" si="39"/>
        <v>0</v>
      </c>
      <c r="AE60" s="14">
        <f t="shared" si="39"/>
        <v>0</v>
      </c>
      <c r="AF60" s="230">
        <f t="shared" si="39"/>
        <v>0</v>
      </c>
      <c r="AG60" s="14">
        <f t="shared" si="39"/>
        <v>0</v>
      </c>
      <c r="AH60" s="14">
        <f t="shared" si="39"/>
        <v>0</v>
      </c>
      <c r="AI60" s="14">
        <f t="shared" si="39"/>
        <v>0</v>
      </c>
      <c r="AJ60" s="14">
        <f t="shared" si="39"/>
        <v>0</v>
      </c>
      <c r="AK60" s="14">
        <f t="shared" si="39"/>
        <v>0</v>
      </c>
      <c r="AL60" s="14">
        <f t="shared" si="39"/>
        <v>0</v>
      </c>
      <c r="AM60" s="14">
        <f t="shared" si="39"/>
        <v>0</v>
      </c>
      <c r="AN60" s="14">
        <f t="shared" si="39"/>
        <v>0</v>
      </c>
      <c r="AO60" s="14">
        <f t="shared" si="39"/>
        <v>0</v>
      </c>
      <c r="AP60" s="14">
        <f t="shared" si="39"/>
        <v>0</v>
      </c>
      <c r="AQ60" s="14">
        <f t="shared" si="39"/>
        <v>0</v>
      </c>
      <c r="AR60" s="14">
        <f t="shared" si="39"/>
        <v>0</v>
      </c>
      <c r="AS60" s="14">
        <f t="shared" si="39"/>
        <v>0</v>
      </c>
      <c r="AT60" s="14">
        <f t="shared" si="39"/>
        <v>0</v>
      </c>
      <c r="AU60" s="14">
        <f t="shared" si="39"/>
        <v>0</v>
      </c>
      <c r="AV60" s="14">
        <f t="shared" si="39"/>
        <v>0</v>
      </c>
      <c r="AW60" s="14">
        <f t="shared" si="39"/>
        <v>0</v>
      </c>
      <c r="AX60" s="14">
        <f t="shared" si="39"/>
        <v>0</v>
      </c>
      <c r="AY60" s="14">
        <f t="shared" si="39"/>
        <v>0</v>
      </c>
      <c r="AZ60" s="14">
        <f t="shared" si="39"/>
        <v>0</v>
      </c>
      <c r="BA60" s="14">
        <f t="shared" si="39"/>
        <v>0</v>
      </c>
      <c r="BB60" s="14">
        <f t="shared" si="39"/>
        <v>0</v>
      </c>
      <c r="BC60" s="230">
        <f t="shared" si="39"/>
        <v>0</v>
      </c>
      <c r="BD60" s="14">
        <f t="shared" si="39"/>
        <v>0</v>
      </c>
      <c r="BE60" s="14">
        <f t="shared" si="39"/>
        <v>0</v>
      </c>
      <c r="BF60" s="14">
        <f t="shared" si="39"/>
        <v>0</v>
      </c>
      <c r="BG60" s="14">
        <f t="shared" si="39"/>
        <v>0</v>
      </c>
      <c r="BH60" s="14">
        <f t="shared" si="39"/>
        <v>0</v>
      </c>
      <c r="BI60" s="14">
        <f t="shared" si="39"/>
        <v>0</v>
      </c>
      <c r="BJ60" s="14">
        <f t="shared" si="39"/>
        <v>0</v>
      </c>
      <c r="BK60" s="14">
        <f t="shared" si="39"/>
        <v>0</v>
      </c>
      <c r="BL60" s="14">
        <f t="shared" si="39"/>
        <v>0</v>
      </c>
      <c r="BM60" s="14">
        <f t="shared" si="39"/>
        <v>0</v>
      </c>
      <c r="BN60" s="14">
        <f t="shared" si="39"/>
        <v>0</v>
      </c>
      <c r="BO60" s="14">
        <f t="shared" si="39"/>
        <v>0</v>
      </c>
      <c r="BP60" s="14">
        <f t="shared" si="39"/>
        <v>0</v>
      </c>
      <c r="BQ60" s="14">
        <f t="shared" si="39"/>
        <v>0</v>
      </c>
      <c r="BR60" s="14">
        <f t="shared" si="39"/>
        <v>0</v>
      </c>
      <c r="BS60" s="14">
        <f t="shared" si="39"/>
        <v>0</v>
      </c>
      <c r="BT60" s="14">
        <f t="shared" si="39"/>
        <v>0</v>
      </c>
      <c r="BU60" s="14">
        <f t="shared" si="39"/>
        <v>0</v>
      </c>
      <c r="BV60" s="14">
        <f t="shared" si="39"/>
        <v>0</v>
      </c>
      <c r="BW60" s="14">
        <f t="shared" si="39"/>
        <v>0</v>
      </c>
      <c r="BX60" s="14">
        <f t="shared" si="39"/>
        <v>0</v>
      </c>
      <c r="BY60" s="230">
        <f t="shared" si="39"/>
        <v>0</v>
      </c>
      <c r="BZ60" s="14">
        <f t="shared" si="39"/>
        <v>0</v>
      </c>
      <c r="CA60" s="14">
        <f t="shared" si="39"/>
        <v>0</v>
      </c>
      <c r="CB60" s="14">
        <f t="shared" si="39"/>
        <v>0</v>
      </c>
      <c r="CC60" s="14">
        <f t="shared" si="39"/>
        <v>0</v>
      </c>
      <c r="CD60" s="14">
        <f t="shared" si="39"/>
        <v>0</v>
      </c>
      <c r="CE60" s="14">
        <f t="shared" si="39"/>
        <v>0</v>
      </c>
      <c r="CF60" s="14">
        <f t="shared" si="39"/>
        <v>0</v>
      </c>
      <c r="CG60" s="14">
        <f t="shared" si="39"/>
        <v>0</v>
      </c>
      <c r="CH60" s="14">
        <f t="shared" si="39"/>
        <v>0</v>
      </c>
      <c r="CI60" s="14">
        <f t="shared" ref="CI60:DM60" si="40">+CH60</f>
        <v>0</v>
      </c>
      <c r="CJ60" s="14">
        <f t="shared" si="40"/>
        <v>0</v>
      </c>
      <c r="CK60" s="14">
        <f t="shared" si="40"/>
        <v>0</v>
      </c>
      <c r="CL60" s="14">
        <f t="shared" si="40"/>
        <v>0</v>
      </c>
      <c r="CM60" s="14">
        <f t="shared" si="40"/>
        <v>0</v>
      </c>
      <c r="CN60" s="14">
        <f t="shared" si="40"/>
        <v>0</v>
      </c>
      <c r="CO60" s="14">
        <f t="shared" si="40"/>
        <v>0</v>
      </c>
      <c r="CP60" s="14">
        <f t="shared" si="40"/>
        <v>0</v>
      </c>
      <c r="CQ60" s="14">
        <f t="shared" si="40"/>
        <v>0</v>
      </c>
      <c r="CR60" s="14">
        <f t="shared" si="40"/>
        <v>0</v>
      </c>
      <c r="CS60" s="230">
        <f t="shared" si="40"/>
        <v>0</v>
      </c>
      <c r="CT60" s="14">
        <f t="shared" si="40"/>
        <v>0</v>
      </c>
      <c r="CU60" s="14">
        <f t="shared" si="40"/>
        <v>0</v>
      </c>
      <c r="CV60" s="14">
        <f t="shared" si="40"/>
        <v>0</v>
      </c>
      <c r="CW60" s="14">
        <f t="shared" si="40"/>
        <v>0</v>
      </c>
      <c r="CX60" s="14">
        <f t="shared" si="40"/>
        <v>0</v>
      </c>
      <c r="CY60" s="14">
        <f t="shared" si="40"/>
        <v>0</v>
      </c>
      <c r="CZ60" s="14">
        <f t="shared" si="40"/>
        <v>0</v>
      </c>
      <c r="DA60" s="14">
        <f t="shared" si="40"/>
        <v>0</v>
      </c>
      <c r="DB60" s="14">
        <f t="shared" si="40"/>
        <v>0</v>
      </c>
      <c r="DC60" s="14">
        <f t="shared" si="40"/>
        <v>0</v>
      </c>
      <c r="DD60" s="14">
        <f t="shared" si="40"/>
        <v>0</v>
      </c>
      <c r="DE60" s="14">
        <f t="shared" si="40"/>
        <v>0</v>
      </c>
      <c r="DF60" s="14">
        <f t="shared" si="40"/>
        <v>0</v>
      </c>
      <c r="DG60" s="14">
        <f t="shared" si="40"/>
        <v>0</v>
      </c>
      <c r="DH60" s="14">
        <f t="shared" si="40"/>
        <v>0</v>
      </c>
      <c r="DI60" s="14">
        <f t="shared" si="40"/>
        <v>0</v>
      </c>
      <c r="DJ60" s="14">
        <f t="shared" si="40"/>
        <v>0</v>
      </c>
      <c r="DK60" s="14">
        <f t="shared" si="40"/>
        <v>0</v>
      </c>
      <c r="DL60" s="14">
        <f t="shared" si="40"/>
        <v>0</v>
      </c>
      <c r="DM60" s="14">
        <f t="shared" si="40"/>
        <v>0</v>
      </c>
      <c r="DN60" s="243">
        <f>+DN70</f>
        <v>0</v>
      </c>
      <c r="DO60" s="14">
        <f t="shared" ref="DO60:EI60" si="41">+DN60</f>
        <v>0</v>
      </c>
      <c r="DP60" s="14">
        <f t="shared" si="41"/>
        <v>0</v>
      </c>
      <c r="DQ60" s="14">
        <f t="shared" si="41"/>
        <v>0</v>
      </c>
      <c r="DR60" s="14">
        <f t="shared" si="41"/>
        <v>0</v>
      </c>
      <c r="DS60" s="14">
        <f t="shared" si="41"/>
        <v>0</v>
      </c>
      <c r="DT60" s="14">
        <f t="shared" si="41"/>
        <v>0</v>
      </c>
      <c r="DU60" s="14">
        <f t="shared" si="41"/>
        <v>0</v>
      </c>
      <c r="DV60" s="14">
        <f t="shared" si="41"/>
        <v>0</v>
      </c>
      <c r="DW60" s="14">
        <f t="shared" si="41"/>
        <v>0</v>
      </c>
      <c r="DX60" s="14">
        <f t="shared" si="41"/>
        <v>0</v>
      </c>
      <c r="DY60" s="14">
        <f t="shared" si="41"/>
        <v>0</v>
      </c>
      <c r="DZ60" s="14">
        <f t="shared" si="41"/>
        <v>0</v>
      </c>
      <c r="EA60" s="14">
        <f t="shared" si="41"/>
        <v>0</v>
      </c>
      <c r="EB60" s="14">
        <f t="shared" si="41"/>
        <v>0</v>
      </c>
      <c r="EC60" s="14">
        <f t="shared" si="41"/>
        <v>0</v>
      </c>
      <c r="ED60" s="14">
        <f t="shared" si="41"/>
        <v>0</v>
      </c>
      <c r="EE60" s="14">
        <f t="shared" si="41"/>
        <v>0</v>
      </c>
      <c r="EF60" s="14">
        <f t="shared" si="41"/>
        <v>0</v>
      </c>
      <c r="EG60" s="14">
        <f t="shared" si="41"/>
        <v>0</v>
      </c>
      <c r="EH60" s="14">
        <f t="shared" si="41"/>
        <v>0</v>
      </c>
      <c r="EI60" s="14">
        <f t="shared" si="41"/>
        <v>0</v>
      </c>
      <c r="EJ60" s="243">
        <f>+EI60+EJ70</f>
        <v>0</v>
      </c>
      <c r="EK60" s="14">
        <f t="shared" ref="EK60:FD60" si="42">+EJ60</f>
        <v>0</v>
      </c>
      <c r="EL60" s="14">
        <f t="shared" si="42"/>
        <v>0</v>
      </c>
      <c r="EM60" s="14">
        <f t="shared" si="42"/>
        <v>0</v>
      </c>
      <c r="EN60" s="14">
        <f t="shared" si="42"/>
        <v>0</v>
      </c>
      <c r="EO60" s="14">
        <f t="shared" si="42"/>
        <v>0</v>
      </c>
      <c r="EP60" s="14">
        <f t="shared" si="42"/>
        <v>0</v>
      </c>
      <c r="EQ60" s="14">
        <f t="shared" si="42"/>
        <v>0</v>
      </c>
      <c r="ER60" s="14">
        <f t="shared" si="42"/>
        <v>0</v>
      </c>
      <c r="ES60" s="14">
        <f t="shared" si="42"/>
        <v>0</v>
      </c>
      <c r="ET60" s="14">
        <f t="shared" si="42"/>
        <v>0</v>
      </c>
      <c r="EU60" s="39">
        <f t="shared" si="42"/>
        <v>0</v>
      </c>
      <c r="EV60" s="14">
        <f t="shared" si="42"/>
        <v>0</v>
      </c>
      <c r="EW60" s="14">
        <f t="shared" si="42"/>
        <v>0</v>
      </c>
      <c r="EX60" s="14">
        <f t="shared" si="42"/>
        <v>0</v>
      </c>
      <c r="EY60" s="14">
        <f t="shared" si="42"/>
        <v>0</v>
      </c>
      <c r="EZ60" s="14">
        <f t="shared" si="42"/>
        <v>0</v>
      </c>
      <c r="FA60" s="14">
        <f t="shared" si="42"/>
        <v>0</v>
      </c>
      <c r="FB60" s="14">
        <f t="shared" si="42"/>
        <v>0</v>
      </c>
      <c r="FC60" s="14">
        <f t="shared" si="42"/>
        <v>0</v>
      </c>
      <c r="FD60" s="14">
        <f t="shared" si="42"/>
        <v>0</v>
      </c>
      <c r="FE60" s="243">
        <v>0</v>
      </c>
      <c r="FF60" s="14">
        <f t="shared" ref="FF60:HQ60" si="43">+FE60</f>
        <v>0</v>
      </c>
      <c r="FG60" s="14">
        <f t="shared" si="43"/>
        <v>0</v>
      </c>
      <c r="FH60" s="14">
        <f t="shared" si="43"/>
        <v>0</v>
      </c>
      <c r="FI60" s="14">
        <f t="shared" si="43"/>
        <v>0</v>
      </c>
      <c r="FJ60" s="230">
        <f t="shared" si="43"/>
        <v>0</v>
      </c>
      <c r="FK60" s="14">
        <f t="shared" si="43"/>
        <v>0</v>
      </c>
      <c r="FL60" s="14">
        <f t="shared" si="43"/>
        <v>0</v>
      </c>
      <c r="FM60" s="14">
        <f t="shared" si="43"/>
        <v>0</v>
      </c>
      <c r="FN60" s="14">
        <f t="shared" si="43"/>
        <v>0</v>
      </c>
      <c r="FO60" s="14">
        <f t="shared" si="43"/>
        <v>0</v>
      </c>
      <c r="FP60" s="39">
        <f t="shared" si="43"/>
        <v>0</v>
      </c>
      <c r="FQ60" s="14">
        <f t="shared" si="43"/>
        <v>0</v>
      </c>
      <c r="FR60" s="14">
        <f t="shared" si="43"/>
        <v>0</v>
      </c>
      <c r="FS60" s="14">
        <f t="shared" si="43"/>
        <v>0</v>
      </c>
      <c r="FT60" s="14">
        <f t="shared" si="43"/>
        <v>0</v>
      </c>
      <c r="FU60" s="14">
        <f t="shared" si="43"/>
        <v>0</v>
      </c>
      <c r="FV60" s="14">
        <f t="shared" si="43"/>
        <v>0</v>
      </c>
      <c r="FW60" s="14">
        <f t="shared" si="43"/>
        <v>0</v>
      </c>
      <c r="FX60" s="14">
        <f t="shared" si="43"/>
        <v>0</v>
      </c>
      <c r="FY60" s="14">
        <f t="shared" si="43"/>
        <v>0</v>
      </c>
      <c r="FZ60" s="230">
        <f>+FZ70</f>
        <v>0</v>
      </c>
      <c r="GA60" s="14">
        <f t="shared" si="43"/>
        <v>0</v>
      </c>
      <c r="GB60" s="14">
        <f t="shared" si="43"/>
        <v>0</v>
      </c>
      <c r="GC60" s="14">
        <f t="shared" si="43"/>
        <v>0</v>
      </c>
      <c r="GD60" s="14">
        <f t="shared" si="43"/>
        <v>0</v>
      </c>
      <c r="GE60" s="14">
        <f t="shared" si="43"/>
        <v>0</v>
      </c>
      <c r="GF60" s="14">
        <f t="shared" si="43"/>
        <v>0</v>
      </c>
      <c r="GG60" s="14">
        <f t="shared" si="43"/>
        <v>0</v>
      </c>
      <c r="GH60" s="14">
        <f t="shared" si="43"/>
        <v>0</v>
      </c>
      <c r="GI60" s="14">
        <f t="shared" si="43"/>
        <v>0</v>
      </c>
      <c r="GJ60" s="14">
        <f t="shared" si="43"/>
        <v>0</v>
      </c>
      <c r="GK60" s="39">
        <f t="shared" si="43"/>
        <v>0</v>
      </c>
      <c r="GL60" s="14">
        <f t="shared" si="43"/>
        <v>0</v>
      </c>
      <c r="GM60" s="14">
        <f t="shared" si="43"/>
        <v>0</v>
      </c>
      <c r="GN60" s="14">
        <f t="shared" si="43"/>
        <v>0</v>
      </c>
      <c r="GO60" s="14">
        <f t="shared" si="43"/>
        <v>0</v>
      </c>
      <c r="GP60" s="14">
        <f t="shared" si="43"/>
        <v>0</v>
      </c>
      <c r="GQ60" s="14">
        <f t="shared" si="43"/>
        <v>0</v>
      </c>
      <c r="GR60" s="14">
        <f t="shared" si="43"/>
        <v>0</v>
      </c>
      <c r="GS60" s="14">
        <f t="shared" si="43"/>
        <v>0</v>
      </c>
      <c r="GT60" s="230">
        <f t="shared" si="43"/>
        <v>0</v>
      </c>
      <c r="GU60" s="14">
        <f t="shared" si="43"/>
        <v>0</v>
      </c>
      <c r="GV60" s="14">
        <f t="shared" si="43"/>
        <v>0</v>
      </c>
      <c r="GW60" s="14">
        <f t="shared" si="43"/>
        <v>0</v>
      </c>
      <c r="GX60" s="14">
        <f t="shared" si="43"/>
        <v>0</v>
      </c>
      <c r="GY60" s="14">
        <f t="shared" si="43"/>
        <v>0</v>
      </c>
      <c r="GZ60" s="14">
        <f t="shared" si="43"/>
        <v>0</v>
      </c>
      <c r="HA60" s="14">
        <f t="shared" si="43"/>
        <v>0</v>
      </c>
      <c r="HB60" s="14">
        <f t="shared" si="43"/>
        <v>0</v>
      </c>
      <c r="HC60" s="14">
        <f t="shared" si="43"/>
        <v>0</v>
      </c>
      <c r="HD60" s="39">
        <f t="shared" si="43"/>
        <v>0</v>
      </c>
      <c r="HE60" s="14">
        <f t="shared" si="43"/>
        <v>0</v>
      </c>
      <c r="HF60" s="14">
        <f t="shared" si="43"/>
        <v>0</v>
      </c>
      <c r="HG60" s="14">
        <f t="shared" si="43"/>
        <v>0</v>
      </c>
      <c r="HH60" s="14">
        <f t="shared" si="43"/>
        <v>0</v>
      </c>
      <c r="HI60" s="14">
        <f t="shared" si="43"/>
        <v>0</v>
      </c>
      <c r="HJ60" s="14">
        <f t="shared" si="43"/>
        <v>0</v>
      </c>
      <c r="HK60" s="14">
        <f t="shared" si="43"/>
        <v>0</v>
      </c>
      <c r="HL60" s="14">
        <f t="shared" si="43"/>
        <v>0</v>
      </c>
      <c r="HM60" s="14">
        <f t="shared" si="43"/>
        <v>0</v>
      </c>
      <c r="HN60" s="14">
        <f t="shared" si="43"/>
        <v>0</v>
      </c>
      <c r="HO60" s="230">
        <f t="shared" si="43"/>
        <v>0</v>
      </c>
      <c r="HP60" s="14">
        <f t="shared" si="43"/>
        <v>0</v>
      </c>
      <c r="HQ60" s="14">
        <f t="shared" si="43"/>
        <v>0</v>
      </c>
      <c r="HR60" s="14">
        <f t="shared" ref="HR60:IT60" si="44">+HQ60</f>
        <v>0</v>
      </c>
      <c r="HS60" s="14">
        <f t="shared" si="44"/>
        <v>0</v>
      </c>
      <c r="HT60" s="14">
        <f t="shared" si="44"/>
        <v>0</v>
      </c>
      <c r="HU60" s="14">
        <f t="shared" si="44"/>
        <v>0</v>
      </c>
      <c r="HV60" s="14">
        <f t="shared" si="44"/>
        <v>0</v>
      </c>
      <c r="HW60" s="14">
        <f t="shared" si="44"/>
        <v>0</v>
      </c>
      <c r="HX60" s="14">
        <f t="shared" si="44"/>
        <v>0</v>
      </c>
      <c r="HY60" s="14">
        <f t="shared" si="44"/>
        <v>0</v>
      </c>
      <c r="HZ60" s="39">
        <f t="shared" si="44"/>
        <v>0</v>
      </c>
      <c r="IA60" s="14">
        <f t="shared" si="44"/>
        <v>0</v>
      </c>
      <c r="IB60" s="14">
        <f t="shared" si="44"/>
        <v>0</v>
      </c>
      <c r="IC60" s="14">
        <f t="shared" si="44"/>
        <v>0</v>
      </c>
      <c r="ID60" s="14">
        <f t="shared" si="44"/>
        <v>0</v>
      </c>
      <c r="IE60" s="14">
        <f t="shared" si="44"/>
        <v>0</v>
      </c>
      <c r="IF60" s="14">
        <f t="shared" si="44"/>
        <v>0</v>
      </c>
      <c r="IG60" s="14">
        <f t="shared" si="44"/>
        <v>0</v>
      </c>
      <c r="IH60" s="14">
        <f t="shared" si="44"/>
        <v>0</v>
      </c>
      <c r="II60" s="14">
        <f t="shared" si="44"/>
        <v>0</v>
      </c>
      <c r="IJ60" s="230">
        <f t="shared" si="44"/>
        <v>0</v>
      </c>
      <c r="IK60" s="14">
        <f t="shared" si="44"/>
        <v>0</v>
      </c>
      <c r="IL60" s="14">
        <f t="shared" si="44"/>
        <v>0</v>
      </c>
      <c r="IM60" s="14">
        <f t="shared" si="44"/>
        <v>0</v>
      </c>
      <c r="IN60" s="14">
        <f t="shared" si="44"/>
        <v>0</v>
      </c>
      <c r="IO60" s="14">
        <f t="shared" si="44"/>
        <v>0</v>
      </c>
      <c r="IP60" s="14">
        <f t="shared" si="44"/>
        <v>0</v>
      </c>
      <c r="IQ60" s="14">
        <f t="shared" si="44"/>
        <v>0</v>
      </c>
      <c r="IR60" s="14">
        <f>+IQ60</f>
        <v>0</v>
      </c>
      <c r="IS60" s="14">
        <f>+IR60</f>
        <v>0</v>
      </c>
      <c r="IT60" s="39">
        <f t="shared" si="44"/>
        <v>0</v>
      </c>
      <c r="IU60" s="14"/>
    </row>
    <row r="61" spans="1:255" ht="14.1" customHeight="1">
      <c r="A61" s="14" t="s">
        <v>22</v>
      </c>
      <c r="B61" s="14"/>
      <c r="C61" s="39">
        <f>20000463.82+10000000+11802.69</f>
        <v>30012266.510000002</v>
      </c>
      <c r="D61" s="14">
        <f t="shared" ref="D61:H63" si="45">C61-D23</f>
        <v>30012266.510000002</v>
      </c>
      <c r="E61" s="14">
        <f t="shared" si="45"/>
        <v>30012266.510000002</v>
      </c>
      <c r="F61" s="14">
        <f t="shared" si="45"/>
        <v>30012266.510000002</v>
      </c>
      <c r="G61" s="14">
        <f t="shared" si="45"/>
        <v>30012266.510000002</v>
      </c>
      <c r="H61" s="14">
        <f t="shared" si="45"/>
        <v>30012266.510000002</v>
      </c>
      <c r="I61" s="14">
        <f>H61-I23+20000000</f>
        <v>50012266.510000005</v>
      </c>
      <c r="J61" s="14">
        <f t="shared" ref="J61:U63" si="46">I61-J23</f>
        <v>50012266.510000005</v>
      </c>
      <c r="K61" s="14">
        <f t="shared" si="46"/>
        <v>50012266.510000005</v>
      </c>
      <c r="L61" s="14">
        <f t="shared" si="46"/>
        <v>40012266.510000005</v>
      </c>
      <c r="M61" s="230">
        <f t="shared" si="46"/>
        <v>40012266.510000005</v>
      </c>
      <c r="N61" s="14">
        <f t="shared" si="46"/>
        <v>40012266.510000005</v>
      </c>
      <c r="O61" s="14">
        <f t="shared" si="46"/>
        <v>40012266.510000005</v>
      </c>
      <c r="P61" s="14">
        <f t="shared" si="46"/>
        <v>40012266.510000005</v>
      </c>
      <c r="Q61" s="14">
        <f t="shared" si="46"/>
        <v>40012266.510000005</v>
      </c>
      <c r="R61" s="14">
        <f t="shared" si="46"/>
        <v>40012266.510000005</v>
      </c>
      <c r="S61" s="14">
        <f t="shared" si="46"/>
        <v>40012266.510000005</v>
      </c>
      <c r="T61" s="14">
        <f t="shared" si="46"/>
        <v>40012266.510000005</v>
      </c>
      <c r="U61" s="14">
        <f t="shared" si="46"/>
        <v>40012266.510000005</v>
      </c>
      <c r="V61" s="39">
        <f>U61-V23+19599.44</f>
        <v>40031865.950000003</v>
      </c>
      <c r="W61" s="14">
        <f t="shared" ref="W61:AR63" si="47">V61-W23</f>
        <v>40031865.950000003</v>
      </c>
      <c r="X61" s="14">
        <f t="shared" si="47"/>
        <v>40031865.950000003</v>
      </c>
      <c r="Y61" s="14">
        <f t="shared" si="47"/>
        <v>40031865.950000003</v>
      </c>
      <c r="Z61" s="14">
        <f t="shared" si="47"/>
        <v>40031865.950000003</v>
      </c>
      <c r="AA61" s="14">
        <f t="shared" si="47"/>
        <v>40031865.950000003</v>
      </c>
      <c r="AB61" s="14">
        <f t="shared" si="47"/>
        <v>40031865.950000003</v>
      </c>
      <c r="AC61" s="14">
        <f t="shared" si="47"/>
        <v>40031865.950000003</v>
      </c>
      <c r="AD61" s="14">
        <f t="shared" si="47"/>
        <v>40031865.950000003</v>
      </c>
      <c r="AE61" s="14">
        <f t="shared" si="47"/>
        <v>40031865.950000003</v>
      </c>
      <c r="AF61" s="230">
        <f t="shared" si="47"/>
        <v>40031865.950000003</v>
      </c>
      <c r="AG61" s="14">
        <f t="shared" si="47"/>
        <v>40031865.950000003</v>
      </c>
      <c r="AH61" s="14">
        <f t="shared" si="47"/>
        <v>40031865.950000003</v>
      </c>
      <c r="AI61" s="14">
        <f t="shared" si="47"/>
        <v>40031865.950000003</v>
      </c>
      <c r="AJ61" s="14">
        <f t="shared" si="47"/>
        <v>40031865.950000003</v>
      </c>
      <c r="AK61" s="14">
        <f t="shared" si="47"/>
        <v>40031865.950000003</v>
      </c>
      <c r="AL61" s="14">
        <f t="shared" si="47"/>
        <v>40031865.950000003</v>
      </c>
      <c r="AM61" s="14">
        <f t="shared" si="47"/>
        <v>40031865.950000003</v>
      </c>
      <c r="AN61" s="14">
        <f t="shared" si="47"/>
        <v>40031865.950000003</v>
      </c>
      <c r="AO61" s="14">
        <f t="shared" si="47"/>
        <v>40031865.950000003</v>
      </c>
      <c r="AP61" s="14">
        <f t="shared" si="47"/>
        <v>40031865.950000003</v>
      </c>
      <c r="AQ61" s="14">
        <f t="shared" si="47"/>
        <v>40031865.950000003</v>
      </c>
      <c r="AR61" s="39">
        <f t="shared" si="47"/>
        <v>40031865.950000003</v>
      </c>
      <c r="AS61" s="14">
        <v>40051504.950000003</v>
      </c>
      <c r="AT61" s="14">
        <f t="shared" ref="AT61:BN63" si="48">AS61-AT23</f>
        <v>40051504.950000003</v>
      </c>
      <c r="AU61" s="14">
        <f t="shared" si="48"/>
        <v>40051504.950000003</v>
      </c>
      <c r="AV61" s="14">
        <f t="shared" si="48"/>
        <v>40051504.950000003</v>
      </c>
      <c r="AW61" s="14">
        <f t="shared" si="48"/>
        <v>40051504.950000003</v>
      </c>
      <c r="AX61" s="14">
        <f t="shared" si="48"/>
        <v>40051504.950000003</v>
      </c>
      <c r="AY61" s="14">
        <f t="shared" si="48"/>
        <v>40051504.950000003</v>
      </c>
      <c r="AZ61" s="14">
        <f t="shared" si="48"/>
        <v>40051504.950000003</v>
      </c>
      <c r="BA61" s="14">
        <f t="shared" si="48"/>
        <v>40051504.950000003</v>
      </c>
      <c r="BB61" s="14">
        <f t="shared" si="48"/>
        <v>40051504.950000003</v>
      </c>
      <c r="BC61" s="230">
        <f t="shared" si="48"/>
        <v>40051504.950000003</v>
      </c>
      <c r="BD61" s="14">
        <f t="shared" si="48"/>
        <v>40051504.950000003</v>
      </c>
      <c r="BE61" s="14">
        <f t="shared" si="48"/>
        <v>40051504.950000003</v>
      </c>
      <c r="BF61" s="14">
        <f t="shared" si="48"/>
        <v>40051504.950000003</v>
      </c>
      <c r="BG61" s="14">
        <f t="shared" si="48"/>
        <v>40051504.950000003</v>
      </c>
      <c r="BH61" s="14">
        <f t="shared" si="48"/>
        <v>40051504.950000003</v>
      </c>
      <c r="BI61" s="14">
        <f t="shared" si="48"/>
        <v>40051504.950000003</v>
      </c>
      <c r="BJ61" s="14">
        <f t="shared" si="48"/>
        <v>40051504.950000003</v>
      </c>
      <c r="BK61" s="14">
        <f t="shared" si="48"/>
        <v>40051504.950000003</v>
      </c>
      <c r="BL61" s="14">
        <f t="shared" si="48"/>
        <v>40051504.950000003</v>
      </c>
      <c r="BM61" s="14">
        <f t="shared" si="48"/>
        <v>40051504.950000003</v>
      </c>
      <c r="BN61" s="39">
        <f t="shared" si="48"/>
        <v>40051504.950000003</v>
      </c>
      <c r="BO61" s="14">
        <v>40067180.600000001</v>
      </c>
      <c r="BP61" s="14">
        <f t="shared" ref="BP61:CH63" si="49">BO61-BP23</f>
        <v>40067180.600000001</v>
      </c>
      <c r="BQ61" s="14">
        <f t="shared" si="49"/>
        <v>40067180.600000001</v>
      </c>
      <c r="BR61" s="14">
        <f t="shared" si="49"/>
        <v>40067180.600000001</v>
      </c>
      <c r="BS61" s="14">
        <f t="shared" si="49"/>
        <v>40067180.600000001</v>
      </c>
      <c r="BT61" s="14">
        <f t="shared" si="49"/>
        <v>40067180.600000001</v>
      </c>
      <c r="BU61" s="14">
        <f t="shared" si="49"/>
        <v>40067180.600000001</v>
      </c>
      <c r="BV61" s="14">
        <f t="shared" si="49"/>
        <v>28067180.600000001</v>
      </c>
      <c r="BW61" s="14">
        <f t="shared" si="49"/>
        <v>28067180.600000001</v>
      </c>
      <c r="BX61" s="14">
        <f t="shared" si="49"/>
        <v>28067180.600000001</v>
      </c>
      <c r="BY61" s="230">
        <f t="shared" si="49"/>
        <v>28067180.600000001</v>
      </c>
      <c r="BZ61" s="14">
        <f t="shared" si="49"/>
        <v>28067180.600000001</v>
      </c>
      <c r="CA61" s="14">
        <f t="shared" si="49"/>
        <v>28067180.600000001</v>
      </c>
      <c r="CB61" s="14">
        <f t="shared" si="49"/>
        <v>28067180.600000001</v>
      </c>
      <c r="CC61" s="14">
        <f t="shared" si="49"/>
        <v>28067180.600000001</v>
      </c>
      <c r="CD61" s="14">
        <f t="shared" si="49"/>
        <v>28067180.600000001</v>
      </c>
      <c r="CE61" s="14">
        <f t="shared" si="49"/>
        <v>20067180.600000001</v>
      </c>
      <c r="CF61" s="14">
        <f t="shared" si="49"/>
        <v>20067180.600000001</v>
      </c>
      <c r="CG61" s="14">
        <f t="shared" si="49"/>
        <v>20067180.600000001</v>
      </c>
      <c r="CH61" s="39">
        <f t="shared" si="49"/>
        <v>20067180.600000001</v>
      </c>
      <c r="CI61" s="14">
        <v>20078703.609999999</v>
      </c>
      <c r="CJ61" s="14">
        <f t="shared" ref="CJ61:EU63" si="50">CI61-CJ23</f>
        <v>20078703.609999999</v>
      </c>
      <c r="CK61" s="14">
        <f t="shared" si="50"/>
        <v>20078703.609999999</v>
      </c>
      <c r="CL61" s="14">
        <f t="shared" si="50"/>
        <v>20078703.609999999</v>
      </c>
      <c r="CM61" s="14">
        <f t="shared" si="50"/>
        <v>20078703.609999999</v>
      </c>
      <c r="CN61" s="14">
        <f t="shared" si="50"/>
        <v>20078703.609999999</v>
      </c>
      <c r="CO61" s="14">
        <f t="shared" si="50"/>
        <v>20078703.609999999</v>
      </c>
      <c r="CP61" s="14">
        <f t="shared" si="50"/>
        <v>20078703.609999999</v>
      </c>
      <c r="CQ61" s="14">
        <f t="shared" si="50"/>
        <v>3078703.6099999994</v>
      </c>
      <c r="CR61" s="14">
        <f t="shared" si="50"/>
        <v>3078703.6099999994</v>
      </c>
      <c r="CS61" s="230">
        <f t="shared" si="50"/>
        <v>3078703.6099999994</v>
      </c>
      <c r="CT61" s="14">
        <f t="shared" si="50"/>
        <v>3078703.6099999994</v>
      </c>
      <c r="CU61" s="14">
        <f t="shared" si="50"/>
        <v>3078703.6099999994</v>
      </c>
      <c r="CV61" s="14">
        <f t="shared" si="50"/>
        <v>3078703.6099999994</v>
      </c>
      <c r="CW61" s="14">
        <f t="shared" si="50"/>
        <v>3078703.6099999994</v>
      </c>
      <c r="CX61" s="14">
        <f t="shared" si="50"/>
        <v>3078703.6099999994</v>
      </c>
      <c r="CY61" s="14">
        <f t="shared" si="50"/>
        <v>3078703.6099999994</v>
      </c>
      <c r="CZ61" s="14">
        <f t="shared" si="50"/>
        <v>3078703.6099999994</v>
      </c>
      <c r="DA61" s="14">
        <f t="shared" si="50"/>
        <v>3078703.6099999994</v>
      </c>
      <c r="DB61" s="14">
        <f t="shared" si="50"/>
        <v>3078703.6099999994</v>
      </c>
      <c r="DC61" s="14">
        <f t="shared" si="50"/>
        <v>3078703.6099999994</v>
      </c>
      <c r="DD61" s="39">
        <f t="shared" si="50"/>
        <v>3078703.6099999994</v>
      </c>
      <c r="DE61" s="14">
        <v>3081564.11</v>
      </c>
      <c r="DF61" s="14">
        <f t="shared" si="50"/>
        <v>3081564.11</v>
      </c>
      <c r="DG61" s="14">
        <f t="shared" si="50"/>
        <v>3081564.11</v>
      </c>
      <c r="DH61" s="14">
        <f t="shared" si="50"/>
        <v>3081564.11</v>
      </c>
      <c r="DI61" s="14">
        <f t="shared" si="50"/>
        <v>3081564.11</v>
      </c>
      <c r="DJ61" s="14">
        <f t="shared" si="50"/>
        <v>3081564.11</v>
      </c>
      <c r="DK61" s="14">
        <f t="shared" si="50"/>
        <v>3081564.11</v>
      </c>
      <c r="DL61" s="14">
        <f t="shared" si="50"/>
        <v>3081564.11</v>
      </c>
      <c r="DM61" s="14">
        <f t="shared" si="50"/>
        <v>1564.1099999998696</v>
      </c>
      <c r="DN61" s="230">
        <f t="shared" si="50"/>
        <v>1564.1099999998696</v>
      </c>
      <c r="DO61" s="14">
        <f t="shared" si="50"/>
        <v>1564.1099999998696</v>
      </c>
      <c r="DP61" s="14">
        <f t="shared" si="50"/>
        <v>1564.1099999998696</v>
      </c>
      <c r="DQ61" s="14">
        <f t="shared" si="50"/>
        <v>1564.1099999998696</v>
      </c>
      <c r="DR61" s="14">
        <f t="shared" si="50"/>
        <v>1564.1099999998696</v>
      </c>
      <c r="DS61" s="14">
        <f t="shared" si="50"/>
        <v>1564.1099999998696</v>
      </c>
      <c r="DT61" s="14">
        <f t="shared" si="50"/>
        <v>1564.1099999998696</v>
      </c>
      <c r="DU61" s="14">
        <f t="shared" si="50"/>
        <v>1564.1099999998696</v>
      </c>
      <c r="DV61" s="14">
        <f t="shared" si="50"/>
        <v>1564.1099999998696</v>
      </c>
      <c r="DW61" s="14">
        <f t="shared" si="50"/>
        <v>1564.1099999998696</v>
      </c>
      <c r="DX61" s="14">
        <f t="shared" si="50"/>
        <v>1564.1099999998696</v>
      </c>
      <c r="DY61" s="14">
        <f t="shared" si="50"/>
        <v>1564.1099999998696</v>
      </c>
      <c r="DZ61" s="39">
        <v>1953.26</v>
      </c>
      <c r="EA61" s="14">
        <f t="shared" si="50"/>
        <v>1953.26</v>
      </c>
      <c r="EB61" s="14">
        <f t="shared" si="50"/>
        <v>1953.26</v>
      </c>
      <c r="EC61" s="14">
        <f t="shared" si="50"/>
        <v>1953.26</v>
      </c>
      <c r="ED61" s="14">
        <f t="shared" si="50"/>
        <v>1953.26</v>
      </c>
      <c r="EE61" s="14">
        <f t="shared" si="50"/>
        <v>1953.26</v>
      </c>
      <c r="EF61" s="14">
        <f t="shared" si="50"/>
        <v>1953.26</v>
      </c>
      <c r="EG61" s="14">
        <f t="shared" si="50"/>
        <v>1953.26</v>
      </c>
      <c r="EH61" s="14">
        <f t="shared" si="50"/>
        <v>1953.26</v>
      </c>
      <c r="EI61" s="14">
        <f t="shared" si="50"/>
        <v>1953.26</v>
      </c>
      <c r="EJ61" s="230">
        <f t="shared" si="50"/>
        <v>1953.26</v>
      </c>
      <c r="EK61" s="14">
        <f t="shared" si="50"/>
        <v>1953.26</v>
      </c>
      <c r="EL61" s="14">
        <f t="shared" si="50"/>
        <v>1953.26</v>
      </c>
      <c r="EM61" s="14">
        <f t="shared" si="50"/>
        <v>1953.26</v>
      </c>
      <c r="EN61" s="14">
        <f t="shared" si="50"/>
        <v>1953.26</v>
      </c>
      <c r="EO61" s="14">
        <f t="shared" si="50"/>
        <v>1953.26</v>
      </c>
      <c r="EP61" s="14">
        <f t="shared" si="50"/>
        <v>1953.26</v>
      </c>
      <c r="EQ61" s="14">
        <f t="shared" si="50"/>
        <v>1953.26</v>
      </c>
      <c r="ER61" s="14">
        <f t="shared" si="50"/>
        <v>1953.26</v>
      </c>
      <c r="ES61" s="14">
        <f t="shared" si="50"/>
        <v>1953.26</v>
      </c>
      <c r="ET61" s="14">
        <f t="shared" si="50"/>
        <v>1953.26</v>
      </c>
      <c r="EU61" s="39">
        <f t="shared" si="50"/>
        <v>1953.26</v>
      </c>
      <c r="EV61" s="14">
        <f t="shared" ref="EV61:HG63" si="51">EU61-EV23</f>
        <v>1953.26</v>
      </c>
      <c r="EW61" s="14">
        <f t="shared" si="51"/>
        <v>1953.26</v>
      </c>
      <c r="EX61" s="14">
        <f t="shared" si="51"/>
        <v>1953.26</v>
      </c>
      <c r="EY61" s="14">
        <f t="shared" si="51"/>
        <v>1953.26</v>
      </c>
      <c r="EZ61" s="14">
        <f t="shared" si="51"/>
        <v>1953.26</v>
      </c>
      <c r="FA61" s="14">
        <f t="shared" si="51"/>
        <v>1953.26</v>
      </c>
      <c r="FB61" s="14">
        <f t="shared" si="51"/>
        <v>1953.26</v>
      </c>
      <c r="FC61" s="14">
        <f t="shared" si="51"/>
        <v>1953.26</v>
      </c>
      <c r="FD61" s="14">
        <f t="shared" si="51"/>
        <v>1953.26</v>
      </c>
      <c r="FE61" s="230">
        <f t="shared" si="51"/>
        <v>1953.26</v>
      </c>
      <c r="FF61" s="14">
        <f t="shared" si="51"/>
        <v>1953.26</v>
      </c>
      <c r="FG61" s="14">
        <f t="shared" si="51"/>
        <v>1953.26</v>
      </c>
      <c r="FH61" s="14">
        <f t="shared" si="51"/>
        <v>1953.26</v>
      </c>
      <c r="FI61" s="14">
        <f t="shared" si="51"/>
        <v>1953.26</v>
      </c>
      <c r="FJ61" s="230">
        <f t="shared" si="51"/>
        <v>1953.26</v>
      </c>
      <c r="FK61" s="14">
        <f t="shared" si="51"/>
        <v>1953.26</v>
      </c>
      <c r="FL61" s="14">
        <f t="shared" si="51"/>
        <v>1953.26</v>
      </c>
      <c r="FM61" s="14">
        <f t="shared" si="51"/>
        <v>1953.26</v>
      </c>
      <c r="FN61" s="14">
        <f t="shared" si="51"/>
        <v>1953.26</v>
      </c>
      <c r="FO61" s="14">
        <f>FN61-FO23+5000000</f>
        <v>5001953.26</v>
      </c>
      <c r="FP61" s="39">
        <f t="shared" si="51"/>
        <v>5001953.26</v>
      </c>
      <c r="FQ61" s="14">
        <f t="shared" si="51"/>
        <v>5001953.26</v>
      </c>
      <c r="FR61" s="14">
        <f t="shared" si="51"/>
        <v>5001953.26</v>
      </c>
      <c r="FS61" s="14">
        <f t="shared" si="51"/>
        <v>5001953.26</v>
      </c>
      <c r="FT61" s="14">
        <f t="shared" si="51"/>
        <v>5001953.26</v>
      </c>
      <c r="FU61" s="14">
        <f t="shared" si="51"/>
        <v>5001953.26</v>
      </c>
      <c r="FV61" s="14">
        <f t="shared" si="51"/>
        <v>5001953.26</v>
      </c>
      <c r="FW61" s="14">
        <f t="shared" si="51"/>
        <v>5001953.26</v>
      </c>
      <c r="FX61" s="14">
        <f t="shared" si="51"/>
        <v>5001953.26</v>
      </c>
      <c r="FY61" s="14">
        <f t="shared" si="51"/>
        <v>1953.2599999997765</v>
      </c>
      <c r="FZ61" s="230">
        <f t="shared" si="51"/>
        <v>1953.2599999997765</v>
      </c>
      <c r="GA61" s="14">
        <f t="shared" si="51"/>
        <v>1953.2599999997765</v>
      </c>
      <c r="GB61" s="14">
        <f t="shared" si="51"/>
        <v>1953.2599999997765</v>
      </c>
      <c r="GC61" s="14">
        <f t="shared" si="51"/>
        <v>1953.2599999997765</v>
      </c>
      <c r="GD61" s="14">
        <f t="shared" si="51"/>
        <v>1953.2599999997765</v>
      </c>
      <c r="GE61" s="14">
        <f t="shared" si="51"/>
        <v>1953.2599999997765</v>
      </c>
      <c r="GF61" s="14">
        <f t="shared" si="51"/>
        <v>1953.2599999997765</v>
      </c>
      <c r="GG61" s="14">
        <f t="shared" si="51"/>
        <v>1953.2599999997765</v>
      </c>
      <c r="GH61" s="14">
        <f t="shared" si="51"/>
        <v>1953.2599999997765</v>
      </c>
      <c r="GI61" s="14">
        <f t="shared" si="51"/>
        <v>1953.2599999997765</v>
      </c>
      <c r="GJ61" s="14">
        <f t="shared" si="51"/>
        <v>1953.2599999997765</v>
      </c>
      <c r="GK61" s="39">
        <f t="shared" si="51"/>
        <v>1953.2599999997765</v>
      </c>
      <c r="GL61" s="14">
        <f t="shared" si="51"/>
        <v>1953.2599999997765</v>
      </c>
      <c r="GM61" s="14">
        <f t="shared" si="51"/>
        <v>1953.2599999997765</v>
      </c>
      <c r="GN61" s="14">
        <f t="shared" si="51"/>
        <v>1953.2599999997765</v>
      </c>
      <c r="GO61" s="14">
        <f t="shared" si="51"/>
        <v>1953.2599999997765</v>
      </c>
      <c r="GP61" s="14">
        <f t="shared" si="51"/>
        <v>1953.2599999997765</v>
      </c>
      <c r="GQ61" s="14">
        <f t="shared" si="51"/>
        <v>1953.2599999997765</v>
      </c>
      <c r="GR61" s="14">
        <f t="shared" si="51"/>
        <v>1953.2599999997765</v>
      </c>
      <c r="GS61" s="14">
        <f t="shared" si="51"/>
        <v>1953.2599999997765</v>
      </c>
      <c r="GT61" s="230">
        <f t="shared" si="51"/>
        <v>1953.2599999997765</v>
      </c>
      <c r="GU61" s="14">
        <f t="shared" si="51"/>
        <v>1953.2599999997765</v>
      </c>
      <c r="GV61" s="14">
        <f t="shared" si="51"/>
        <v>1953.2599999997765</v>
      </c>
      <c r="GW61" s="14">
        <f t="shared" si="51"/>
        <v>1953.2599999997765</v>
      </c>
      <c r="GX61" s="14">
        <f t="shared" si="51"/>
        <v>1953.2599999997765</v>
      </c>
      <c r="GY61" s="14">
        <f t="shared" si="51"/>
        <v>1953.2599999997765</v>
      </c>
      <c r="GZ61" s="14">
        <f t="shared" si="51"/>
        <v>1953.2599999997765</v>
      </c>
      <c r="HA61" s="14">
        <f t="shared" si="51"/>
        <v>1953.2599999997765</v>
      </c>
      <c r="HB61" s="14">
        <f t="shared" si="51"/>
        <v>1953.2599999997765</v>
      </c>
      <c r="HC61" s="14">
        <f t="shared" si="51"/>
        <v>1953.2599999997765</v>
      </c>
      <c r="HD61" s="39">
        <f t="shared" si="51"/>
        <v>1953.2599999997765</v>
      </c>
      <c r="HE61" s="14">
        <v>2413.5300000000002</v>
      </c>
      <c r="HF61" s="14">
        <f t="shared" si="51"/>
        <v>2413.5300000000002</v>
      </c>
      <c r="HG61" s="14">
        <f t="shared" si="51"/>
        <v>2413.5300000000002</v>
      </c>
      <c r="HH61" s="14">
        <f t="shared" ref="HH61:IT63" si="52">HG61-HH23</f>
        <v>2413.5300000000002</v>
      </c>
      <c r="HI61" s="14">
        <f t="shared" si="52"/>
        <v>2413.5300000000002</v>
      </c>
      <c r="HJ61" s="14">
        <f t="shared" si="52"/>
        <v>2413.5300000000002</v>
      </c>
      <c r="HK61" s="14">
        <f t="shared" si="52"/>
        <v>2413.5300000000002</v>
      </c>
      <c r="HL61" s="14">
        <f t="shared" si="52"/>
        <v>2413.5300000000002</v>
      </c>
      <c r="HM61" s="14">
        <f t="shared" si="52"/>
        <v>2413.5300000000002</v>
      </c>
      <c r="HN61" s="14">
        <f t="shared" si="52"/>
        <v>2413.5300000000002</v>
      </c>
      <c r="HO61" s="230">
        <f t="shared" si="52"/>
        <v>2413.5300000000002</v>
      </c>
      <c r="HP61" s="14">
        <f t="shared" si="52"/>
        <v>2413.5300000000002</v>
      </c>
      <c r="HQ61" s="14">
        <f t="shared" si="52"/>
        <v>2413.5300000000002</v>
      </c>
      <c r="HR61" s="14">
        <f t="shared" si="52"/>
        <v>2413.5300000000002</v>
      </c>
      <c r="HS61" s="14">
        <f t="shared" si="52"/>
        <v>2413.5300000000002</v>
      </c>
      <c r="HT61" s="14">
        <f t="shared" si="52"/>
        <v>2413.5300000000002</v>
      </c>
      <c r="HU61" s="14">
        <f t="shared" si="52"/>
        <v>2413.5300000000002</v>
      </c>
      <c r="HV61" s="14">
        <f t="shared" si="52"/>
        <v>2413.5300000000002</v>
      </c>
      <c r="HW61" s="14">
        <f t="shared" si="52"/>
        <v>2413.5300000000002</v>
      </c>
      <c r="HX61" s="14">
        <f t="shared" si="52"/>
        <v>2413.5300000000002</v>
      </c>
      <c r="HY61" s="14">
        <f>HX61-HY23+6000000</f>
        <v>6002413.5300000003</v>
      </c>
      <c r="HZ61" s="39">
        <f t="shared" si="52"/>
        <v>6002413.5300000003</v>
      </c>
      <c r="IA61" s="14">
        <f t="shared" si="52"/>
        <v>6002413.5300000003</v>
      </c>
      <c r="IB61" s="14">
        <f t="shared" si="52"/>
        <v>6002413.5300000003</v>
      </c>
      <c r="IC61" s="14">
        <f t="shared" si="52"/>
        <v>6002413.5300000003</v>
      </c>
      <c r="ID61" s="14">
        <f t="shared" si="52"/>
        <v>6002413.5300000003</v>
      </c>
      <c r="IE61" s="14">
        <f t="shared" si="52"/>
        <v>6002413.5300000003</v>
      </c>
      <c r="IF61" s="14">
        <f t="shared" si="52"/>
        <v>6002413.5300000003</v>
      </c>
      <c r="IG61" s="14">
        <f t="shared" si="52"/>
        <v>6002413.5300000003</v>
      </c>
      <c r="IH61" s="14">
        <f t="shared" si="52"/>
        <v>6002413.5300000003</v>
      </c>
      <c r="II61" s="14">
        <f t="shared" si="52"/>
        <v>6002413.5300000003</v>
      </c>
      <c r="IJ61" s="230">
        <f t="shared" si="52"/>
        <v>6002413.5300000003</v>
      </c>
      <c r="IK61" s="14">
        <f t="shared" si="52"/>
        <v>6002413.5300000003</v>
      </c>
      <c r="IL61" s="14">
        <f t="shared" si="52"/>
        <v>6002413.5300000003</v>
      </c>
      <c r="IM61" s="14">
        <f>IL61-IM23+20000000</f>
        <v>26002413.530000001</v>
      </c>
      <c r="IN61" s="14">
        <f t="shared" si="52"/>
        <v>26002413.530000001</v>
      </c>
      <c r="IO61" s="14">
        <f t="shared" si="52"/>
        <v>26002413.530000001</v>
      </c>
      <c r="IP61" s="14">
        <f t="shared" si="52"/>
        <v>26002413.530000001</v>
      </c>
      <c r="IQ61" s="14">
        <f t="shared" si="52"/>
        <v>26002413.530000001</v>
      </c>
      <c r="IR61" s="14">
        <f t="shared" si="52"/>
        <v>26002413.530000001</v>
      </c>
      <c r="IS61" s="14">
        <f t="shared" si="52"/>
        <v>26002413.530000001</v>
      </c>
      <c r="IT61" s="39">
        <f t="shared" si="52"/>
        <v>26002413.530000001</v>
      </c>
      <c r="IU61" s="14"/>
    </row>
    <row r="62" spans="1:255" ht="14.1" customHeight="1">
      <c r="A62" s="14" t="s">
        <v>18</v>
      </c>
      <c r="B62" s="14"/>
      <c r="C62" s="39">
        <f>21022685.34+5000000+11838.32</f>
        <v>26034523.66</v>
      </c>
      <c r="D62" s="14">
        <f t="shared" si="45"/>
        <v>26034523.66</v>
      </c>
      <c r="E62" s="14">
        <f t="shared" si="45"/>
        <v>26034523.66</v>
      </c>
      <c r="F62" s="14">
        <f t="shared" si="45"/>
        <v>26034523.66</v>
      </c>
      <c r="G62" s="14">
        <f t="shared" si="45"/>
        <v>26034523.66</v>
      </c>
      <c r="H62" s="14">
        <f t="shared" si="45"/>
        <v>26034523.66</v>
      </c>
      <c r="I62" s="14">
        <f>H62-I24+25000000</f>
        <v>51034523.659999996</v>
      </c>
      <c r="J62" s="14">
        <f t="shared" si="46"/>
        <v>51034523.659999996</v>
      </c>
      <c r="K62" s="14">
        <f t="shared" si="46"/>
        <v>51034523.659999996</v>
      </c>
      <c r="L62" s="14">
        <f t="shared" si="46"/>
        <v>41034523.659999996</v>
      </c>
      <c r="M62" s="230">
        <f t="shared" si="46"/>
        <v>41034523.659999996</v>
      </c>
      <c r="N62" s="14">
        <f t="shared" si="46"/>
        <v>41034523.659999996</v>
      </c>
      <c r="O62" s="14">
        <f t="shared" si="46"/>
        <v>41034523.659999996</v>
      </c>
      <c r="P62" s="14">
        <f t="shared" si="46"/>
        <v>41034523.659999996</v>
      </c>
      <c r="Q62" s="14">
        <f t="shared" si="46"/>
        <v>41034523.659999996</v>
      </c>
      <c r="R62" s="14">
        <f t="shared" si="46"/>
        <v>41034523.659999996</v>
      </c>
      <c r="S62" s="14">
        <f t="shared" si="46"/>
        <v>41034523.659999996</v>
      </c>
      <c r="T62" s="14">
        <f t="shared" si="46"/>
        <v>41034523.659999996</v>
      </c>
      <c r="U62" s="14">
        <f t="shared" si="46"/>
        <v>41034523.659999996</v>
      </c>
      <c r="V62" s="39">
        <f>U62-V24+20436.8</f>
        <v>41054960.459999993</v>
      </c>
      <c r="W62" s="14">
        <f t="shared" si="47"/>
        <v>41054960.459999993</v>
      </c>
      <c r="X62" s="14">
        <f t="shared" si="47"/>
        <v>41054960.459999993</v>
      </c>
      <c r="Y62" s="14">
        <f t="shared" si="47"/>
        <v>41054960.459999993</v>
      </c>
      <c r="Z62" s="14">
        <f t="shared" si="47"/>
        <v>41054960.459999993</v>
      </c>
      <c r="AA62" s="14">
        <f t="shared" si="47"/>
        <v>41054960.459999993</v>
      </c>
      <c r="AB62" s="14">
        <f t="shared" si="47"/>
        <v>41054960.459999993</v>
      </c>
      <c r="AC62" s="14">
        <f t="shared" si="47"/>
        <v>38248320.409999996</v>
      </c>
      <c r="AD62" s="14">
        <f t="shared" si="47"/>
        <v>38248320.409999996</v>
      </c>
      <c r="AE62" s="14">
        <f t="shared" si="47"/>
        <v>38248320.409999996</v>
      </c>
      <c r="AF62" s="230">
        <f t="shared" si="47"/>
        <v>38248320.409999996</v>
      </c>
      <c r="AG62" s="14">
        <f t="shared" si="47"/>
        <v>38248320.409999996</v>
      </c>
      <c r="AH62" s="14">
        <f t="shared" si="47"/>
        <v>38248320.409999996</v>
      </c>
      <c r="AI62" s="14">
        <f t="shared" si="47"/>
        <v>38248320.409999996</v>
      </c>
      <c r="AJ62" s="14">
        <f t="shared" si="47"/>
        <v>38248320.409999996</v>
      </c>
      <c r="AK62" s="14">
        <f t="shared" si="47"/>
        <v>38248320.409999996</v>
      </c>
      <c r="AL62" s="14">
        <f t="shared" si="47"/>
        <v>38248320.409999996</v>
      </c>
      <c r="AM62" s="14">
        <f t="shared" si="47"/>
        <v>38248320.409999996</v>
      </c>
      <c r="AN62" s="14">
        <f t="shared" si="47"/>
        <v>38248320.409999996</v>
      </c>
      <c r="AO62" s="14">
        <f t="shared" si="47"/>
        <v>38248320.409999996</v>
      </c>
      <c r="AP62" s="14">
        <f t="shared" si="47"/>
        <v>38248320.409999996</v>
      </c>
      <c r="AQ62" s="14">
        <f t="shared" si="47"/>
        <v>38248320.409999996</v>
      </c>
      <c r="AR62" s="39">
        <f t="shared" si="47"/>
        <v>38248320.409999996</v>
      </c>
      <c r="AS62" s="14">
        <v>41081498.799999997</v>
      </c>
      <c r="AT62" s="14">
        <f t="shared" si="48"/>
        <v>41081498.799999997</v>
      </c>
      <c r="AU62" s="14">
        <f t="shared" si="48"/>
        <v>41081498.799999997</v>
      </c>
      <c r="AV62" s="14">
        <f t="shared" si="48"/>
        <v>41081498.799999997</v>
      </c>
      <c r="AW62" s="14">
        <f t="shared" si="48"/>
        <v>41081498.799999997</v>
      </c>
      <c r="AX62" s="14">
        <f t="shared" si="48"/>
        <v>41081498.799999997</v>
      </c>
      <c r="AY62" s="14">
        <f t="shared" si="48"/>
        <v>41081498.799999997</v>
      </c>
      <c r="AZ62" s="14">
        <f t="shared" si="48"/>
        <v>41081498.799999997</v>
      </c>
      <c r="BA62" s="14">
        <f t="shared" si="48"/>
        <v>41081498.799999997</v>
      </c>
      <c r="BB62" s="14">
        <f t="shared" si="48"/>
        <v>36081498.799999997</v>
      </c>
      <c r="BC62" s="230">
        <f t="shared" si="48"/>
        <v>36081498.799999997</v>
      </c>
      <c r="BD62" s="14">
        <f t="shared" si="48"/>
        <v>36081498.799999997</v>
      </c>
      <c r="BE62" s="14">
        <f t="shared" si="48"/>
        <v>36081498.799999997</v>
      </c>
      <c r="BF62" s="14">
        <f t="shared" si="48"/>
        <v>36081498.799999997</v>
      </c>
      <c r="BG62" s="14">
        <f t="shared" si="48"/>
        <v>36081498.799999997</v>
      </c>
      <c r="BH62" s="14">
        <f t="shared" si="48"/>
        <v>36081498.799999997</v>
      </c>
      <c r="BI62" s="14">
        <f t="shared" si="48"/>
        <v>36081498.799999997</v>
      </c>
      <c r="BJ62" s="14">
        <f t="shared" si="48"/>
        <v>36081498.799999997</v>
      </c>
      <c r="BK62" s="14">
        <v>36090111.920000002</v>
      </c>
      <c r="BL62" s="14">
        <f t="shared" si="48"/>
        <v>36090111.920000002</v>
      </c>
      <c r="BM62" s="14">
        <f t="shared" si="48"/>
        <v>36090111.920000002</v>
      </c>
      <c r="BN62" s="39">
        <f t="shared" si="48"/>
        <v>36090111.920000002</v>
      </c>
      <c r="BO62" s="14">
        <v>36095572.780000001</v>
      </c>
      <c r="BP62" s="14">
        <f t="shared" si="49"/>
        <v>36095572.780000001</v>
      </c>
      <c r="BQ62" s="14">
        <f t="shared" si="49"/>
        <v>36095572.780000001</v>
      </c>
      <c r="BR62" s="14">
        <f t="shared" si="49"/>
        <v>36095572.780000001</v>
      </c>
      <c r="BS62" s="14">
        <f t="shared" si="49"/>
        <v>36095572.780000001</v>
      </c>
      <c r="BT62" s="14">
        <f t="shared" si="49"/>
        <v>36095572.780000001</v>
      </c>
      <c r="BU62" s="14">
        <f t="shared" si="49"/>
        <v>36095572.780000001</v>
      </c>
      <c r="BV62" s="14">
        <f t="shared" si="49"/>
        <v>21095572.780000001</v>
      </c>
      <c r="BW62" s="14">
        <f t="shared" si="49"/>
        <v>21095572.780000001</v>
      </c>
      <c r="BX62" s="14">
        <f t="shared" si="49"/>
        <v>21095572.780000001</v>
      </c>
      <c r="BY62" s="230">
        <f t="shared" si="49"/>
        <v>21095572.780000001</v>
      </c>
      <c r="BZ62" s="14">
        <f t="shared" si="49"/>
        <v>21095572.780000001</v>
      </c>
      <c r="CA62" s="14">
        <f t="shared" si="49"/>
        <v>21095572.780000001</v>
      </c>
      <c r="CB62" s="14">
        <f t="shared" si="49"/>
        <v>21095572.780000001</v>
      </c>
      <c r="CC62" s="14">
        <f t="shared" si="49"/>
        <v>21095572.780000001</v>
      </c>
      <c r="CD62" s="14">
        <f t="shared" si="49"/>
        <v>21095572.780000001</v>
      </c>
      <c r="CE62" s="14">
        <f t="shared" si="49"/>
        <v>21095572.780000001</v>
      </c>
      <c r="CF62" s="14">
        <f t="shared" si="49"/>
        <v>21095572.780000001</v>
      </c>
      <c r="CG62" s="14">
        <f t="shared" si="49"/>
        <v>21095572.780000001</v>
      </c>
      <c r="CH62" s="39">
        <f t="shared" si="49"/>
        <v>21095572.780000001</v>
      </c>
      <c r="CI62" s="14">
        <v>21105699.550000001</v>
      </c>
      <c r="CJ62" s="14">
        <f t="shared" si="50"/>
        <v>21105699.550000001</v>
      </c>
      <c r="CK62" s="14">
        <f t="shared" si="50"/>
        <v>21105699.550000001</v>
      </c>
      <c r="CL62" s="14">
        <f t="shared" si="50"/>
        <v>21105699.550000001</v>
      </c>
      <c r="CM62" s="14">
        <f t="shared" si="50"/>
        <v>21105699.550000001</v>
      </c>
      <c r="CN62" s="14">
        <f t="shared" si="50"/>
        <v>21105699.550000001</v>
      </c>
      <c r="CO62" s="14">
        <f t="shared" si="50"/>
        <v>21105699.550000001</v>
      </c>
      <c r="CP62" s="14">
        <f t="shared" si="50"/>
        <v>21105699.550000001</v>
      </c>
      <c r="CQ62" s="14">
        <f t="shared" si="50"/>
        <v>3105699.5500000007</v>
      </c>
      <c r="CR62" s="14">
        <f t="shared" si="50"/>
        <v>3105699.5500000007</v>
      </c>
      <c r="CS62" s="230">
        <f t="shared" si="50"/>
        <v>3105699.5500000007</v>
      </c>
      <c r="CT62" s="14">
        <f t="shared" si="50"/>
        <v>3105699.5500000007</v>
      </c>
      <c r="CU62" s="14">
        <f t="shared" si="50"/>
        <v>3105699.5500000007</v>
      </c>
      <c r="CV62" s="14">
        <f t="shared" si="50"/>
        <v>3105699.5500000007</v>
      </c>
      <c r="CW62" s="14">
        <f t="shared" si="50"/>
        <v>3105699.5500000007</v>
      </c>
      <c r="CX62" s="14">
        <f t="shared" si="50"/>
        <v>3105699.5500000007</v>
      </c>
      <c r="CY62" s="14">
        <f t="shared" si="50"/>
        <v>3105699.5500000007</v>
      </c>
      <c r="CZ62" s="14">
        <f t="shared" si="50"/>
        <v>3105699.5500000007</v>
      </c>
      <c r="DA62" s="14">
        <f t="shared" si="50"/>
        <v>3105699.5500000007</v>
      </c>
      <c r="DB62" s="14">
        <f t="shared" si="50"/>
        <v>3105699.5500000007</v>
      </c>
      <c r="DC62" s="14">
        <f t="shared" si="50"/>
        <v>3105699.5500000007</v>
      </c>
      <c r="DD62" s="39">
        <f t="shared" si="50"/>
        <v>3105699.5500000007</v>
      </c>
      <c r="DE62" s="14">
        <v>3108026.97</v>
      </c>
      <c r="DF62" s="14">
        <f t="shared" si="50"/>
        <v>3108026.97</v>
      </c>
      <c r="DG62" s="14">
        <f t="shared" si="50"/>
        <v>3108026.97</v>
      </c>
      <c r="DH62" s="14">
        <f t="shared" si="50"/>
        <v>3108026.97</v>
      </c>
      <c r="DI62" s="14">
        <f t="shared" si="50"/>
        <v>3108026.97</v>
      </c>
      <c r="DJ62" s="14">
        <f t="shared" si="50"/>
        <v>3108026.97</v>
      </c>
      <c r="DK62" s="14">
        <f t="shared" si="50"/>
        <v>3108026.97</v>
      </c>
      <c r="DL62" s="14">
        <f t="shared" si="50"/>
        <v>3108026.97</v>
      </c>
      <c r="DM62" s="14">
        <f t="shared" si="50"/>
        <v>8026.9700000002049</v>
      </c>
      <c r="DN62" s="230">
        <f t="shared" si="50"/>
        <v>8026.9700000002049</v>
      </c>
      <c r="DO62" s="14">
        <f t="shared" si="50"/>
        <v>8026.9700000002049</v>
      </c>
      <c r="DP62" s="14">
        <f t="shared" si="50"/>
        <v>8026.9700000002049</v>
      </c>
      <c r="DQ62" s="14">
        <f t="shared" si="50"/>
        <v>8026.9700000002049</v>
      </c>
      <c r="DR62" s="14">
        <f t="shared" si="50"/>
        <v>8026.9700000002049</v>
      </c>
      <c r="DS62" s="14">
        <f t="shared" si="50"/>
        <v>8026.9700000002049</v>
      </c>
      <c r="DT62" s="14">
        <f t="shared" si="50"/>
        <v>8026.9700000002049</v>
      </c>
      <c r="DU62" s="14">
        <f t="shared" si="50"/>
        <v>8026.9700000002049</v>
      </c>
      <c r="DV62" s="14">
        <f t="shared" si="50"/>
        <v>8026.9700000002049</v>
      </c>
      <c r="DW62" s="14">
        <f t="shared" si="50"/>
        <v>8026.9700000002049</v>
      </c>
      <c r="DX62" s="14">
        <f t="shared" si="50"/>
        <v>8026.9700000002049</v>
      </c>
      <c r="DY62" s="14">
        <f t="shared" si="50"/>
        <v>8026.9700000002049</v>
      </c>
      <c r="DZ62" s="39">
        <v>8440.08</v>
      </c>
      <c r="EA62" s="14">
        <f t="shared" si="50"/>
        <v>8440.08</v>
      </c>
      <c r="EB62" s="14">
        <f t="shared" si="50"/>
        <v>8440.08</v>
      </c>
      <c r="EC62" s="14">
        <f t="shared" si="50"/>
        <v>8440.08</v>
      </c>
      <c r="ED62" s="14">
        <f t="shared" si="50"/>
        <v>8440.08</v>
      </c>
      <c r="EE62" s="14">
        <f t="shared" si="50"/>
        <v>8440.08</v>
      </c>
      <c r="EF62" s="14">
        <f t="shared" si="50"/>
        <v>8440.08</v>
      </c>
      <c r="EG62" s="14">
        <f t="shared" si="50"/>
        <v>8440.08</v>
      </c>
      <c r="EH62" s="14">
        <f t="shared" si="50"/>
        <v>8440.08</v>
      </c>
      <c r="EI62" s="14">
        <f t="shared" si="50"/>
        <v>8440.08</v>
      </c>
      <c r="EJ62" s="230">
        <f t="shared" si="50"/>
        <v>8440.08</v>
      </c>
      <c r="EK62" s="14">
        <f t="shared" si="50"/>
        <v>8440.08</v>
      </c>
      <c r="EL62" s="14">
        <f t="shared" si="50"/>
        <v>8440.08</v>
      </c>
      <c r="EM62" s="14">
        <f t="shared" si="50"/>
        <v>8440.08</v>
      </c>
      <c r="EN62" s="14">
        <f t="shared" si="50"/>
        <v>8440.08</v>
      </c>
      <c r="EO62" s="14">
        <f t="shared" si="50"/>
        <v>8440.08</v>
      </c>
      <c r="EP62" s="14">
        <f t="shared" si="50"/>
        <v>8440.08</v>
      </c>
      <c r="EQ62" s="14">
        <f t="shared" si="50"/>
        <v>8440.08</v>
      </c>
      <c r="ER62" s="14">
        <f t="shared" si="50"/>
        <v>8440.08</v>
      </c>
      <c r="ES62" s="14">
        <f t="shared" si="50"/>
        <v>8440.08</v>
      </c>
      <c r="ET62" s="14">
        <f t="shared" si="50"/>
        <v>8440.08</v>
      </c>
      <c r="EU62" s="39">
        <f t="shared" si="50"/>
        <v>8440.08</v>
      </c>
      <c r="EV62" s="14">
        <f t="shared" si="51"/>
        <v>8440.08</v>
      </c>
      <c r="EW62" s="14">
        <f t="shared" si="51"/>
        <v>8440.08</v>
      </c>
      <c r="EX62" s="14">
        <f t="shared" si="51"/>
        <v>8440.08</v>
      </c>
      <c r="EY62" s="14">
        <f t="shared" si="51"/>
        <v>8440.08</v>
      </c>
      <c r="EZ62" s="14">
        <f t="shared" si="51"/>
        <v>8440.08</v>
      </c>
      <c r="FA62" s="14">
        <f t="shared" si="51"/>
        <v>8440.08</v>
      </c>
      <c r="FB62" s="14">
        <f t="shared" si="51"/>
        <v>8440.08</v>
      </c>
      <c r="FC62" s="14">
        <f t="shared" si="51"/>
        <v>8440.08</v>
      </c>
      <c r="FD62" s="14">
        <f t="shared" si="51"/>
        <v>8440.08</v>
      </c>
      <c r="FE62" s="230">
        <f t="shared" si="51"/>
        <v>8440.08</v>
      </c>
      <c r="FF62" s="14">
        <f t="shared" si="51"/>
        <v>8440.08</v>
      </c>
      <c r="FG62" s="14">
        <f t="shared" si="51"/>
        <v>8440.08</v>
      </c>
      <c r="FH62" s="14">
        <f t="shared" si="51"/>
        <v>8440.08</v>
      </c>
      <c r="FI62" s="14">
        <f t="shared" si="51"/>
        <v>8440.08</v>
      </c>
      <c r="FJ62" s="230">
        <f t="shared" si="51"/>
        <v>8440.08</v>
      </c>
      <c r="FK62" s="14">
        <f t="shared" si="51"/>
        <v>8440.08</v>
      </c>
      <c r="FL62" s="14">
        <f t="shared" si="51"/>
        <v>8440.08</v>
      </c>
      <c r="FM62" s="14">
        <f t="shared" si="51"/>
        <v>8440.08</v>
      </c>
      <c r="FN62" s="14">
        <f t="shared" si="51"/>
        <v>8440.08</v>
      </c>
      <c r="FO62" s="14">
        <f>FN62-FO24+5000000</f>
        <v>5008440.08</v>
      </c>
      <c r="FP62" s="39">
        <f t="shared" si="51"/>
        <v>5008440.08</v>
      </c>
      <c r="FQ62" s="14">
        <f t="shared" si="51"/>
        <v>5008440.08</v>
      </c>
      <c r="FR62" s="14">
        <f t="shared" si="51"/>
        <v>5008440.08</v>
      </c>
      <c r="FS62" s="14">
        <f t="shared" si="51"/>
        <v>5008440.08</v>
      </c>
      <c r="FT62" s="14">
        <f t="shared" si="51"/>
        <v>5008440.08</v>
      </c>
      <c r="FU62" s="14">
        <f t="shared" si="51"/>
        <v>5008440.08</v>
      </c>
      <c r="FV62" s="14">
        <f t="shared" si="51"/>
        <v>5008440.08</v>
      </c>
      <c r="FW62" s="14">
        <f t="shared" si="51"/>
        <v>5008440.08</v>
      </c>
      <c r="FX62" s="14">
        <f t="shared" si="51"/>
        <v>5008440.08</v>
      </c>
      <c r="FY62" s="14">
        <f t="shared" si="51"/>
        <v>5008440.08</v>
      </c>
      <c r="FZ62" s="230">
        <f t="shared" si="51"/>
        <v>5008440.08</v>
      </c>
      <c r="GA62" s="14">
        <f t="shared" si="51"/>
        <v>5008440.08</v>
      </c>
      <c r="GB62" s="14">
        <f t="shared" si="51"/>
        <v>5008440.08</v>
      </c>
      <c r="GC62" s="14">
        <f t="shared" si="51"/>
        <v>5008440.08</v>
      </c>
      <c r="GD62" s="14">
        <f t="shared" si="51"/>
        <v>5008440.08</v>
      </c>
      <c r="GE62" s="14">
        <f t="shared" si="51"/>
        <v>5008440.08</v>
      </c>
      <c r="GF62" s="14">
        <f t="shared" si="51"/>
        <v>5008440.08</v>
      </c>
      <c r="GG62" s="14">
        <f t="shared" si="51"/>
        <v>5008440.08</v>
      </c>
      <c r="GH62" s="14">
        <f t="shared" si="51"/>
        <v>5008440.08</v>
      </c>
      <c r="GI62" s="14">
        <f t="shared" si="51"/>
        <v>5008440.08</v>
      </c>
      <c r="GJ62" s="14">
        <f t="shared" si="51"/>
        <v>5008440.08</v>
      </c>
      <c r="GK62" s="39">
        <f t="shared" si="51"/>
        <v>5008440.08</v>
      </c>
      <c r="GL62" s="14">
        <f t="shared" si="51"/>
        <v>5008440.08</v>
      </c>
      <c r="GM62" s="14">
        <f t="shared" si="51"/>
        <v>5008440.08</v>
      </c>
      <c r="GN62" s="14">
        <f t="shared" si="51"/>
        <v>5008440.08</v>
      </c>
      <c r="GO62" s="14">
        <f t="shared" si="51"/>
        <v>5008440.08</v>
      </c>
      <c r="GP62" s="14">
        <f t="shared" si="51"/>
        <v>5008440.08</v>
      </c>
      <c r="GQ62" s="14">
        <f t="shared" si="51"/>
        <v>5008440.08</v>
      </c>
      <c r="GR62" s="14">
        <f t="shared" si="51"/>
        <v>5008440.08</v>
      </c>
      <c r="GS62" s="14">
        <f t="shared" si="51"/>
        <v>5008440.08</v>
      </c>
      <c r="GT62" s="230">
        <f t="shared" si="51"/>
        <v>5008440.08</v>
      </c>
      <c r="GU62" s="14">
        <f t="shared" si="51"/>
        <v>5008440.08</v>
      </c>
      <c r="GV62" s="14">
        <f t="shared" si="51"/>
        <v>5008440.08</v>
      </c>
      <c r="GW62" s="14">
        <f t="shared" si="51"/>
        <v>5008440.08</v>
      </c>
      <c r="GX62" s="14">
        <f t="shared" si="51"/>
        <v>5008440.08</v>
      </c>
      <c r="GY62" s="14">
        <f t="shared" si="51"/>
        <v>5008440.08</v>
      </c>
      <c r="GZ62" s="14">
        <f t="shared" si="51"/>
        <v>5008440.08</v>
      </c>
      <c r="HA62" s="14">
        <f t="shared" si="51"/>
        <v>5008440.08</v>
      </c>
      <c r="HB62" s="14">
        <f t="shared" si="51"/>
        <v>5008440.08</v>
      </c>
      <c r="HC62" s="14">
        <f t="shared" si="51"/>
        <v>5008440.08</v>
      </c>
      <c r="HD62" s="39">
        <f t="shared" si="51"/>
        <v>5008440.08</v>
      </c>
      <c r="HE62" s="14">
        <v>5011192.8499999996</v>
      </c>
      <c r="HF62" s="14">
        <f t="shared" si="51"/>
        <v>5011192.8499999996</v>
      </c>
      <c r="HG62" s="14">
        <f t="shared" si="51"/>
        <v>5011192.8499999996</v>
      </c>
      <c r="HH62" s="14">
        <f t="shared" si="52"/>
        <v>5011192.8499999996</v>
      </c>
      <c r="HI62" s="14">
        <f t="shared" si="52"/>
        <v>5011192.8499999996</v>
      </c>
      <c r="HJ62" s="14">
        <f t="shared" si="52"/>
        <v>5011192.8499999996</v>
      </c>
      <c r="HK62" s="14">
        <f t="shared" si="52"/>
        <v>5011192.8499999996</v>
      </c>
      <c r="HL62" s="14">
        <f t="shared" si="52"/>
        <v>5011192.8499999996</v>
      </c>
      <c r="HM62" s="14">
        <f t="shared" si="52"/>
        <v>5011192.8499999996</v>
      </c>
      <c r="HN62" s="14">
        <f t="shared" si="52"/>
        <v>11192.849999999627</v>
      </c>
      <c r="HO62" s="230">
        <f t="shared" si="52"/>
        <v>11192.849999999627</v>
      </c>
      <c r="HP62" s="14">
        <f t="shared" si="52"/>
        <v>11192.849999999627</v>
      </c>
      <c r="HQ62" s="14">
        <f t="shared" si="52"/>
        <v>11192.849999999627</v>
      </c>
      <c r="HR62" s="14">
        <f t="shared" si="52"/>
        <v>11192.849999999627</v>
      </c>
      <c r="HS62" s="14">
        <f t="shared" si="52"/>
        <v>11192.849999999627</v>
      </c>
      <c r="HT62" s="14">
        <f t="shared" si="52"/>
        <v>11192.849999999627</v>
      </c>
      <c r="HU62" s="14">
        <f t="shared" si="52"/>
        <v>11192.849999999627</v>
      </c>
      <c r="HV62" s="14">
        <f t="shared" si="52"/>
        <v>11192.849999999627</v>
      </c>
      <c r="HW62" s="14">
        <f t="shared" si="52"/>
        <v>11192.849999999627</v>
      </c>
      <c r="HX62" s="14">
        <f t="shared" si="52"/>
        <v>11192.849999999627</v>
      </c>
      <c r="HY62" s="14">
        <f>HX62-HY24+6000000</f>
        <v>6011192.8499999996</v>
      </c>
      <c r="HZ62" s="39">
        <f t="shared" si="52"/>
        <v>6011192.8499999996</v>
      </c>
      <c r="IA62" s="14">
        <f t="shared" si="52"/>
        <v>6011192.8499999996</v>
      </c>
      <c r="IB62" s="14">
        <f t="shared" si="52"/>
        <v>6011192.8499999996</v>
      </c>
      <c r="IC62" s="14">
        <f>IB62-IC24+12000000</f>
        <v>18011192.850000001</v>
      </c>
      <c r="ID62" s="14">
        <f t="shared" si="52"/>
        <v>18011192.850000001</v>
      </c>
      <c r="IE62" s="14">
        <f t="shared" si="52"/>
        <v>18011192.850000001</v>
      </c>
      <c r="IF62" s="14">
        <f t="shared" si="52"/>
        <v>18011192.850000001</v>
      </c>
      <c r="IG62" s="14">
        <f t="shared" si="52"/>
        <v>18011192.850000001</v>
      </c>
      <c r="IH62" s="14">
        <f t="shared" si="52"/>
        <v>18011192.850000001</v>
      </c>
      <c r="II62" s="14">
        <f t="shared" si="52"/>
        <v>18011192.850000001</v>
      </c>
      <c r="IJ62" s="230">
        <f t="shared" si="52"/>
        <v>18011192.850000001</v>
      </c>
      <c r="IK62" s="14">
        <f t="shared" si="52"/>
        <v>18011192.850000001</v>
      </c>
      <c r="IL62" s="14">
        <f t="shared" si="52"/>
        <v>18011192.850000001</v>
      </c>
      <c r="IM62" s="14">
        <f>IL62-IM24+25000000</f>
        <v>43011192.850000001</v>
      </c>
      <c r="IN62" s="14">
        <f t="shared" si="52"/>
        <v>43011192.850000001</v>
      </c>
      <c r="IO62" s="14">
        <f t="shared" si="52"/>
        <v>43011192.850000001</v>
      </c>
      <c r="IP62" s="14">
        <f t="shared" si="52"/>
        <v>43011192.850000001</v>
      </c>
      <c r="IQ62" s="14">
        <f t="shared" si="52"/>
        <v>43011192.850000001</v>
      </c>
      <c r="IR62" s="14">
        <f>IQ62-IR24+34100000</f>
        <v>77111192.849999994</v>
      </c>
      <c r="IS62" s="14">
        <f t="shared" si="52"/>
        <v>77111192.849999994</v>
      </c>
      <c r="IT62" s="39">
        <f t="shared" si="52"/>
        <v>77111192.849999994</v>
      </c>
      <c r="IU62" s="14"/>
    </row>
    <row r="63" spans="1:255" ht="14.1" customHeight="1">
      <c r="A63" s="14" t="s">
        <v>19</v>
      </c>
      <c r="B63" s="14"/>
      <c r="C63" s="39">
        <f>16036837.1+10000000+16885.13</f>
        <v>26053722.23</v>
      </c>
      <c r="D63" s="14">
        <f t="shared" si="45"/>
        <v>26053722.23</v>
      </c>
      <c r="E63" s="14">
        <f t="shared" si="45"/>
        <v>26053722.23</v>
      </c>
      <c r="F63" s="14">
        <f t="shared" si="45"/>
        <v>26053722.23</v>
      </c>
      <c r="G63" s="14">
        <f t="shared" si="45"/>
        <v>26053722.23</v>
      </c>
      <c r="H63" s="14">
        <f t="shared" si="45"/>
        <v>26053722.23</v>
      </c>
      <c r="I63" s="14">
        <f>H63-I25+35000000</f>
        <v>61053722.230000004</v>
      </c>
      <c r="J63" s="14">
        <f t="shared" si="46"/>
        <v>61053722.230000004</v>
      </c>
      <c r="K63" s="14">
        <f t="shared" si="46"/>
        <v>61053722.230000004</v>
      </c>
      <c r="L63" s="14">
        <f t="shared" si="46"/>
        <v>51053722.230000004</v>
      </c>
      <c r="M63" s="230">
        <f t="shared" si="46"/>
        <v>51053722.230000004</v>
      </c>
      <c r="N63" s="14">
        <f t="shared" si="46"/>
        <v>51053722.230000004</v>
      </c>
      <c r="O63" s="14">
        <f t="shared" si="46"/>
        <v>51053722.230000004</v>
      </c>
      <c r="P63" s="14">
        <f t="shared" si="46"/>
        <v>51053722.230000004</v>
      </c>
      <c r="Q63" s="14">
        <f t="shared" si="46"/>
        <v>51053722.230000004</v>
      </c>
      <c r="R63" s="14">
        <f t="shared" si="46"/>
        <v>51053722.230000004</v>
      </c>
      <c r="S63" s="14">
        <f t="shared" si="46"/>
        <v>51053722.230000004</v>
      </c>
      <c r="T63" s="14">
        <f>S63-T25+20000000</f>
        <v>71053722.230000004</v>
      </c>
      <c r="U63" s="14">
        <f>T63-U25</f>
        <v>71053722.230000004</v>
      </c>
      <c r="V63" s="39">
        <f>U63-V25+33509.55</f>
        <v>71087231.780000001</v>
      </c>
      <c r="W63" s="14">
        <f t="shared" si="47"/>
        <v>71087231.780000001</v>
      </c>
      <c r="X63" s="14">
        <f t="shared" si="47"/>
        <v>71087231.780000001</v>
      </c>
      <c r="Y63" s="14">
        <f t="shared" si="47"/>
        <v>71087231.780000001</v>
      </c>
      <c r="Z63" s="14">
        <f t="shared" si="47"/>
        <v>71087231.780000001</v>
      </c>
      <c r="AA63" s="14">
        <f t="shared" si="47"/>
        <v>71087231.780000001</v>
      </c>
      <c r="AB63" s="14">
        <f t="shared" si="47"/>
        <v>71087231.780000001</v>
      </c>
      <c r="AC63" s="14">
        <f t="shared" si="47"/>
        <v>71087231.780000001</v>
      </c>
      <c r="AD63" s="14">
        <f t="shared" si="47"/>
        <v>71087231.780000001</v>
      </c>
      <c r="AE63" s="14">
        <f t="shared" si="47"/>
        <v>71087231.780000001</v>
      </c>
      <c r="AF63" s="230">
        <f t="shared" si="47"/>
        <v>71087231.780000001</v>
      </c>
      <c r="AG63" s="14">
        <f t="shared" si="47"/>
        <v>71087231.780000001</v>
      </c>
      <c r="AH63" s="14">
        <f t="shared" si="47"/>
        <v>71087231.780000001</v>
      </c>
      <c r="AI63" s="14">
        <f t="shared" si="47"/>
        <v>71087231.780000001</v>
      </c>
      <c r="AJ63" s="14">
        <f t="shared" si="47"/>
        <v>71087231.780000001</v>
      </c>
      <c r="AK63" s="14">
        <f t="shared" si="47"/>
        <v>71087231.780000001</v>
      </c>
      <c r="AL63" s="14">
        <f t="shared" si="47"/>
        <v>71087231.780000001</v>
      </c>
      <c r="AM63" s="14">
        <f t="shared" si="47"/>
        <v>71087231.780000001</v>
      </c>
      <c r="AN63" s="14">
        <f t="shared" si="47"/>
        <v>71087231.780000001</v>
      </c>
      <c r="AO63" s="14">
        <f t="shared" si="47"/>
        <v>71087231.780000001</v>
      </c>
      <c r="AP63" s="14">
        <f t="shared" si="47"/>
        <v>71087231.780000001</v>
      </c>
      <c r="AQ63" s="14">
        <f t="shared" si="47"/>
        <v>71087231.780000001</v>
      </c>
      <c r="AR63" s="39">
        <f t="shared" si="47"/>
        <v>71087231.780000001</v>
      </c>
      <c r="AS63" s="14">
        <f>AR63-AS25+49203.74</f>
        <v>71136435.519999996</v>
      </c>
      <c r="AT63" s="14">
        <f t="shared" si="48"/>
        <v>71136435.519999996</v>
      </c>
      <c r="AU63" s="14">
        <f t="shared" si="48"/>
        <v>71136435.519999996</v>
      </c>
      <c r="AV63" s="14">
        <f t="shared" si="48"/>
        <v>71136435.519999996</v>
      </c>
      <c r="AW63" s="14">
        <f t="shared" si="48"/>
        <v>71136435.519999996</v>
      </c>
      <c r="AX63" s="14">
        <f t="shared" si="48"/>
        <v>71136435.519999996</v>
      </c>
      <c r="AY63" s="14">
        <f t="shared" si="48"/>
        <v>71136435.519999996</v>
      </c>
      <c r="AZ63" s="14">
        <f t="shared" si="48"/>
        <v>71136435.519999996</v>
      </c>
      <c r="BA63" s="14">
        <f t="shared" si="48"/>
        <v>71136435.519999996</v>
      </c>
      <c r="BB63" s="14">
        <f t="shared" si="48"/>
        <v>41136435.519999996</v>
      </c>
      <c r="BC63" s="230">
        <f t="shared" si="48"/>
        <v>41136435.519999996</v>
      </c>
      <c r="BD63" s="14">
        <f t="shared" si="48"/>
        <v>41136435.519999996</v>
      </c>
      <c r="BE63" s="14">
        <f t="shared" si="48"/>
        <v>41136435.519999996</v>
      </c>
      <c r="BF63" s="14">
        <f t="shared" si="48"/>
        <v>41136435.519999996</v>
      </c>
      <c r="BG63" s="14">
        <f t="shared" si="48"/>
        <v>41136435.519999996</v>
      </c>
      <c r="BH63" s="14">
        <f t="shared" si="48"/>
        <v>41136435.519999996</v>
      </c>
      <c r="BI63" s="14">
        <f t="shared" si="48"/>
        <v>41136435.519999996</v>
      </c>
      <c r="BJ63" s="14">
        <f t="shared" si="48"/>
        <v>41136435.519999996</v>
      </c>
      <c r="BK63" s="14">
        <f>BJ63-BK25</f>
        <v>41136435.519999996</v>
      </c>
      <c r="BL63" s="14">
        <f t="shared" si="48"/>
        <v>41136435.519999996</v>
      </c>
      <c r="BM63" s="14">
        <f t="shared" si="48"/>
        <v>41136435.519999996</v>
      </c>
      <c r="BN63" s="39">
        <f t="shared" si="48"/>
        <v>41136435.519999996</v>
      </c>
      <c r="BO63" s="14">
        <f>BN63-BO25+32004.22</f>
        <v>41168439.739999995</v>
      </c>
      <c r="BP63" s="14">
        <f t="shared" si="49"/>
        <v>41168439.739999995</v>
      </c>
      <c r="BQ63" s="14">
        <f t="shared" si="49"/>
        <v>41168439.739999995</v>
      </c>
      <c r="BR63" s="14">
        <f t="shared" si="49"/>
        <v>41168439.739999995</v>
      </c>
      <c r="BS63" s="14">
        <f t="shared" si="49"/>
        <v>41168439.739999995</v>
      </c>
      <c r="BT63" s="14">
        <f t="shared" si="49"/>
        <v>41168439.739999995</v>
      </c>
      <c r="BU63" s="14">
        <f t="shared" si="49"/>
        <v>41168439.739999995</v>
      </c>
      <c r="BV63" s="14">
        <f t="shared" si="49"/>
        <v>28168439.739999995</v>
      </c>
      <c r="BW63" s="14">
        <f t="shared" si="49"/>
        <v>28168439.739999995</v>
      </c>
      <c r="BX63" s="14">
        <f t="shared" si="49"/>
        <v>28168439.739999995</v>
      </c>
      <c r="BY63" s="230">
        <f t="shared" si="49"/>
        <v>28168439.739999995</v>
      </c>
      <c r="BZ63" s="14">
        <f t="shared" si="49"/>
        <v>28168439.739999995</v>
      </c>
      <c r="CA63" s="14">
        <f t="shared" si="49"/>
        <v>28168439.739999995</v>
      </c>
      <c r="CB63" s="14">
        <f t="shared" si="49"/>
        <v>28168439.739999995</v>
      </c>
      <c r="CC63" s="14">
        <f t="shared" si="49"/>
        <v>28168439.739999995</v>
      </c>
      <c r="CD63" s="14">
        <f t="shared" si="49"/>
        <v>28168439.739999995</v>
      </c>
      <c r="CE63" s="14">
        <f t="shared" si="49"/>
        <v>20168439.739999995</v>
      </c>
      <c r="CF63" s="14">
        <f t="shared" si="49"/>
        <v>20168439.739999995</v>
      </c>
      <c r="CG63" s="14">
        <f t="shared" si="49"/>
        <v>20168439.739999995</v>
      </c>
      <c r="CH63" s="39">
        <f t="shared" si="49"/>
        <v>20168439.739999995</v>
      </c>
      <c r="CI63" s="14">
        <v>20184530.359999999</v>
      </c>
      <c r="CJ63" s="14">
        <f t="shared" si="50"/>
        <v>20184530.359999999</v>
      </c>
      <c r="CK63" s="14">
        <f t="shared" si="50"/>
        <v>20184530.359999999</v>
      </c>
      <c r="CL63" s="14">
        <f t="shared" si="50"/>
        <v>20184530.359999999</v>
      </c>
      <c r="CM63" s="14">
        <f t="shared" si="50"/>
        <v>20184530.359999999</v>
      </c>
      <c r="CN63" s="14">
        <f t="shared" si="50"/>
        <v>20184530.359999999</v>
      </c>
      <c r="CO63" s="14">
        <f t="shared" si="50"/>
        <v>20184530.359999999</v>
      </c>
      <c r="CP63" s="14">
        <f t="shared" si="50"/>
        <v>20184530.359999999</v>
      </c>
      <c r="CQ63" s="14">
        <f t="shared" si="50"/>
        <v>3184530.3599999994</v>
      </c>
      <c r="CR63" s="14">
        <f t="shared" si="50"/>
        <v>3184530.3599999994</v>
      </c>
      <c r="CS63" s="230">
        <f t="shared" si="50"/>
        <v>3184530.3599999994</v>
      </c>
      <c r="CT63" s="14">
        <f t="shared" si="50"/>
        <v>3184530.3599999994</v>
      </c>
      <c r="CU63" s="14">
        <f t="shared" si="50"/>
        <v>3184530.3599999994</v>
      </c>
      <c r="CV63" s="14">
        <f t="shared" si="50"/>
        <v>3184530.3599999994</v>
      </c>
      <c r="CW63" s="14">
        <f t="shared" si="50"/>
        <v>3184530.3599999994</v>
      </c>
      <c r="CX63" s="14">
        <f t="shared" si="50"/>
        <v>3184530.3599999994</v>
      </c>
      <c r="CY63" s="14">
        <f t="shared" si="50"/>
        <v>3184530.3599999994</v>
      </c>
      <c r="CZ63" s="14">
        <f t="shared" si="50"/>
        <v>3184530.3599999994</v>
      </c>
      <c r="DA63" s="14">
        <f t="shared" si="50"/>
        <v>3184530.3599999994</v>
      </c>
      <c r="DB63" s="14">
        <f t="shared" si="50"/>
        <v>3184530.3599999994</v>
      </c>
      <c r="DC63" s="14">
        <f t="shared" si="50"/>
        <v>3184530.3599999994</v>
      </c>
      <c r="DD63" s="39">
        <f t="shared" si="50"/>
        <v>3184530.3599999994</v>
      </c>
      <c r="DE63" s="14">
        <v>3188538.84</v>
      </c>
      <c r="DF63" s="14">
        <f t="shared" si="50"/>
        <v>3188538.84</v>
      </c>
      <c r="DG63" s="14">
        <f t="shared" si="50"/>
        <v>3188538.84</v>
      </c>
      <c r="DH63" s="14">
        <f t="shared" si="50"/>
        <v>3188538.84</v>
      </c>
      <c r="DI63" s="14">
        <f t="shared" si="50"/>
        <v>3188538.84</v>
      </c>
      <c r="DJ63" s="14">
        <f t="shared" si="50"/>
        <v>3188538.84</v>
      </c>
      <c r="DK63" s="14">
        <f t="shared" si="50"/>
        <v>3188538.84</v>
      </c>
      <c r="DL63" s="14">
        <f t="shared" si="50"/>
        <v>3188538.84</v>
      </c>
      <c r="DM63" s="14">
        <f t="shared" si="50"/>
        <v>8538.839999999851</v>
      </c>
      <c r="DN63" s="230">
        <f t="shared" si="50"/>
        <v>8538.839999999851</v>
      </c>
      <c r="DO63" s="14">
        <f t="shared" si="50"/>
        <v>8538.839999999851</v>
      </c>
      <c r="DP63" s="14">
        <f t="shared" si="50"/>
        <v>8538.839999999851</v>
      </c>
      <c r="DQ63" s="14">
        <f t="shared" si="50"/>
        <v>8538.839999999851</v>
      </c>
      <c r="DR63" s="14">
        <f t="shared" si="50"/>
        <v>8538.839999999851</v>
      </c>
      <c r="DS63" s="14">
        <f t="shared" si="50"/>
        <v>8538.839999999851</v>
      </c>
      <c r="DT63" s="14">
        <f t="shared" si="50"/>
        <v>8538.839999999851</v>
      </c>
      <c r="DU63" s="14">
        <f t="shared" si="50"/>
        <v>8538.839999999851</v>
      </c>
      <c r="DV63" s="14">
        <f t="shared" si="50"/>
        <v>8538.839999999851</v>
      </c>
      <c r="DW63" s="14">
        <f t="shared" si="50"/>
        <v>8538.839999999851</v>
      </c>
      <c r="DX63" s="14">
        <f t="shared" si="50"/>
        <v>8538.839999999851</v>
      </c>
      <c r="DY63" s="14">
        <f t="shared" si="50"/>
        <v>8538.839999999851</v>
      </c>
      <c r="DZ63" s="39">
        <v>9115.08</v>
      </c>
      <c r="EA63" s="14">
        <f t="shared" si="50"/>
        <v>9115.08</v>
      </c>
      <c r="EB63" s="14">
        <f t="shared" si="50"/>
        <v>9115.08</v>
      </c>
      <c r="EC63" s="14">
        <f t="shared" si="50"/>
        <v>9115.08</v>
      </c>
      <c r="ED63" s="14">
        <f t="shared" si="50"/>
        <v>9115.08</v>
      </c>
      <c r="EE63" s="14">
        <f t="shared" si="50"/>
        <v>9115.08</v>
      </c>
      <c r="EF63" s="14">
        <f t="shared" si="50"/>
        <v>9115.08</v>
      </c>
      <c r="EG63" s="14">
        <f t="shared" si="50"/>
        <v>9115.08</v>
      </c>
      <c r="EH63" s="14">
        <f t="shared" si="50"/>
        <v>9115.08</v>
      </c>
      <c r="EI63" s="14">
        <f t="shared" si="50"/>
        <v>9115.08</v>
      </c>
      <c r="EJ63" s="230">
        <f t="shared" si="50"/>
        <v>9115.08</v>
      </c>
      <c r="EK63" s="14">
        <f t="shared" si="50"/>
        <v>9115.08</v>
      </c>
      <c r="EL63" s="14">
        <f t="shared" si="50"/>
        <v>9115.08</v>
      </c>
      <c r="EM63" s="14">
        <f t="shared" si="50"/>
        <v>9115.08</v>
      </c>
      <c r="EN63" s="14">
        <f t="shared" si="50"/>
        <v>9115.08</v>
      </c>
      <c r="EO63" s="14">
        <f t="shared" si="50"/>
        <v>9115.08</v>
      </c>
      <c r="EP63" s="14">
        <f t="shared" si="50"/>
        <v>9115.08</v>
      </c>
      <c r="EQ63" s="14">
        <f t="shared" si="50"/>
        <v>9115.08</v>
      </c>
      <c r="ER63" s="14">
        <f t="shared" si="50"/>
        <v>9115.08</v>
      </c>
      <c r="ES63" s="14">
        <f t="shared" si="50"/>
        <v>9115.08</v>
      </c>
      <c r="ET63" s="14">
        <f t="shared" si="50"/>
        <v>9115.08</v>
      </c>
      <c r="EU63" s="39">
        <f t="shared" si="50"/>
        <v>9115.08</v>
      </c>
      <c r="EV63" s="14">
        <f t="shared" si="51"/>
        <v>9115.08</v>
      </c>
      <c r="EW63" s="14">
        <f t="shared" si="51"/>
        <v>9115.08</v>
      </c>
      <c r="EX63" s="14">
        <f t="shared" si="51"/>
        <v>9115.08</v>
      </c>
      <c r="EY63" s="14">
        <f t="shared" si="51"/>
        <v>9115.08</v>
      </c>
      <c r="EZ63" s="14">
        <f t="shared" si="51"/>
        <v>9115.08</v>
      </c>
      <c r="FA63" s="14">
        <f t="shared" si="51"/>
        <v>9115.08</v>
      </c>
      <c r="FB63" s="14">
        <f t="shared" si="51"/>
        <v>9115.08</v>
      </c>
      <c r="FC63" s="14">
        <f t="shared" si="51"/>
        <v>9115.08</v>
      </c>
      <c r="FD63" s="14">
        <f t="shared" si="51"/>
        <v>9115.08</v>
      </c>
      <c r="FE63" s="230">
        <f t="shared" si="51"/>
        <v>9115.08</v>
      </c>
      <c r="FF63" s="14">
        <f t="shared" si="51"/>
        <v>9115.08</v>
      </c>
      <c r="FG63" s="14">
        <f t="shared" si="51"/>
        <v>9115.08</v>
      </c>
      <c r="FH63" s="14">
        <f t="shared" si="51"/>
        <v>9115.08</v>
      </c>
      <c r="FI63" s="14">
        <f t="shared" si="51"/>
        <v>9115.08</v>
      </c>
      <c r="FJ63" s="230">
        <f t="shared" si="51"/>
        <v>9115.08</v>
      </c>
      <c r="FK63" s="14">
        <f t="shared" si="51"/>
        <v>9115.08</v>
      </c>
      <c r="FL63" s="14">
        <f t="shared" si="51"/>
        <v>9115.08</v>
      </c>
      <c r="FM63" s="14">
        <f t="shared" si="51"/>
        <v>9115.08</v>
      </c>
      <c r="FN63" s="14">
        <f t="shared" si="51"/>
        <v>9115.08</v>
      </c>
      <c r="FO63" s="14">
        <f>FN63-FO25+5000000</f>
        <v>5009115.08</v>
      </c>
      <c r="FP63" s="39">
        <f t="shared" si="51"/>
        <v>5009115.08</v>
      </c>
      <c r="FQ63" s="14">
        <f t="shared" si="51"/>
        <v>5009115.08</v>
      </c>
      <c r="FR63" s="14">
        <f t="shared" si="51"/>
        <v>5009115.08</v>
      </c>
      <c r="FS63" s="14">
        <f t="shared" si="51"/>
        <v>5009115.08</v>
      </c>
      <c r="FT63" s="14">
        <f t="shared" si="51"/>
        <v>5009115.08</v>
      </c>
      <c r="FU63" s="14">
        <f t="shared" si="51"/>
        <v>5009115.08</v>
      </c>
      <c r="FV63" s="14">
        <f t="shared" si="51"/>
        <v>5009115.08</v>
      </c>
      <c r="FW63" s="14">
        <f t="shared" si="51"/>
        <v>5009115.08</v>
      </c>
      <c r="FX63" s="14">
        <f t="shared" si="51"/>
        <v>5009115.08</v>
      </c>
      <c r="FY63" s="14">
        <f t="shared" si="51"/>
        <v>5009115.08</v>
      </c>
      <c r="FZ63" s="230">
        <f t="shared" si="51"/>
        <v>5009115.08</v>
      </c>
      <c r="GA63" s="14">
        <f t="shared" si="51"/>
        <v>5009115.08</v>
      </c>
      <c r="GB63" s="14">
        <f t="shared" si="51"/>
        <v>5009115.08</v>
      </c>
      <c r="GC63" s="14">
        <f t="shared" si="51"/>
        <v>5009115.08</v>
      </c>
      <c r="GD63" s="14">
        <f t="shared" si="51"/>
        <v>5009115.08</v>
      </c>
      <c r="GE63" s="14">
        <f t="shared" si="51"/>
        <v>5009115.08</v>
      </c>
      <c r="GF63" s="14">
        <f t="shared" si="51"/>
        <v>5009115.08</v>
      </c>
      <c r="GG63" s="14">
        <f t="shared" si="51"/>
        <v>5009115.08</v>
      </c>
      <c r="GH63" s="14">
        <f t="shared" si="51"/>
        <v>5009115.08</v>
      </c>
      <c r="GI63" s="14">
        <f t="shared" si="51"/>
        <v>5009115.08</v>
      </c>
      <c r="GJ63" s="14">
        <f t="shared" si="51"/>
        <v>5009115.08</v>
      </c>
      <c r="GK63" s="39">
        <f t="shared" si="51"/>
        <v>5009115.08</v>
      </c>
      <c r="GL63" s="14">
        <f t="shared" si="51"/>
        <v>5009115.08</v>
      </c>
      <c r="GM63" s="14">
        <f t="shared" si="51"/>
        <v>5009115.08</v>
      </c>
      <c r="GN63" s="14">
        <f t="shared" si="51"/>
        <v>5009115.08</v>
      </c>
      <c r="GO63" s="14">
        <f t="shared" si="51"/>
        <v>5009115.08</v>
      </c>
      <c r="GP63" s="14">
        <f t="shared" si="51"/>
        <v>5009115.08</v>
      </c>
      <c r="GQ63" s="14">
        <f t="shared" si="51"/>
        <v>5009115.08</v>
      </c>
      <c r="GR63" s="14">
        <f t="shared" si="51"/>
        <v>5009115.08</v>
      </c>
      <c r="GS63" s="14">
        <f t="shared" si="51"/>
        <v>5009115.08</v>
      </c>
      <c r="GT63" s="230">
        <f t="shared" si="51"/>
        <v>5009115.08</v>
      </c>
      <c r="GU63" s="14">
        <f t="shared" si="51"/>
        <v>5009115.08</v>
      </c>
      <c r="GV63" s="14">
        <f t="shared" si="51"/>
        <v>5009115.08</v>
      </c>
      <c r="GW63" s="14">
        <f t="shared" si="51"/>
        <v>5009115.08</v>
      </c>
      <c r="GX63" s="14">
        <f t="shared" si="51"/>
        <v>5009115.08</v>
      </c>
      <c r="GY63" s="14">
        <f t="shared" si="51"/>
        <v>5009115.08</v>
      </c>
      <c r="GZ63" s="14">
        <f t="shared" si="51"/>
        <v>5009115.08</v>
      </c>
      <c r="HA63" s="14">
        <f t="shared" si="51"/>
        <v>5009115.08</v>
      </c>
      <c r="HB63" s="14">
        <f t="shared" si="51"/>
        <v>5009115.08</v>
      </c>
      <c r="HC63" s="14">
        <f t="shared" si="51"/>
        <v>5009115.08</v>
      </c>
      <c r="HD63" s="39">
        <f t="shared" si="51"/>
        <v>5009115.08</v>
      </c>
      <c r="HE63" s="14">
        <v>5011648.0999999996</v>
      </c>
      <c r="HF63" s="14">
        <f t="shared" si="51"/>
        <v>5011648.0999999996</v>
      </c>
      <c r="HG63" s="14">
        <f t="shared" si="51"/>
        <v>5011648.0999999996</v>
      </c>
      <c r="HH63" s="14">
        <f t="shared" si="52"/>
        <v>5011648.0999999996</v>
      </c>
      <c r="HI63" s="14">
        <f t="shared" si="52"/>
        <v>5011648.0999999996</v>
      </c>
      <c r="HJ63" s="14">
        <f t="shared" si="52"/>
        <v>5011648.0999999996</v>
      </c>
      <c r="HK63" s="14">
        <f t="shared" si="52"/>
        <v>5011648.0999999996</v>
      </c>
      <c r="HL63" s="14">
        <f t="shared" si="52"/>
        <v>5011648.0999999996</v>
      </c>
      <c r="HM63" s="14">
        <f t="shared" si="52"/>
        <v>5011648.0999999996</v>
      </c>
      <c r="HN63" s="14">
        <f t="shared" si="52"/>
        <v>5011648.0999999996</v>
      </c>
      <c r="HO63" s="230">
        <f t="shared" si="52"/>
        <v>11648.099999999627</v>
      </c>
      <c r="HP63" s="14">
        <f t="shared" si="52"/>
        <v>11648.099999999627</v>
      </c>
      <c r="HQ63" s="14">
        <f t="shared" si="52"/>
        <v>11648.099999999627</v>
      </c>
      <c r="HR63" s="14">
        <f t="shared" si="52"/>
        <v>11648.099999999627</v>
      </c>
      <c r="HS63" s="14">
        <f t="shared" si="52"/>
        <v>11648.099999999627</v>
      </c>
      <c r="HT63" s="14">
        <f t="shared" si="52"/>
        <v>11648.099999999627</v>
      </c>
      <c r="HU63" s="14">
        <f t="shared" si="52"/>
        <v>11648.099999999627</v>
      </c>
      <c r="HV63" s="14">
        <f t="shared" si="52"/>
        <v>11648.099999999627</v>
      </c>
      <c r="HW63" s="14">
        <f t="shared" si="52"/>
        <v>11648.099999999627</v>
      </c>
      <c r="HX63" s="14">
        <f t="shared" si="52"/>
        <v>11648.099999999627</v>
      </c>
      <c r="HY63" s="14">
        <f t="shared" si="52"/>
        <v>11648.099999999627</v>
      </c>
      <c r="HZ63" s="39">
        <f t="shared" si="52"/>
        <v>11648.099999999627</v>
      </c>
      <c r="IA63" s="14">
        <f t="shared" si="52"/>
        <v>11648.099999999627</v>
      </c>
      <c r="IB63" s="14">
        <f t="shared" si="52"/>
        <v>11648.099999999627</v>
      </c>
      <c r="IC63" s="14">
        <f t="shared" si="52"/>
        <v>11648.099999999627</v>
      </c>
      <c r="ID63" s="14">
        <f t="shared" si="52"/>
        <v>11648.099999999627</v>
      </c>
      <c r="IE63" s="14">
        <f t="shared" si="52"/>
        <v>11648.099999999627</v>
      </c>
      <c r="IF63" s="14">
        <f t="shared" si="52"/>
        <v>11648.099999999627</v>
      </c>
      <c r="IG63" s="14">
        <f t="shared" si="52"/>
        <v>11648.099999999627</v>
      </c>
      <c r="IH63" s="14">
        <f t="shared" si="52"/>
        <v>11648.099999999627</v>
      </c>
      <c r="II63" s="14">
        <f t="shared" si="52"/>
        <v>11648.099999999627</v>
      </c>
      <c r="IJ63" s="230">
        <f t="shared" si="52"/>
        <v>11648.099999999627</v>
      </c>
      <c r="IK63" s="14">
        <f t="shared" si="52"/>
        <v>11648.099999999627</v>
      </c>
      <c r="IL63" s="14">
        <f t="shared" si="52"/>
        <v>11648.099999999627</v>
      </c>
      <c r="IM63" s="14">
        <f>IL63-IM25+20000000</f>
        <v>20011648.100000001</v>
      </c>
      <c r="IN63" s="14">
        <f t="shared" si="52"/>
        <v>20011648.100000001</v>
      </c>
      <c r="IO63" s="14">
        <f t="shared" si="52"/>
        <v>20011648.100000001</v>
      </c>
      <c r="IP63" s="14">
        <f t="shared" si="52"/>
        <v>20011648.100000001</v>
      </c>
      <c r="IQ63" s="14">
        <f t="shared" si="52"/>
        <v>20011648.100000001</v>
      </c>
      <c r="IR63" s="14">
        <f t="shared" si="52"/>
        <v>20011648.100000001</v>
      </c>
      <c r="IS63" s="14">
        <f t="shared" si="52"/>
        <v>20011648.100000001</v>
      </c>
      <c r="IT63" s="39">
        <f t="shared" si="52"/>
        <v>20011648.100000001</v>
      </c>
      <c r="IU63" s="14"/>
    </row>
    <row r="64" spans="1:255" ht="14.1" customHeight="1">
      <c r="A64" s="14" t="s">
        <v>56</v>
      </c>
      <c r="B64" s="14"/>
      <c r="C64" s="39">
        <f>25797123.7+15000000+20297.93</f>
        <v>40817421.630000003</v>
      </c>
      <c r="D64" s="14">
        <f>+C64</f>
        <v>40817421.630000003</v>
      </c>
      <c r="E64" s="14">
        <f>+D64</f>
        <v>40817421.630000003</v>
      </c>
      <c r="F64" s="14">
        <f>+E64</f>
        <v>40817421.630000003</v>
      </c>
      <c r="G64" s="14">
        <f>+F64</f>
        <v>40817421.630000003</v>
      </c>
      <c r="H64" s="14">
        <f>+G64</f>
        <v>40817421.630000003</v>
      </c>
      <c r="I64" s="14">
        <f>+H64+40000000</f>
        <v>80817421.629999995</v>
      </c>
      <c r="J64" s="14">
        <f>+I64</f>
        <v>80817421.629999995</v>
      </c>
      <c r="K64" s="14">
        <f>+J64</f>
        <v>80817421.629999995</v>
      </c>
      <c r="L64" s="14">
        <f>+K64-L22</f>
        <v>65817421.629999995</v>
      </c>
      <c r="M64" s="230">
        <f t="shared" ref="M64:S64" si="53">+L64+M22</f>
        <v>65817421.629999995</v>
      </c>
      <c r="N64" s="14">
        <f t="shared" si="53"/>
        <v>65817421.629999995</v>
      </c>
      <c r="O64" s="14">
        <f t="shared" si="53"/>
        <v>65817421.629999995</v>
      </c>
      <c r="P64" s="14">
        <f t="shared" si="53"/>
        <v>65817421.629999995</v>
      </c>
      <c r="Q64" s="14">
        <f t="shared" si="53"/>
        <v>65817421.629999995</v>
      </c>
      <c r="R64" s="14">
        <f t="shared" si="53"/>
        <v>65817421.629999995</v>
      </c>
      <c r="S64" s="14">
        <f t="shared" si="53"/>
        <v>65817421.629999995</v>
      </c>
      <c r="T64" s="14">
        <f>+S64-T22+20000000</f>
        <v>85817421.629999995</v>
      </c>
      <c r="U64" s="14">
        <f t="shared" ref="U64:AR64" si="54">+T64-U22</f>
        <v>85817421.629999995</v>
      </c>
      <c r="V64" s="39">
        <f t="shared" si="54"/>
        <v>85817421.629999995</v>
      </c>
      <c r="W64" s="14">
        <f t="shared" si="54"/>
        <v>85817421.629999995</v>
      </c>
      <c r="X64" s="14">
        <f t="shared" si="54"/>
        <v>85817421.629999995</v>
      </c>
      <c r="Y64" s="14">
        <f t="shared" si="54"/>
        <v>85817421.629999995</v>
      </c>
      <c r="Z64" s="14">
        <f t="shared" si="54"/>
        <v>85817421.629999995</v>
      </c>
      <c r="AA64" s="14">
        <f t="shared" si="54"/>
        <v>85817421.629999995</v>
      </c>
      <c r="AB64" s="14">
        <f t="shared" si="54"/>
        <v>85817421.629999995</v>
      </c>
      <c r="AC64" s="14">
        <f t="shared" si="54"/>
        <v>85817421.629999995</v>
      </c>
      <c r="AD64" s="14">
        <f t="shared" si="54"/>
        <v>85817421.629999995</v>
      </c>
      <c r="AE64" s="14">
        <f t="shared" si="54"/>
        <v>85817421.629999995</v>
      </c>
      <c r="AF64" s="230">
        <f t="shared" si="54"/>
        <v>85817421.629999995</v>
      </c>
      <c r="AG64" s="14">
        <f t="shared" si="54"/>
        <v>85817421.629999995</v>
      </c>
      <c r="AH64" s="14">
        <f t="shared" si="54"/>
        <v>85817421.629999995</v>
      </c>
      <c r="AI64" s="14">
        <f t="shared" si="54"/>
        <v>85817421.629999995</v>
      </c>
      <c r="AJ64" s="14">
        <f t="shared" si="54"/>
        <v>85817421.629999995</v>
      </c>
      <c r="AK64" s="14">
        <f t="shared" si="54"/>
        <v>85817421.629999995</v>
      </c>
      <c r="AL64" s="14">
        <f t="shared" si="54"/>
        <v>85817421.629999995</v>
      </c>
      <c r="AM64" s="14">
        <f t="shared" si="54"/>
        <v>85817421.629999995</v>
      </c>
      <c r="AN64" s="14">
        <f t="shared" si="54"/>
        <v>85817421.629999995</v>
      </c>
      <c r="AO64" s="14">
        <f t="shared" si="54"/>
        <v>85817421.629999995</v>
      </c>
      <c r="AP64" s="14">
        <f t="shared" si="54"/>
        <v>85817421.629999995</v>
      </c>
      <c r="AQ64" s="14">
        <f t="shared" si="54"/>
        <v>85817421.629999995</v>
      </c>
      <c r="AR64" s="39">
        <f t="shared" si="54"/>
        <v>85817421.629999995</v>
      </c>
      <c r="AS64" s="14">
        <v>85911316.209999993</v>
      </c>
      <c r="AT64" s="14">
        <f t="shared" ref="AT64:BN64" si="55">+AS64-AT22</f>
        <v>85911316.209999993</v>
      </c>
      <c r="AU64" s="14">
        <f t="shared" si="55"/>
        <v>85911316.209999993</v>
      </c>
      <c r="AV64" s="14">
        <f t="shared" si="55"/>
        <v>85911316.209999993</v>
      </c>
      <c r="AW64" s="14">
        <f t="shared" si="55"/>
        <v>85911316.209999993</v>
      </c>
      <c r="AX64" s="14">
        <f t="shared" si="55"/>
        <v>85911316.209999993</v>
      </c>
      <c r="AY64" s="14">
        <f t="shared" si="55"/>
        <v>85911316.209999993</v>
      </c>
      <c r="AZ64" s="14">
        <f t="shared" si="55"/>
        <v>85911316.209999993</v>
      </c>
      <c r="BA64" s="14">
        <f t="shared" si="55"/>
        <v>85911316.209999993</v>
      </c>
      <c r="BB64" s="14">
        <f t="shared" si="55"/>
        <v>55911316.209999993</v>
      </c>
      <c r="BC64" s="230">
        <f t="shared" si="55"/>
        <v>55911316.209999993</v>
      </c>
      <c r="BD64" s="14">
        <f t="shared" si="55"/>
        <v>55911316.209999993</v>
      </c>
      <c r="BE64" s="14">
        <f t="shared" si="55"/>
        <v>55911316.209999993</v>
      </c>
      <c r="BF64" s="14">
        <f t="shared" si="55"/>
        <v>55911316.209999993</v>
      </c>
      <c r="BG64" s="14">
        <f t="shared" si="55"/>
        <v>55911316.209999993</v>
      </c>
      <c r="BH64" s="14">
        <f t="shared" si="55"/>
        <v>55911316.209999993</v>
      </c>
      <c r="BI64" s="14">
        <f t="shared" si="55"/>
        <v>55911316.209999993</v>
      </c>
      <c r="BJ64" s="14">
        <f t="shared" si="55"/>
        <v>55911316.209999993</v>
      </c>
      <c r="BK64" s="14">
        <f t="shared" si="55"/>
        <v>55911316.209999993</v>
      </c>
      <c r="BL64" s="14">
        <f t="shared" si="55"/>
        <v>55911316.209999993</v>
      </c>
      <c r="BM64" s="14">
        <f t="shared" si="55"/>
        <v>55911316.209999993</v>
      </c>
      <c r="BN64" s="39">
        <f t="shared" si="55"/>
        <v>55911316.209999993</v>
      </c>
      <c r="BO64" s="14">
        <v>55947233.719999999</v>
      </c>
      <c r="BP64" s="14">
        <f t="shared" ref="BP64:CH64" si="56">+BO64-BP22</f>
        <v>55947233.719999999</v>
      </c>
      <c r="BQ64" s="14">
        <f t="shared" si="56"/>
        <v>55947233.719999999</v>
      </c>
      <c r="BR64" s="14">
        <f t="shared" si="56"/>
        <v>55947233.719999999</v>
      </c>
      <c r="BS64" s="14">
        <f t="shared" si="56"/>
        <v>55947233.719999999</v>
      </c>
      <c r="BT64" s="14">
        <f t="shared" si="56"/>
        <v>55947233.719999999</v>
      </c>
      <c r="BU64" s="14">
        <f t="shared" si="56"/>
        <v>55947233.719999999</v>
      </c>
      <c r="BV64" s="14">
        <f t="shared" si="56"/>
        <v>45947233.719999999</v>
      </c>
      <c r="BW64" s="14">
        <f t="shared" si="56"/>
        <v>45947233.719999999</v>
      </c>
      <c r="BX64" s="14">
        <f t="shared" si="56"/>
        <v>45947233.719999999</v>
      </c>
      <c r="BY64" s="230">
        <f t="shared" si="56"/>
        <v>45947233.719999999</v>
      </c>
      <c r="BZ64" s="14">
        <f t="shared" si="56"/>
        <v>45947233.719999999</v>
      </c>
      <c r="CA64" s="14">
        <f t="shared" si="56"/>
        <v>45947233.719999999</v>
      </c>
      <c r="CB64" s="14">
        <f t="shared" si="56"/>
        <v>45947233.719999999</v>
      </c>
      <c r="CC64" s="14">
        <f t="shared" si="56"/>
        <v>45947233.719999999</v>
      </c>
      <c r="CD64" s="14">
        <f t="shared" si="56"/>
        <v>45947233.719999999</v>
      </c>
      <c r="CE64" s="14">
        <f t="shared" si="56"/>
        <v>37947233.719999999</v>
      </c>
      <c r="CF64" s="14">
        <f t="shared" si="56"/>
        <v>37947233.719999999</v>
      </c>
      <c r="CG64" s="14">
        <f t="shared" si="56"/>
        <v>37947233.719999999</v>
      </c>
      <c r="CH64" s="39">
        <f t="shared" si="56"/>
        <v>37947233.719999999</v>
      </c>
      <c r="CI64" s="14">
        <v>37969855.439999998</v>
      </c>
      <c r="CJ64" s="14">
        <f t="shared" ref="CJ64:EU64" si="57">+CI64-CJ22</f>
        <v>37969855.439999998</v>
      </c>
      <c r="CK64" s="14">
        <f t="shared" si="57"/>
        <v>37969855.439999998</v>
      </c>
      <c r="CL64" s="14">
        <f t="shared" si="57"/>
        <v>37969855.439999998</v>
      </c>
      <c r="CM64" s="14">
        <f t="shared" si="57"/>
        <v>37969855.439999998</v>
      </c>
      <c r="CN64" s="14">
        <f t="shared" si="57"/>
        <v>37969855.439999998</v>
      </c>
      <c r="CO64" s="14">
        <f t="shared" si="57"/>
        <v>37969855.439999998</v>
      </c>
      <c r="CP64" s="14">
        <f t="shared" si="57"/>
        <v>37969855.439999998</v>
      </c>
      <c r="CQ64" s="14">
        <f t="shared" si="57"/>
        <v>7969855.4399999976</v>
      </c>
      <c r="CR64" s="14">
        <f t="shared" si="57"/>
        <v>7969855.4399999976</v>
      </c>
      <c r="CS64" s="230">
        <f t="shared" si="57"/>
        <v>7969855.4399999976</v>
      </c>
      <c r="CT64" s="14">
        <f t="shared" si="57"/>
        <v>7969855.4399999976</v>
      </c>
      <c r="CU64" s="14">
        <f t="shared" si="57"/>
        <v>7969855.4399999976</v>
      </c>
      <c r="CV64" s="14">
        <f t="shared" si="57"/>
        <v>7969855.4399999976</v>
      </c>
      <c r="CW64" s="14">
        <f t="shared" si="57"/>
        <v>7969855.4399999976</v>
      </c>
      <c r="CX64" s="14">
        <f t="shared" si="57"/>
        <v>7969855.4399999976</v>
      </c>
      <c r="CY64" s="14">
        <f t="shared" si="57"/>
        <v>7969855.4399999976</v>
      </c>
      <c r="CZ64" s="14">
        <f t="shared" si="57"/>
        <v>7969855.4399999976</v>
      </c>
      <c r="DA64" s="14">
        <f t="shared" si="57"/>
        <v>7969855.4399999976</v>
      </c>
      <c r="DB64" s="14">
        <f t="shared" si="57"/>
        <v>7969855.4399999976</v>
      </c>
      <c r="DC64" s="14">
        <f t="shared" si="57"/>
        <v>7969855.4399999976</v>
      </c>
      <c r="DD64" s="39">
        <f t="shared" si="57"/>
        <v>7969855.4399999976</v>
      </c>
      <c r="DE64" s="14">
        <v>7977490.7000000002</v>
      </c>
      <c r="DF64" s="14">
        <f t="shared" si="57"/>
        <v>7977490.7000000002</v>
      </c>
      <c r="DG64" s="14">
        <f t="shared" si="57"/>
        <v>7977490.7000000002</v>
      </c>
      <c r="DH64" s="14">
        <f t="shared" si="57"/>
        <v>7977490.7000000002</v>
      </c>
      <c r="DI64" s="14">
        <f t="shared" si="57"/>
        <v>7977490.7000000002</v>
      </c>
      <c r="DJ64" s="14">
        <f t="shared" si="57"/>
        <v>7977490.7000000002</v>
      </c>
      <c r="DK64" s="14">
        <f t="shared" si="57"/>
        <v>7977490.7000000002</v>
      </c>
      <c r="DL64" s="14">
        <f t="shared" si="57"/>
        <v>7977490.7000000002</v>
      </c>
      <c r="DM64" s="14">
        <f t="shared" si="57"/>
        <v>7490.7000000001863</v>
      </c>
      <c r="DN64" s="230">
        <f t="shared" si="57"/>
        <v>7490.7000000001863</v>
      </c>
      <c r="DO64" s="14">
        <f t="shared" si="57"/>
        <v>7490.7000000001863</v>
      </c>
      <c r="DP64" s="14">
        <f t="shared" si="57"/>
        <v>7490.7000000001863</v>
      </c>
      <c r="DQ64" s="14">
        <f t="shared" si="57"/>
        <v>7490.7000000001863</v>
      </c>
      <c r="DR64" s="14">
        <f t="shared" si="57"/>
        <v>7490.7000000001863</v>
      </c>
      <c r="DS64" s="14">
        <f t="shared" si="57"/>
        <v>7490.7000000001863</v>
      </c>
      <c r="DT64" s="14">
        <f t="shared" si="57"/>
        <v>7490.7000000001863</v>
      </c>
      <c r="DU64" s="14">
        <f t="shared" si="57"/>
        <v>7490.7000000001863</v>
      </c>
      <c r="DV64" s="14">
        <f t="shared" si="57"/>
        <v>7490.7000000001863</v>
      </c>
      <c r="DW64" s="14">
        <f t="shared" si="57"/>
        <v>7490.7000000001863</v>
      </c>
      <c r="DX64" s="14">
        <f t="shared" si="57"/>
        <v>7490.7000000001863</v>
      </c>
      <c r="DY64" s="14">
        <f t="shared" si="57"/>
        <v>7490.7000000001863</v>
      </c>
      <c r="DZ64" s="39">
        <v>8710.27</v>
      </c>
      <c r="EA64" s="14">
        <f t="shared" si="57"/>
        <v>8710.27</v>
      </c>
      <c r="EB64" s="14">
        <f t="shared" si="57"/>
        <v>8710.27</v>
      </c>
      <c r="EC64" s="14">
        <f t="shared" si="57"/>
        <v>8710.27</v>
      </c>
      <c r="ED64" s="14">
        <f t="shared" si="57"/>
        <v>8710.27</v>
      </c>
      <c r="EE64" s="14">
        <f t="shared" si="57"/>
        <v>8710.27</v>
      </c>
      <c r="EF64" s="14">
        <f t="shared" si="57"/>
        <v>8710.27</v>
      </c>
      <c r="EG64" s="14">
        <f t="shared" si="57"/>
        <v>8710.27</v>
      </c>
      <c r="EH64" s="14">
        <f t="shared" si="57"/>
        <v>8710.27</v>
      </c>
      <c r="EI64" s="14">
        <f t="shared" si="57"/>
        <v>8710.27</v>
      </c>
      <c r="EJ64" s="230">
        <f t="shared" si="57"/>
        <v>8710.27</v>
      </c>
      <c r="EK64" s="14">
        <f t="shared" si="57"/>
        <v>8710.27</v>
      </c>
      <c r="EL64" s="14">
        <f t="shared" si="57"/>
        <v>8710.27</v>
      </c>
      <c r="EM64" s="14">
        <f t="shared" si="57"/>
        <v>8710.27</v>
      </c>
      <c r="EN64" s="14">
        <f t="shared" si="57"/>
        <v>8710.27</v>
      </c>
      <c r="EO64" s="14">
        <f t="shared" si="57"/>
        <v>8710.27</v>
      </c>
      <c r="EP64" s="14">
        <f t="shared" si="57"/>
        <v>8710.27</v>
      </c>
      <c r="EQ64" s="14">
        <f t="shared" si="57"/>
        <v>8710.27</v>
      </c>
      <c r="ER64" s="14">
        <f t="shared" si="57"/>
        <v>8710.27</v>
      </c>
      <c r="ES64" s="14">
        <f t="shared" si="57"/>
        <v>8710.27</v>
      </c>
      <c r="ET64" s="14">
        <f t="shared" si="57"/>
        <v>8710.27</v>
      </c>
      <c r="EU64" s="39">
        <f t="shared" si="57"/>
        <v>8710.27</v>
      </c>
      <c r="EV64" s="14">
        <f t="shared" ref="EV64:HG64" si="58">+EU64-EV22</f>
        <v>8710.27</v>
      </c>
      <c r="EW64" s="14">
        <f t="shared" si="58"/>
        <v>8710.27</v>
      </c>
      <c r="EX64" s="14">
        <f t="shared" si="58"/>
        <v>8710.27</v>
      </c>
      <c r="EY64" s="14">
        <f t="shared" si="58"/>
        <v>8710.27</v>
      </c>
      <c r="EZ64" s="14">
        <f t="shared" si="58"/>
        <v>8710.27</v>
      </c>
      <c r="FA64" s="14">
        <f t="shared" si="58"/>
        <v>8710.27</v>
      </c>
      <c r="FB64" s="14">
        <f t="shared" si="58"/>
        <v>8710.27</v>
      </c>
      <c r="FC64" s="14">
        <f t="shared" si="58"/>
        <v>8710.27</v>
      </c>
      <c r="FD64" s="14">
        <f t="shared" si="58"/>
        <v>8710.27</v>
      </c>
      <c r="FE64" s="230">
        <f t="shared" si="58"/>
        <v>8710.27</v>
      </c>
      <c r="FF64" s="14">
        <f t="shared" si="58"/>
        <v>8710.27</v>
      </c>
      <c r="FG64" s="14">
        <f t="shared" si="58"/>
        <v>8710.27</v>
      </c>
      <c r="FH64" s="14">
        <f t="shared" si="58"/>
        <v>8710.27</v>
      </c>
      <c r="FI64" s="14">
        <f t="shared" si="58"/>
        <v>8710.27</v>
      </c>
      <c r="FJ64" s="230">
        <f t="shared" si="58"/>
        <v>8710.27</v>
      </c>
      <c r="FK64" s="14">
        <f t="shared" si="58"/>
        <v>8710.27</v>
      </c>
      <c r="FL64" s="14">
        <f t="shared" si="58"/>
        <v>8710.27</v>
      </c>
      <c r="FM64" s="14">
        <f t="shared" si="58"/>
        <v>8710.27</v>
      </c>
      <c r="FN64" s="14">
        <f t="shared" si="58"/>
        <v>8710.27</v>
      </c>
      <c r="FO64" s="14">
        <f>+FN64-FO22+10000000</f>
        <v>10008710.27</v>
      </c>
      <c r="FP64" s="39">
        <f t="shared" si="58"/>
        <v>10008710.27</v>
      </c>
      <c r="FQ64" s="14">
        <f t="shared" si="58"/>
        <v>10008710.27</v>
      </c>
      <c r="FR64" s="14">
        <f t="shared" si="58"/>
        <v>10008710.27</v>
      </c>
      <c r="FS64" s="14">
        <f t="shared" si="58"/>
        <v>10008710.27</v>
      </c>
      <c r="FT64" s="14">
        <f t="shared" si="58"/>
        <v>10008710.27</v>
      </c>
      <c r="FU64" s="14">
        <f t="shared" si="58"/>
        <v>10008710.27</v>
      </c>
      <c r="FV64" s="14">
        <f t="shared" si="58"/>
        <v>10008710.27</v>
      </c>
      <c r="FW64" s="14">
        <f t="shared" si="58"/>
        <v>10008710.27</v>
      </c>
      <c r="FX64" s="14">
        <f t="shared" si="58"/>
        <v>10008710.27</v>
      </c>
      <c r="FY64" s="14">
        <f t="shared" si="58"/>
        <v>10008710.27</v>
      </c>
      <c r="FZ64" s="230">
        <f t="shared" si="58"/>
        <v>5008710.2699999996</v>
      </c>
      <c r="GA64" s="14">
        <f t="shared" si="58"/>
        <v>5008710.2699999996</v>
      </c>
      <c r="GB64" s="14">
        <f t="shared" si="58"/>
        <v>5008710.2699999996</v>
      </c>
      <c r="GC64" s="14">
        <f t="shared" si="58"/>
        <v>5008710.2699999996</v>
      </c>
      <c r="GD64" s="14">
        <f t="shared" si="58"/>
        <v>5008710.2699999996</v>
      </c>
      <c r="GE64" s="14">
        <f t="shared" si="58"/>
        <v>5008710.2699999996</v>
      </c>
      <c r="GF64" s="14">
        <f t="shared" si="58"/>
        <v>5008710.2699999996</v>
      </c>
      <c r="GG64" s="14">
        <f t="shared" si="58"/>
        <v>5008710.2699999996</v>
      </c>
      <c r="GH64" s="14">
        <f t="shared" si="58"/>
        <v>5008710.2699999996</v>
      </c>
      <c r="GI64" s="14">
        <f t="shared" si="58"/>
        <v>5008710.2699999996</v>
      </c>
      <c r="GJ64" s="14">
        <f t="shared" si="58"/>
        <v>5008710.2699999996</v>
      </c>
      <c r="GK64" s="39">
        <f t="shared" si="58"/>
        <v>5008710.2699999996</v>
      </c>
      <c r="GL64" s="14">
        <f t="shared" si="58"/>
        <v>5008710.2699999996</v>
      </c>
      <c r="GM64" s="14">
        <f t="shared" si="58"/>
        <v>5008710.2699999996</v>
      </c>
      <c r="GN64" s="14">
        <f t="shared" si="58"/>
        <v>5008710.2699999996</v>
      </c>
      <c r="GO64" s="14">
        <f t="shared" si="58"/>
        <v>5008710.2699999996</v>
      </c>
      <c r="GP64" s="14">
        <f t="shared" si="58"/>
        <v>5008710.2699999996</v>
      </c>
      <c r="GQ64" s="14">
        <f t="shared" si="58"/>
        <v>5008710.2699999996</v>
      </c>
      <c r="GR64" s="14">
        <f t="shared" si="58"/>
        <v>5008710.2699999996</v>
      </c>
      <c r="GS64" s="14">
        <f t="shared" si="58"/>
        <v>5008710.2699999996</v>
      </c>
      <c r="GT64" s="230">
        <f t="shared" si="58"/>
        <v>5008710.2699999996</v>
      </c>
      <c r="GU64" s="14">
        <f t="shared" si="58"/>
        <v>5008710.2699999996</v>
      </c>
      <c r="GV64" s="14">
        <f t="shared" si="58"/>
        <v>5008710.2699999996</v>
      </c>
      <c r="GW64" s="14">
        <f t="shared" si="58"/>
        <v>5008710.2699999996</v>
      </c>
      <c r="GX64" s="14">
        <f t="shared" si="58"/>
        <v>5008710.2699999996</v>
      </c>
      <c r="GY64" s="14">
        <f t="shared" si="58"/>
        <v>5008710.2699999996</v>
      </c>
      <c r="GZ64" s="14">
        <f t="shared" si="58"/>
        <v>5008710.2699999996</v>
      </c>
      <c r="HA64" s="14">
        <f t="shared" si="58"/>
        <v>5008710.2699999996</v>
      </c>
      <c r="HB64" s="14">
        <f t="shared" si="58"/>
        <v>5008710.2699999996</v>
      </c>
      <c r="HC64" s="14">
        <f t="shared" si="58"/>
        <v>5008710.2699999996</v>
      </c>
      <c r="HD64" s="39">
        <f t="shared" si="58"/>
        <v>5008710.2699999996</v>
      </c>
      <c r="HE64" s="14">
        <v>5011602.47</v>
      </c>
      <c r="HF64" s="14">
        <f t="shared" si="58"/>
        <v>5011602.47</v>
      </c>
      <c r="HG64" s="14">
        <f t="shared" si="58"/>
        <v>5011602.47</v>
      </c>
      <c r="HH64" s="14">
        <f t="shared" ref="HH64:IU64" si="59">+HG64-HH22</f>
        <v>5011602.47</v>
      </c>
      <c r="HI64" s="14">
        <f t="shared" si="59"/>
        <v>5011602.47</v>
      </c>
      <c r="HJ64" s="14">
        <f t="shared" si="59"/>
        <v>5011602.47</v>
      </c>
      <c r="HK64" s="14">
        <f t="shared" si="59"/>
        <v>5011602.47</v>
      </c>
      <c r="HL64" s="14">
        <f t="shared" si="59"/>
        <v>5011602.47</v>
      </c>
      <c r="HM64" s="14">
        <f t="shared" si="59"/>
        <v>5011602.47</v>
      </c>
      <c r="HN64" s="14">
        <f t="shared" si="59"/>
        <v>5011602.47</v>
      </c>
      <c r="HO64" s="230">
        <f t="shared" si="59"/>
        <v>11602.469999999739</v>
      </c>
      <c r="HP64" s="14">
        <f t="shared" si="59"/>
        <v>11602.469999999739</v>
      </c>
      <c r="HQ64" s="14">
        <f t="shared" si="59"/>
        <v>11602.469999999739</v>
      </c>
      <c r="HR64" s="14">
        <f t="shared" si="59"/>
        <v>11602.469999999739</v>
      </c>
      <c r="HS64" s="14">
        <f t="shared" si="59"/>
        <v>11602.469999999739</v>
      </c>
      <c r="HT64" s="14">
        <f t="shared" si="59"/>
        <v>11602.469999999739</v>
      </c>
      <c r="HU64" s="14">
        <f t="shared" si="59"/>
        <v>11602.469999999739</v>
      </c>
      <c r="HV64" s="14">
        <f t="shared" si="59"/>
        <v>11602.469999999739</v>
      </c>
      <c r="HW64" s="14">
        <f t="shared" si="59"/>
        <v>11602.469999999739</v>
      </c>
      <c r="HX64" s="14">
        <f t="shared" si="59"/>
        <v>11602.469999999739</v>
      </c>
      <c r="HY64" s="14">
        <f>+HX64-HY22+6000000</f>
        <v>6011602.4699999997</v>
      </c>
      <c r="HZ64" s="39">
        <f t="shared" si="59"/>
        <v>6011602.4699999997</v>
      </c>
      <c r="IA64" s="14">
        <f t="shared" si="59"/>
        <v>6011602.4699999997</v>
      </c>
      <c r="IB64" s="14">
        <f t="shared" si="59"/>
        <v>6011602.4699999997</v>
      </c>
      <c r="IC64" s="14">
        <f t="shared" si="59"/>
        <v>6011602.4699999997</v>
      </c>
      <c r="ID64" s="14">
        <f t="shared" si="59"/>
        <v>6011602.4699999997</v>
      </c>
      <c r="IE64" s="14">
        <f t="shared" si="59"/>
        <v>6011602.4699999997</v>
      </c>
      <c r="IF64" s="14">
        <f t="shared" si="59"/>
        <v>6011602.4699999997</v>
      </c>
      <c r="IG64" s="14">
        <f t="shared" si="59"/>
        <v>6011602.4699999997</v>
      </c>
      <c r="IH64" s="14">
        <f t="shared" si="59"/>
        <v>6011602.4699999997</v>
      </c>
      <c r="II64" s="14">
        <f t="shared" si="59"/>
        <v>6011602.4699999997</v>
      </c>
      <c r="IJ64" s="230">
        <f t="shared" si="59"/>
        <v>6011602.4699999997</v>
      </c>
      <c r="IK64" s="14">
        <f t="shared" si="59"/>
        <v>6011602.4699999997</v>
      </c>
      <c r="IL64" s="14">
        <f t="shared" si="59"/>
        <v>6011602.4699999997</v>
      </c>
      <c r="IM64" s="14">
        <f>+IL64-IM22+25000000</f>
        <v>31011602.469999999</v>
      </c>
      <c r="IN64" s="14">
        <f t="shared" si="59"/>
        <v>31011602.469999999</v>
      </c>
      <c r="IO64" s="14">
        <f t="shared" si="59"/>
        <v>31011602.469999999</v>
      </c>
      <c r="IP64" s="14">
        <f t="shared" si="59"/>
        <v>31011602.469999999</v>
      </c>
      <c r="IQ64" s="14">
        <f t="shared" si="59"/>
        <v>31011602.469999999</v>
      </c>
      <c r="IR64" s="14">
        <f>+IQ64-IR22</f>
        <v>31011602.469999999</v>
      </c>
      <c r="IS64" s="14">
        <f>+IR64-IS22</f>
        <v>31011602.469999999</v>
      </c>
      <c r="IT64" s="14">
        <f t="shared" si="59"/>
        <v>31011602.469999999</v>
      </c>
      <c r="IU64" s="14">
        <f t="shared" si="59"/>
        <v>31011602.469999999</v>
      </c>
    </row>
    <row r="65" spans="1:255" ht="14.1" customHeight="1">
      <c r="A65" s="14" t="s">
        <v>20</v>
      </c>
      <c r="B65" s="22"/>
      <c r="C65" s="41">
        <f>25532971.64+10000000+16558.77</f>
        <v>35549530.410000004</v>
      </c>
      <c r="D65" s="23">
        <f>C65-D26</f>
        <v>35549530.410000004</v>
      </c>
      <c r="E65" s="23">
        <f>D65-E26</f>
        <v>35549530.410000004</v>
      </c>
      <c r="F65" s="23">
        <f>E65-F26</f>
        <v>35549530.410000004</v>
      </c>
      <c r="G65" s="23">
        <f>F65-G26</f>
        <v>35549530.410000004</v>
      </c>
      <c r="H65" s="23">
        <f>G65-H26</f>
        <v>35549530.410000004</v>
      </c>
      <c r="I65" s="23">
        <f>H65-I26+30000000</f>
        <v>65549530.410000004</v>
      </c>
      <c r="J65" s="23">
        <f t="shared" ref="J65:S65" si="60">I65-J26</f>
        <v>65549530.410000004</v>
      </c>
      <c r="K65" s="23">
        <f t="shared" si="60"/>
        <v>65549530.410000004</v>
      </c>
      <c r="L65" s="23">
        <f t="shared" si="60"/>
        <v>50549530.410000004</v>
      </c>
      <c r="M65" s="231">
        <f t="shared" si="60"/>
        <v>50549530.410000004</v>
      </c>
      <c r="N65" s="23">
        <f t="shared" si="60"/>
        <v>50549530.410000004</v>
      </c>
      <c r="O65" s="23">
        <f t="shared" si="60"/>
        <v>50549530.410000004</v>
      </c>
      <c r="P65" s="23">
        <f t="shared" si="60"/>
        <v>50549530.410000004</v>
      </c>
      <c r="Q65" s="23">
        <f t="shared" si="60"/>
        <v>50549530.410000004</v>
      </c>
      <c r="R65" s="23">
        <f t="shared" si="60"/>
        <v>50549530.410000004</v>
      </c>
      <c r="S65" s="23">
        <f t="shared" si="60"/>
        <v>50549530.410000004</v>
      </c>
      <c r="T65" s="23">
        <f>S65-T26+10000000+10000000</f>
        <v>70549530.409999996</v>
      </c>
      <c r="U65" s="23">
        <f>T65-U26</f>
        <v>70549530.409999996</v>
      </c>
      <c r="V65" s="41">
        <f>U65-V26+29764.18</f>
        <v>70579294.590000004</v>
      </c>
      <c r="W65" s="23">
        <f t="shared" ref="W65:AB65" si="61">V65-W26</f>
        <v>70579294.590000004</v>
      </c>
      <c r="X65" s="23">
        <f t="shared" si="61"/>
        <v>70579294.590000004</v>
      </c>
      <c r="Y65" s="23">
        <f t="shared" si="61"/>
        <v>70579294.590000004</v>
      </c>
      <c r="Z65" s="23">
        <f t="shared" si="61"/>
        <v>70579294.590000004</v>
      </c>
      <c r="AA65" s="23">
        <f t="shared" si="61"/>
        <v>70579294.590000004</v>
      </c>
      <c r="AB65" s="23">
        <f t="shared" si="61"/>
        <v>70579294.590000004</v>
      </c>
      <c r="AC65" s="23">
        <f>AB65-AC26+439016.4</f>
        <v>70436504.970000014</v>
      </c>
      <c r="AD65" s="23">
        <f t="shared" ref="AD65:AR65" si="62">AC65-AD26</f>
        <v>70436504.970000014</v>
      </c>
      <c r="AE65" s="23">
        <f t="shared" si="62"/>
        <v>70436504.970000014</v>
      </c>
      <c r="AF65" s="231">
        <f t="shared" si="62"/>
        <v>70436504.970000014</v>
      </c>
      <c r="AG65" s="23">
        <f t="shared" si="62"/>
        <v>70436504.970000014</v>
      </c>
      <c r="AH65" s="23">
        <f t="shared" si="62"/>
        <v>70436504.970000014</v>
      </c>
      <c r="AI65" s="23">
        <f t="shared" si="62"/>
        <v>70436504.970000014</v>
      </c>
      <c r="AJ65" s="23">
        <f t="shared" si="62"/>
        <v>70436504.970000014</v>
      </c>
      <c r="AK65" s="23">
        <f t="shared" si="62"/>
        <v>70436504.970000014</v>
      </c>
      <c r="AL65" s="23">
        <f t="shared" si="62"/>
        <v>70436504.970000014</v>
      </c>
      <c r="AM65" s="23">
        <f t="shared" si="62"/>
        <v>70436504.970000014</v>
      </c>
      <c r="AN65" s="23">
        <f t="shared" si="62"/>
        <v>70436504.970000014</v>
      </c>
      <c r="AO65" s="23">
        <f t="shared" si="62"/>
        <v>70436504.970000014</v>
      </c>
      <c r="AP65" s="23">
        <f t="shared" si="62"/>
        <v>70436504.970000014</v>
      </c>
      <c r="AQ65" s="23">
        <f t="shared" si="62"/>
        <v>70436504.970000014</v>
      </c>
      <c r="AR65" s="41">
        <f t="shared" si="62"/>
        <v>70436504.970000014</v>
      </c>
      <c r="AS65" s="23">
        <v>70619305.560000002</v>
      </c>
      <c r="AT65" s="23">
        <f t="shared" ref="AT65:BN65" si="63">AS65-AT26</f>
        <v>70619305.560000002</v>
      </c>
      <c r="AU65" s="23">
        <f t="shared" si="63"/>
        <v>70619305.560000002</v>
      </c>
      <c r="AV65" s="23">
        <f t="shared" si="63"/>
        <v>70619305.560000002</v>
      </c>
      <c r="AW65" s="23">
        <f t="shared" si="63"/>
        <v>70619305.560000002</v>
      </c>
      <c r="AX65" s="23">
        <f t="shared" si="63"/>
        <v>70619305.560000002</v>
      </c>
      <c r="AY65" s="23">
        <f t="shared" si="63"/>
        <v>70619305.560000002</v>
      </c>
      <c r="AZ65" s="23">
        <f t="shared" si="63"/>
        <v>70619305.560000002</v>
      </c>
      <c r="BA65" s="23">
        <f t="shared" si="63"/>
        <v>70619305.560000002</v>
      </c>
      <c r="BB65" s="23">
        <f t="shared" si="63"/>
        <v>70619305.560000002</v>
      </c>
      <c r="BC65" s="231">
        <f t="shared" si="63"/>
        <v>70619305.560000002</v>
      </c>
      <c r="BD65" s="23">
        <f t="shared" si="63"/>
        <v>70619305.560000002</v>
      </c>
      <c r="BE65" s="23">
        <f t="shared" si="63"/>
        <v>70619305.560000002</v>
      </c>
      <c r="BF65" s="23">
        <f t="shared" si="63"/>
        <v>70619305.560000002</v>
      </c>
      <c r="BG65" s="23">
        <f t="shared" si="63"/>
        <v>70619305.560000002</v>
      </c>
      <c r="BH65" s="23">
        <f t="shared" si="63"/>
        <v>70619305.560000002</v>
      </c>
      <c r="BI65" s="23">
        <f t="shared" si="63"/>
        <v>70619305.560000002</v>
      </c>
      <c r="BJ65" s="23">
        <f t="shared" si="63"/>
        <v>70619305.560000002</v>
      </c>
      <c r="BK65" s="23">
        <f t="shared" si="63"/>
        <v>70619305.560000002</v>
      </c>
      <c r="BL65" s="23">
        <f t="shared" si="63"/>
        <v>70619305.560000002</v>
      </c>
      <c r="BM65" s="23">
        <f t="shared" si="63"/>
        <v>70619305.560000002</v>
      </c>
      <c r="BN65" s="41">
        <f t="shared" si="63"/>
        <v>70619305.560000002</v>
      </c>
      <c r="BO65" s="23">
        <f>BN65-BO26+33094.33</f>
        <v>70652399.890000001</v>
      </c>
      <c r="BP65" s="23">
        <f t="shared" ref="BP65:CH65" si="64">BO65-BP26</f>
        <v>70652399.890000001</v>
      </c>
      <c r="BQ65" s="23">
        <f t="shared" si="64"/>
        <v>70652399.890000001</v>
      </c>
      <c r="BR65" s="23">
        <f t="shared" si="64"/>
        <v>70652399.890000001</v>
      </c>
      <c r="BS65" s="23">
        <f t="shared" si="64"/>
        <v>70652399.890000001</v>
      </c>
      <c r="BT65" s="23">
        <f t="shared" si="64"/>
        <v>70652399.890000001</v>
      </c>
      <c r="BU65" s="23">
        <f t="shared" si="64"/>
        <v>70652399.890000001</v>
      </c>
      <c r="BV65" s="23">
        <f t="shared" si="64"/>
        <v>50652399.890000001</v>
      </c>
      <c r="BW65" s="23">
        <f t="shared" si="64"/>
        <v>50652399.890000001</v>
      </c>
      <c r="BX65" s="23">
        <f t="shared" si="64"/>
        <v>50652399.890000001</v>
      </c>
      <c r="BY65" s="231">
        <f t="shared" si="64"/>
        <v>50652399.890000001</v>
      </c>
      <c r="BZ65" s="23">
        <f t="shared" si="64"/>
        <v>50652399.890000001</v>
      </c>
      <c r="CA65" s="23">
        <f t="shared" si="64"/>
        <v>50652399.890000001</v>
      </c>
      <c r="CB65" s="23">
        <f t="shared" si="64"/>
        <v>50652399.890000001</v>
      </c>
      <c r="CC65" s="23">
        <f t="shared" si="64"/>
        <v>50652399.890000001</v>
      </c>
      <c r="CD65" s="23">
        <f t="shared" si="64"/>
        <v>50652399.890000001</v>
      </c>
      <c r="CE65" s="23">
        <f t="shared" si="64"/>
        <v>40652399.890000001</v>
      </c>
      <c r="CF65" s="23">
        <f t="shared" si="64"/>
        <v>40652399.890000001</v>
      </c>
      <c r="CG65" s="23">
        <f t="shared" si="64"/>
        <v>40652399.890000001</v>
      </c>
      <c r="CH65" s="41">
        <f t="shared" si="64"/>
        <v>40652399.890000001</v>
      </c>
      <c r="CI65" s="23">
        <v>40673506.219999999</v>
      </c>
      <c r="CJ65" s="23">
        <f t="shared" ref="CJ65:EU65" si="65">CI65-CJ26</f>
        <v>40673506.219999999</v>
      </c>
      <c r="CK65" s="23">
        <f t="shared" si="65"/>
        <v>40673506.219999999</v>
      </c>
      <c r="CL65" s="23">
        <f t="shared" si="65"/>
        <v>40673506.219999999</v>
      </c>
      <c r="CM65" s="23">
        <f t="shared" si="65"/>
        <v>40673506.219999999</v>
      </c>
      <c r="CN65" s="23">
        <f t="shared" si="65"/>
        <v>40673506.219999999</v>
      </c>
      <c r="CO65" s="23">
        <f t="shared" si="65"/>
        <v>40673506.219999999</v>
      </c>
      <c r="CP65" s="23">
        <f t="shared" si="65"/>
        <v>40673506.219999999</v>
      </c>
      <c r="CQ65" s="23">
        <f t="shared" si="65"/>
        <v>2673506.2199999988</v>
      </c>
      <c r="CR65" s="23">
        <f t="shared" si="65"/>
        <v>2673506.2199999988</v>
      </c>
      <c r="CS65" s="231">
        <f t="shared" si="65"/>
        <v>2673506.2199999988</v>
      </c>
      <c r="CT65" s="23">
        <f t="shared" si="65"/>
        <v>2673506.2199999988</v>
      </c>
      <c r="CU65" s="23">
        <f t="shared" si="65"/>
        <v>2673506.2199999988</v>
      </c>
      <c r="CV65" s="23">
        <f t="shared" si="65"/>
        <v>2673506.2199999988</v>
      </c>
      <c r="CW65" s="23">
        <f t="shared" si="65"/>
        <v>2673506.2199999988</v>
      </c>
      <c r="CX65" s="23">
        <f t="shared" si="65"/>
        <v>2673506.2199999988</v>
      </c>
      <c r="CY65" s="23">
        <f t="shared" si="65"/>
        <v>2673506.2199999988</v>
      </c>
      <c r="CZ65" s="23">
        <f t="shared" si="65"/>
        <v>2673506.2199999988</v>
      </c>
      <c r="DA65" s="23">
        <f t="shared" si="65"/>
        <v>2673506.2199999988</v>
      </c>
      <c r="DB65" s="23">
        <f t="shared" si="65"/>
        <v>2673506.2199999988</v>
      </c>
      <c r="DC65" s="23">
        <f t="shared" si="65"/>
        <v>2673506.2199999988</v>
      </c>
      <c r="DD65" s="41">
        <f t="shared" si="65"/>
        <v>2673506.2199999988</v>
      </c>
      <c r="DE65" s="23">
        <v>2677788.02</v>
      </c>
      <c r="DF65" s="23">
        <f t="shared" si="65"/>
        <v>2677788.02</v>
      </c>
      <c r="DG65" s="23">
        <f t="shared" si="65"/>
        <v>2677788.02</v>
      </c>
      <c r="DH65" s="23">
        <f t="shared" si="65"/>
        <v>2677788.02</v>
      </c>
      <c r="DI65" s="23">
        <f t="shared" si="65"/>
        <v>2677788.02</v>
      </c>
      <c r="DJ65" s="23">
        <f t="shared" si="65"/>
        <v>2677788.02</v>
      </c>
      <c r="DK65" s="23">
        <f t="shared" si="65"/>
        <v>2677788.02</v>
      </c>
      <c r="DL65" s="23">
        <f t="shared" si="65"/>
        <v>2677788.02</v>
      </c>
      <c r="DM65" s="23">
        <f t="shared" si="65"/>
        <v>7788.0200000000186</v>
      </c>
      <c r="DN65" s="231">
        <f t="shared" si="65"/>
        <v>7788.0200000000186</v>
      </c>
      <c r="DO65" s="23">
        <f t="shared" si="65"/>
        <v>7788.0200000000186</v>
      </c>
      <c r="DP65" s="23">
        <f t="shared" si="65"/>
        <v>7788.0200000000186</v>
      </c>
      <c r="DQ65" s="23">
        <f t="shared" si="65"/>
        <v>7788.0200000000186</v>
      </c>
      <c r="DR65" s="23">
        <f t="shared" si="65"/>
        <v>7788.0200000000186</v>
      </c>
      <c r="DS65" s="23">
        <f t="shared" si="65"/>
        <v>7788.0200000000186</v>
      </c>
      <c r="DT65" s="23">
        <f t="shared" si="65"/>
        <v>7788.0200000000186</v>
      </c>
      <c r="DU65" s="23">
        <f t="shared" si="65"/>
        <v>7788.0200000000186</v>
      </c>
      <c r="DV65" s="23">
        <f t="shared" si="65"/>
        <v>7788.0200000000186</v>
      </c>
      <c r="DW65" s="23">
        <f t="shared" si="65"/>
        <v>7788.0200000000186</v>
      </c>
      <c r="DX65" s="23">
        <f t="shared" si="65"/>
        <v>7788.0200000000186</v>
      </c>
      <c r="DY65" s="23">
        <f t="shared" si="65"/>
        <v>7788.0200000000186</v>
      </c>
      <c r="DZ65" s="41">
        <v>8056.01</v>
      </c>
      <c r="EA65" s="23">
        <f t="shared" si="65"/>
        <v>8056.01</v>
      </c>
      <c r="EB65" s="23">
        <f t="shared" si="65"/>
        <v>8056.01</v>
      </c>
      <c r="EC65" s="23">
        <f t="shared" si="65"/>
        <v>8056.01</v>
      </c>
      <c r="ED65" s="23">
        <f t="shared" si="65"/>
        <v>8056.01</v>
      </c>
      <c r="EE65" s="23">
        <f t="shared" si="65"/>
        <v>8056.01</v>
      </c>
      <c r="EF65" s="23">
        <f t="shared" si="65"/>
        <v>8056.01</v>
      </c>
      <c r="EG65" s="23">
        <f t="shared" si="65"/>
        <v>8056.01</v>
      </c>
      <c r="EH65" s="23">
        <f t="shared" si="65"/>
        <v>8056.01</v>
      </c>
      <c r="EI65" s="23">
        <f t="shared" si="65"/>
        <v>8056.01</v>
      </c>
      <c r="EJ65" s="231">
        <f t="shared" si="65"/>
        <v>8056.01</v>
      </c>
      <c r="EK65" s="23">
        <f t="shared" si="65"/>
        <v>8056.01</v>
      </c>
      <c r="EL65" s="23">
        <f t="shared" si="65"/>
        <v>8056.01</v>
      </c>
      <c r="EM65" s="23">
        <f t="shared" si="65"/>
        <v>8056.01</v>
      </c>
      <c r="EN65" s="23">
        <f t="shared" si="65"/>
        <v>8056.01</v>
      </c>
      <c r="EO65" s="23">
        <f t="shared" si="65"/>
        <v>8056.01</v>
      </c>
      <c r="EP65" s="23">
        <f t="shared" si="65"/>
        <v>8056.01</v>
      </c>
      <c r="EQ65" s="23">
        <f t="shared" si="65"/>
        <v>8056.01</v>
      </c>
      <c r="ER65" s="23">
        <f t="shared" si="65"/>
        <v>8056.01</v>
      </c>
      <c r="ES65" s="23">
        <f t="shared" si="65"/>
        <v>8056.01</v>
      </c>
      <c r="ET65" s="23">
        <f t="shared" si="65"/>
        <v>8056.01</v>
      </c>
      <c r="EU65" s="41">
        <f t="shared" si="65"/>
        <v>8056.01</v>
      </c>
      <c r="EV65" s="23">
        <f t="shared" ref="EV65:HG65" si="66">EU65-EV26</f>
        <v>8056.01</v>
      </c>
      <c r="EW65" s="23">
        <f t="shared" si="66"/>
        <v>8056.01</v>
      </c>
      <c r="EX65" s="23">
        <f t="shared" si="66"/>
        <v>8056.01</v>
      </c>
      <c r="EY65" s="23">
        <f t="shared" si="66"/>
        <v>8056.01</v>
      </c>
      <c r="EZ65" s="23">
        <f t="shared" si="66"/>
        <v>8056.01</v>
      </c>
      <c r="FA65" s="23">
        <f t="shared" si="66"/>
        <v>8056.01</v>
      </c>
      <c r="FB65" s="23">
        <f t="shared" si="66"/>
        <v>8056.01</v>
      </c>
      <c r="FC65" s="23">
        <f t="shared" si="66"/>
        <v>8056.01</v>
      </c>
      <c r="FD65" s="23">
        <f t="shared" si="66"/>
        <v>8056.01</v>
      </c>
      <c r="FE65" s="231">
        <f t="shared" si="66"/>
        <v>8056.01</v>
      </c>
      <c r="FF65" s="23">
        <f t="shared" si="66"/>
        <v>8056.01</v>
      </c>
      <c r="FG65" s="23">
        <f t="shared" si="66"/>
        <v>8056.01</v>
      </c>
      <c r="FH65" s="23">
        <f t="shared" si="66"/>
        <v>8056.01</v>
      </c>
      <c r="FI65" s="23">
        <f t="shared" si="66"/>
        <v>8056.01</v>
      </c>
      <c r="FJ65" s="231">
        <f t="shared" si="66"/>
        <v>8056.01</v>
      </c>
      <c r="FK65" s="23">
        <f t="shared" si="66"/>
        <v>8056.01</v>
      </c>
      <c r="FL65" s="23">
        <f t="shared" si="66"/>
        <v>8056.01</v>
      </c>
      <c r="FM65" s="23">
        <f t="shared" si="66"/>
        <v>8056.01</v>
      </c>
      <c r="FN65" s="23">
        <f t="shared" si="66"/>
        <v>8056.01</v>
      </c>
      <c r="FO65" s="23">
        <f>FN65-FO26+10000000</f>
        <v>10008056.01</v>
      </c>
      <c r="FP65" s="41">
        <f t="shared" si="66"/>
        <v>5008056.01</v>
      </c>
      <c r="FQ65" s="23">
        <v>5008136.29</v>
      </c>
      <c r="FR65" s="23">
        <f t="shared" si="66"/>
        <v>5008136.29</v>
      </c>
      <c r="FS65" s="23">
        <f t="shared" si="66"/>
        <v>5008136.29</v>
      </c>
      <c r="FT65" s="23">
        <f t="shared" si="66"/>
        <v>5008136.29</v>
      </c>
      <c r="FU65" s="23">
        <f t="shared" si="66"/>
        <v>5008136.29</v>
      </c>
      <c r="FV65" s="23">
        <f t="shared" si="66"/>
        <v>5008136.29</v>
      </c>
      <c r="FW65" s="23">
        <f t="shared" si="66"/>
        <v>5008136.29</v>
      </c>
      <c r="FX65" s="23">
        <f t="shared" si="66"/>
        <v>5008136.29</v>
      </c>
      <c r="FY65" s="23">
        <f t="shared" si="66"/>
        <v>8136.2900000000373</v>
      </c>
      <c r="FZ65" s="231">
        <f t="shared" si="66"/>
        <v>8136.2900000000373</v>
      </c>
      <c r="GA65" s="23">
        <f t="shared" si="66"/>
        <v>8136.2900000000373</v>
      </c>
      <c r="GB65" s="23">
        <f t="shared" si="66"/>
        <v>8136.2900000000373</v>
      </c>
      <c r="GC65" s="23">
        <f t="shared" si="66"/>
        <v>8136.2900000000373</v>
      </c>
      <c r="GD65" s="23">
        <f t="shared" si="66"/>
        <v>8136.2900000000373</v>
      </c>
      <c r="GE65" s="23">
        <f t="shared" si="66"/>
        <v>8136.2900000000373</v>
      </c>
      <c r="GF65" s="23">
        <f t="shared" si="66"/>
        <v>8136.2900000000373</v>
      </c>
      <c r="GG65" s="23">
        <f t="shared" si="66"/>
        <v>8136.2900000000373</v>
      </c>
      <c r="GH65" s="23">
        <f t="shared" si="66"/>
        <v>8136.2900000000373</v>
      </c>
      <c r="GI65" s="23">
        <f t="shared" si="66"/>
        <v>8136.2900000000373</v>
      </c>
      <c r="GJ65" s="23">
        <f t="shared" si="66"/>
        <v>8136.2900000000373</v>
      </c>
      <c r="GK65" s="41">
        <f t="shared" si="66"/>
        <v>8136.2900000000373</v>
      </c>
      <c r="GL65" s="23">
        <f t="shared" si="66"/>
        <v>8136.2900000000373</v>
      </c>
      <c r="GM65" s="23">
        <f t="shared" si="66"/>
        <v>8136.2900000000373</v>
      </c>
      <c r="GN65" s="23">
        <f t="shared" si="66"/>
        <v>8136.2900000000373</v>
      </c>
      <c r="GO65" s="23">
        <f t="shared" si="66"/>
        <v>8136.2900000000373</v>
      </c>
      <c r="GP65" s="23">
        <f t="shared" si="66"/>
        <v>8136.2900000000373</v>
      </c>
      <c r="GQ65" s="23">
        <f t="shared" si="66"/>
        <v>8136.2900000000373</v>
      </c>
      <c r="GR65" s="23">
        <f t="shared" si="66"/>
        <v>8136.2900000000373</v>
      </c>
      <c r="GS65" s="23">
        <f t="shared" si="66"/>
        <v>8136.2900000000373</v>
      </c>
      <c r="GT65" s="231">
        <f t="shared" si="66"/>
        <v>8136.2900000000373</v>
      </c>
      <c r="GU65" s="23">
        <f t="shared" si="66"/>
        <v>8136.2900000000373</v>
      </c>
      <c r="GV65" s="23">
        <f t="shared" si="66"/>
        <v>8136.2900000000373</v>
      </c>
      <c r="GW65" s="23">
        <f t="shared" si="66"/>
        <v>8136.2900000000373</v>
      </c>
      <c r="GX65" s="23">
        <f t="shared" si="66"/>
        <v>8136.2900000000373</v>
      </c>
      <c r="GY65" s="23">
        <f t="shared" si="66"/>
        <v>8136.2900000000373</v>
      </c>
      <c r="GZ65" s="23">
        <f t="shared" si="66"/>
        <v>8136.2900000000373</v>
      </c>
      <c r="HA65" s="23">
        <f t="shared" si="66"/>
        <v>8136.2900000000373</v>
      </c>
      <c r="HB65" s="23">
        <f t="shared" si="66"/>
        <v>8136.2900000000373</v>
      </c>
      <c r="HC65" s="23">
        <f t="shared" si="66"/>
        <v>8136.2900000000373</v>
      </c>
      <c r="HD65" s="41">
        <f t="shared" si="66"/>
        <v>8136.2900000000373</v>
      </c>
      <c r="HE65" s="23">
        <v>8446</v>
      </c>
      <c r="HF65" s="23">
        <f t="shared" si="66"/>
        <v>8446</v>
      </c>
      <c r="HG65" s="23">
        <f t="shared" si="66"/>
        <v>8446</v>
      </c>
      <c r="HH65" s="23">
        <f t="shared" ref="HH65:IT65" si="67">HG65-HH26</f>
        <v>8446</v>
      </c>
      <c r="HI65" s="23">
        <f t="shared" si="67"/>
        <v>8446</v>
      </c>
      <c r="HJ65" s="23">
        <f t="shared" si="67"/>
        <v>8446</v>
      </c>
      <c r="HK65" s="23">
        <f t="shared" si="67"/>
        <v>8446</v>
      </c>
      <c r="HL65" s="23">
        <f t="shared" si="67"/>
        <v>8446</v>
      </c>
      <c r="HM65" s="23">
        <f t="shared" si="67"/>
        <v>8446</v>
      </c>
      <c r="HN65" s="23">
        <f t="shared" si="67"/>
        <v>8446</v>
      </c>
      <c r="HO65" s="231">
        <f t="shared" si="67"/>
        <v>8446</v>
      </c>
      <c r="HP65" s="23">
        <f t="shared" si="67"/>
        <v>8446</v>
      </c>
      <c r="HQ65" s="23">
        <f t="shared" si="67"/>
        <v>8446</v>
      </c>
      <c r="HR65" s="23">
        <f t="shared" si="67"/>
        <v>8446</v>
      </c>
      <c r="HS65" s="23">
        <f t="shared" si="67"/>
        <v>8446</v>
      </c>
      <c r="HT65" s="23">
        <f t="shared" si="67"/>
        <v>8446</v>
      </c>
      <c r="HU65" s="23">
        <f t="shared" si="67"/>
        <v>8446</v>
      </c>
      <c r="HV65" s="23">
        <f t="shared" si="67"/>
        <v>8446</v>
      </c>
      <c r="HW65" s="23">
        <f t="shared" si="67"/>
        <v>8446</v>
      </c>
      <c r="HX65" s="23">
        <f t="shared" si="67"/>
        <v>8446</v>
      </c>
      <c r="HY65" s="23">
        <f t="shared" si="67"/>
        <v>8446</v>
      </c>
      <c r="HZ65" s="41">
        <f t="shared" si="67"/>
        <v>8446</v>
      </c>
      <c r="IA65" s="23">
        <f t="shared" si="67"/>
        <v>8446</v>
      </c>
      <c r="IB65" s="23">
        <f t="shared" si="67"/>
        <v>8446</v>
      </c>
      <c r="IC65" s="23">
        <f t="shared" si="67"/>
        <v>8446</v>
      </c>
      <c r="ID65" s="23">
        <f t="shared" si="67"/>
        <v>8446</v>
      </c>
      <c r="IE65" s="23">
        <f t="shared" si="67"/>
        <v>8446</v>
      </c>
      <c r="IF65" s="23">
        <f t="shared" si="67"/>
        <v>8446</v>
      </c>
      <c r="IG65" s="23">
        <f t="shared" si="67"/>
        <v>8446</v>
      </c>
      <c r="IH65" s="23">
        <f t="shared" si="67"/>
        <v>8446</v>
      </c>
      <c r="II65" s="23">
        <f t="shared" si="67"/>
        <v>8446</v>
      </c>
      <c r="IJ65" s="231">
        <f t="shared" si="67"/>
        <v>8446</v>
      </c>
      <c r="IK65" s="23">
        <f t="shared" si="67"/>
        <v>8446</v>
      </c>
      <c r="IL65" s="23">
        <f t="shared" si="67"/>
        <v>8446</v>
      </c>
      <c r="IM65" s="23">
        <f t="shared" si="67"/>
        <v>8446</v>
      </c>
      <c r="IN65" s="23">
        <f t="shared" si="67"/>
        <v>8446</v>
      </c>
      <c r="IO65" s="23">
        <f t="shared" si="67"/>
        <v>8446</v>
      </c>
      <c r="IP65" s="23">
        <f t="shared" si="67"/>
        <v>8446</v>
      </c>
      <c r="IQ65" s="23">
        <f t="shared" si="67"/>
        <v>8446</v>
      </c>
      <c r="IR65" s="23">
        <f>IQ65-IR26</f>
        <v>8446</v>
      </c>
      <c r="IS65" s="23">
        <f>IR65-IS26</f>
        <v>8446</v>
      </c>
      <c r="IT65" s="41">
        <f t="shared" si="67"/>
        <v>8446</v>
      </c>
      <c r="IU65" s="23"/>
    </row>
    <row r="66" spans="1:255" ht="14.1" customHeight="1">
      <c r="A66" s="9" t="s">
        <v>21</v>
      </c>
      <c r="B66" s="15"/>
      <c r="C66" s="40">
        <f t="shared" ref="C66:BN66" si="68">SUM(C58:C65)</f>
        <v>289887837.19</v>
      </c>
      <c r="D66" s="9">
        <f t="shared" si="68"/>
        <v>317187837.19</v>
      </c>
      <c r="E66" s="9">
        <f t="shared" si="68"/>
        <v>354687837.19</v>
      </c>
      <c r="F66" s="9">
        <f t="shared" si="68"/>
        <v>403787837.19000006</v>
      </c>
      <c r="G66" s="9">
        <f t="shared" si="68"/>
        <v>440687837.19000006</v>
      </c>
      <c r="H66" s="9">
        <f t="shared" si="68"/>
        <v>438087837.19000006</v>
      </c>
      <c r="I66" s="9">
        <f t="shared" si="68"/>
        <v>447487837.19</v>
      </c>
      <c r="J66" s="9">
        <f t="shared" si="68"/>
        <v>447237837.19</v>
      </c>
      <c r="K66" s="9">
        <f t="shared" si="68"/>
        <v>489437837.19</v>
      </c>
      <c r="L66" s="9">
        <f t="shared" si="68"/>
        <v>377437837.19</v>
      </c>
      <c r="M66" s="232">
        <f t="shared" si="68"/>
        <v>335637837.19000006</v>
      </c>
      <c r="N66" s="9">
        <f t="shared" si="68"/>
        <v>367437837.19</v>
      </c>
      <c r="O66" s="9">
        <f t="shared" si="68"/>
        <v>378637837.19</v>
      </c>
      <c r="P66" s="9">
        <f t="shared" si="68"/>
        <v>406937837.19</v>
      </c>
      <c r="Q66" s="9">
        <f t="shared" si="68"/>
        <v>416837837.19</v>
      </c>
      <c r="R66" s="9">
        <f t="shared" si="68"/>
        <v>437137837.19</v>
      </c>
      <c r="S66" s="9">
        <f t="shared" si="68"/>
        <v>434737837.19</v>
      </c>
      <c r="T66" s="9">
        <f t="shared" si="68"/>
        <v>436837837.18999994</v>
      </c>
      <c r="U66" s="9">
        <f t="shared" si="68"/>
        <v>438937837.18999994</v>
      </c>
      <c r="V66" s="40">
        <f t="shared" si="68"/>
        <v>438707255.26999998</v>
      </c>
      <c r="W66" s="9">
        <f t="shared" si="68"/>
        <v>438357255.26999998</v>
      </c>
      <c r="X66" s="9">
        <f t="shared" si="68"/>
        <v>437057255.26999998</v>
      </c>
      <c r="Y66" s="9">
        <f t="shared" si="68"/>
        <v>436457255.26999998</v>
      </c>
      <c r="Z66" s="9">
        <f t="shared" si="68"/>
        <v>437257255.26999998</v>
      </c>
      <c r="AA66" s="9">
        <f t="shared" si="68"/>
        <v>420657255.26999998</v>
      </c>
      <c r="AB66" s="9">
        <f t="shared" si="68"/>
        <v>430657255.26999998</v>
      </c>
      <c r="AC66" s="9">
        <f t="shared" si="68"/>
        <v>433707825.60000002</v>
      </c>
      <c r="AD66" s="9">
        <f t="shared" si="68"/>
        <v>433707825.60000002</v>
      </c>
      <c r="AE66" s="9">
        <f t="shared" si="68"/>
        <v>434057825.60000002</v>
      </c>
      <c r="AF66" s="232">
        <f t="shared" si="68"/>
        <v>367057825.60000002</v>
      </c>
      <c r="AG66" s="9">
        <f t="shared" si="68"/>
        <v>370557825.60000002</v>
      </c>
      <c r="AH66" s="9">
        <f t="shared" si="68"/>
        <v>369857825.60000002</v>
      </c>
      <c r="AI66" s="9">
        <f t="shared" si="68"/>
        <v>371057825.60000002</v>
      </c>
      <c r="AJ66" s="9">
        <f t="shared" si="68"/>
        <v>369957825.60000002</v>
      </c>
      <c r="AK66" s="9">
        <f t="shared" si="68"/>
        <v>372357825.60000002</v>
      </c>
      <c r="AL66" s="9">
        <f t="shared" si="68"/>
        <v>369757825.60000002</v>
      </c>
      <c r="AM66" s="9">
        <f t="shared" si="68"/>
        <v>370757825.60000002</v>
      </c>
      <c r="AN66" s="9">
        <f t="shared" si="68"/>
        <v>374157825.60000002</v>
      </c>
      <c r="AO66" s="9">
        <f t="shared" si="68"/>
        <v>375657825.60000002</v>
      </c>
      <c r="AP66" s="9">
        <f t="shared" si="68"/>
        <v>376957825.60000002</v>
      </c>
      <c r="AQ66" s="9">
        <f t="shared" si="68"/>
        <v>374357825.60000002</v>
      </c>
      <c r="AR66" s="40">
        <f t="shared" si="68"/>
        <v>374757825.60000002</v>
      </c>
      <c r="AS66" s="9">
        <f t="shared" si="68"/>
        <v>375085276.84999996</v>
      </c>
      <c r="AT66" s="9">
        <f t="shared" si="68"/>
        <v>376685276.84999996</v>
      </c>
      <c r="AU66" s="9">
        <f t="shared" si="68"/>
        <v>376485276.84999996</v>
      </c>
      <c r="AV66" s="9">
        <f t="shared" si="68"/>
        <v>360885276.84999996</v>
      </c>
      <c r="AW66" s="9">
        <f t="shared" si="68"/>
        <v>363885276.84999996</v>
      </c>
      <c r="AX66" s="9">
        <f t="shared" si="68"/>
        <v>363585276.84999996</v>
      </c>
      <c r="AY66" s="9">
        <f t="shared" si="68"/>
        <v>363085276.84999996</v>
      </c>
      <c r="AZ66" s="9">
        <f t="shared" si="68"/>
        <v>363085276.84999996</v>
      </c>
      <c r="BA66" s="9">
        <f t="shared" si="68"/>
        <v>366218989.78999996</v>
      </c>
      <c r="BB66" s="9">
        <f t="shared" si="68"/>
        <v>368318989.78999996</v>
      </c>
      <c r="BC66" s="232">
        <f t="shared" si="68"/>
        <v>299618989.78999996</v>
      </c>
      <c r="BD66" s="9">
        <f t="shared" si="68"/>
        <v>298918989.78999996</v>
      </c>
      <c r="BE66" s="9">
        <f t="shared" si="68"/>
        <v>294718989.78999996</v>
      </c>
      <c r="BF66" s="9">
        <f t="shared" si="68"/>
        <v>289718989.78999996</v>
      </c>
      <c r="BG66" s="9">
        <f t="shared" si="68"/>
        <v>289718989.78999996</v>
      </c>
      <c r="BH66" s="9">
        <f t="shared" si="68"/>
        <v>293218989.78999996</v>
      </c>
      <c r="BI66" s="9">
        <f t="shared" si="68"/>
        <v>293818989.78999996</v>
      </c>
      <c r="BJ66" s="9">
        <f t="shared" si="68"/>
        <v>293318989.78999996</v>
      </c>
      <c r="BK66" s="9">
        <f t="shared" si="68"/>
        <v>294227602.90999997</v>
      </c>
      <c r="BL66" s="9">
        <f t="shared" si="68"/>
        <v>293527602.90999997</v>
      </c>
      <c r="BM66" s="9">
        <f t="shared" si="68"/>
        <v>292127602.90999997</v>
      </c>
      <c r="BN66" s="40">
        <f t="shared" si="68"/>
        <v>288727602.90999997</v>
      </c>
      <c r="BO66" s="9">
        <f t="shared" ref="BO66:DZ66" si="69">SUM(BO58:BO65)</f>
        <v>284273234.56999999</v>
      </c>
      <c r="BP66" s="9">
        <f t="shared" si="69"/>
        <v>281673234.56999999</v>
      </c>
      <c r="BQ66" s="9">
        <f t="shared" si="69"/>
        <v>282873234.56999999</v>
      </c>
      <c r="BR66" s="9">
        <f t="shared" si="69"/>
        <v>274673234.56999999</v>
      </c>
      <c r="BS66" s="9">
        <f t="shared" si="69"/>
        <v>273673234.56999999</v>
      </c>
      <c r="BT66" s="9">
        <f t="shared" si="69"/>
        <v>273273234.56999999</v>
      </c>
      <c r="BU66" s="9">
        <f t="shared" si="69"/>
        <v>273173234.56999999</v>
      </c>
      <c r="BV66" s="9">
        <f t="shared" si="69"/>
        <v>268473234.56999999</v>
      </c>
      <c r="BW66" s="9">
        <f t="shared" si="69"/>
        <v>267673234.56999999</v>
      </c>
      <c r="BX66" s="9">
        <f t="shared" si="69"/>
        <v>268673234.56999999</v>
      </c>
      <c r="BY66" s="232">
        <f t="shared" si="69"/>
        <v>198173234.56999999</v>
      </c>
      <c r="BZ66" s="9">
        <f t="shared" si="69"/>
        <v>196573234.56999999</v>
      </c>
      <c r="CA66" s="9">
        <f t="shared" si="69"/>
        <v>196173234.56999999</v>
      </c>
      <c r="CB66" s="9">
        <f t="shared" si="69"/>
        <v>186573234.56999999</v>
      </c>
      <c r="CC66" s="9">
        <f t="shared" si="69"/>
        <v>186473234.56999999</v>
      </c>
      <c r="CD66" s="9">
        <f t="shared" si="69"/>
        <v>193873234.56999999</v>
      </c>
      <c r="CE66" s="9">
        <f t="shared" si="69"/>
        <v>195873234.56999999</v>
      </c>
      <c r="CF66" s="9">
        <f t="shared" si="69"/>
        <v>197973234.56999999</v>
      </c>
      <c r="CG66" s="9">
        <f t="shared" si="69"/>
        <v>196573234.56999999</v>
      </c>
      <c r="CH66" s="40">
        <f t="shared" si="69"/>
        <v>191273234.56999999</v>
      </c>
      <c r="CI66" s="9">
        <f t="shared" si="69"/>
        <v>190768959.36999997</v>
      </c>
      <c r="CJ66" s="9">
        <f t="shared" si="69"/>
        <v>191968959.36999997</v>
      </c>
      <c r="CK66" s="9">
        <f t="shared" si="69"/>
        <v>191268959.36999997</v>
      </c>
      <c r="CL66" s="9">
        <f t="shared" si="69"/>
        <v>190918959.36999997</v>
      </c>
      <c r="CM66" s="9">
        <f t="shared" si="69"/>
        <v>174918959.36999997</v>
      </c>
      <c r="CN66" s="9">
        <f t="shared" si="69"/>
        <v>174168959.37</v>
      </c>
      <c r="CO66" s="9">
        <f t="shared" si="69"/>
        <v>173368959.37</v>
      </c>
      <c r="CP66" s="9">
        <f t="shared" si="69"/>
        <v>173118959.37</v>
      </c>
      <c r="CQ66" s="9">
        <f t="shared" si="69"/>
        <v>174518959.37000003</v>
      </c>
      <c r="CR66" s="9">
        <f t="shared" si="69"/>
        <v>177618959.37000003</v>
      </c>
      <c r="CS66" s="232">
        <f t="shared" si="69"/>
        <v>112718959.36999999</v>
      </c>
      <c r="CT66" s="9">
        <f t="shared" si="69"/>
        <v>111868959.36999999</v>
      </c>
      <c r="CU66" s="9">
        <f t="shared" si="69"/>
        <v>111768959.36999999</v>
      </c>
      <c r="CV66" s="9">
        <f t="shared" si="69"/>
        <v>110168959.36999999</v>
      </c>
      <c r="CW66" s="9">
        <f t="shared" si="69"/>
        <v>115568959.36999999</v>
      </c>
      <c r="CX66" s="9">
        <f t="shared" si="69"/>
        <v>113668959.36999999</v>
      </c>
      <c r="CY66" s="9">
        <f t="shared" si="69"/>
        <v>112468959.36999999</v>
      </c>
      <c r="CZ66" s="9">
        <f t="shared" si="69"/>
        <v>111318959.36999999</v>
      </c>
      <c r="DA66" s="9">
        <f t="shared" si="69"/>
        <v>117918959.36999999</v>
      </c>
      <c r="DB66" s="9">
        <f t="shared" si="69"/>
        <v>115268959.36999999</v>
      </c>
      <c r="DC66" s="9">
        <f t="shared" si="69"/>
        <v>114318959.36999999</v>
      </c>
      <c r="DD66" s="40">
        <f t="shared" si="69"/>
        <v>99518959.36999999</v>
      </c>
      <c r="DE66" s="9">
        <f t="shared" si="69"/>
        <v>98162558.850000009</v>
      </c>
      <c r="DF66" s="9">
        <f t="shared" si="69"/>
        <v>98412558.850000009</v>
      </c>
      <c r="DG66" s="9">
        <f t="shared" si="69"/>
        <v>107412558.85000001</v>
      </c>
      <c r="DH66" s="9">
        <f t="shared" si="69"/>
        <v>108412558.85000001</v>
      </c>
      <c r="DI66" s="9">
        <f t="shared" si="69"/>
        <v>108212558.85000001</v>
      </c>
      <c r="DJ66" s="9">
        <f t="shared" si="69"/>
        <v>107912558.85000001</v>
      </c>
      <c r="DK66" s="9">
        <f t="shared" si="69"/>
        <v>106112558.85000001</v>
      </c>
      <c r="DL66" s="9">
        <f t="shared" si="69"/>
        <v>105962558.85000001</v>
      </c>
      <c r="DM66" s="9">
        <f t="shared" si="69"/>
        <v>107462558.85000001</v>
      </c>
      <c r="DN66" s="232">
        <f t="shared" si="69"/>
        <v>42462558.850000001</v>
      </c>
      <c r="DO66" s="9">
        <f t="shared" si="69"/>
        <v>41962558.850000001</v>
      </c>
      <c r="DP66" s="9">
        <f t="shared" si="69"/>
        <v>34612558.850000001</v>
      </c>
      <c r="DQ66" s="9">
        <f t="shared" si="69"/>
        <v>33562558.850000001</v>
      </c>
      <c r="DR66" s="9">
        <f t="shared" si="69"/>
        <v>32212558.849999998</v>
      </c>
      <c r="DS66" s="9">
        <f t="shared" si="69"/>
        <v>31012558.849999998</v>
      </c>
      <c r="DT66" s="9">
        <f t="shared" si="69"/>
        <v>28212558.849999998</v>
      </c>
      <c r="DU66" s="9">
        <f t="shared" si="69"/>
        <v>25412558.849999998</v>
      </c>
      <c r="DV66" s="9">
        <f t="shared" si="69"/>
        <v>27862558.849999998</v>
      </c>
      <c r="DW66" s="9">
        <f t="shared" si="69"/>
        <v>37612558.850000001</v>
      </c>
      <c r="DX66" s="9">
        <f t="shared" si="69"/>
        <v>35662558.850000001</v>
      </c>
      <c r="DY66" s="9">
        <f t="shared" si="69"/>
        <v>35662558.850000001</v>
      </c>
      <c r="DZ66" s="40">
        <f t="shared" si="69"/>
        <v>31594031.219999999</v>
      </c>
      <c r="EA66" s="9">
        <f t="shared" ref="EA66:GL66" si="70">SUM(EA58:EA65)</f>
        <v>31444031.219999999</v>
      </c>
      <c r="EB66" s="9">
        <f t="shared" si="70"/>
        <v>36044031.219999991</v>
      </c>
      <c r="EC66" s="9">
        <f t="shared" si="70"/>
        <v>34394031.219999991</v>
      </c>
      <c r="ED66" s="9">
        <f t="shared" si="70"/>
        <v>22044031.219999999</v>
      </c>
      <c r="EE66" s="9">
        <f t="shared" si="70"/>
        <v>19694031.219999999</v>
      </c>
      <c r="EF66" s="9">
        <f t="shared" si="70"/>
        <v>69294031.219999999</v>
      </c>
      <c r="EG66" s="9">
        <f t="shared" si="70"/>
        <v>69194031.219999999</v>
      </c>
      <c r="EH66" s="9">
        <f t="shared" si="70"/>
        <v>67394031.219999999</v>
      </c>
      <c r="EI66" s="9">
        <f t="shared" si="70"/>
        <v>76044031.220000014</v>
      </c>
      <c r="EJ66" s="232">
        <f t="shared" si="70"/>
        <v>10694031.220000006</v>
      </c>
      <c r="EK66" s="9">
        <f t="shared" si="70"/>
        <v>18744031.220000006</v>
      </c>
      <c r="EL66" s="9">
        <f t="shared" si="70"/>
        <v>29994031.220000006</v>
      </c>
      <c r="EM66" s="9">
        <f t="shared" si="70"/>
        <v>28094031.220000006</v>
      </c>
      <c r="EN66" s="9">
        <f t="shared" si="70"/>
        <v>27644031.220000006</v>
      </c>
      <c r="EO66" s="9">
        <f t="shared" si="70"/>
        <v>25544031.220000006</v>
      </c>
      <c r="EP66" s="9">
        <f t="shared" si="70"/>
        <v>21444031.220000006</v>
      </c>
      <c r="EQ66" s="9">
        <f t="shared" si="70"/>
        <v>95144031.220000014</v>
      </c>
      <c r="ER66" s="9">
        <f t="shared" si="70"/>
        <v>92394031.220000014</v>
      </c>
      <c r="ES66" s="9">
        <f t="shared" si="70"/>
        <v>92144031.220000014</v>
      </c>
      <c r="ET66" s="9">
        <f t="shared" si="70"/>
        <v>91194031.220000014</v>
      </c>
      <c r="EU66" s="40">
        <f t="shared" si="70"/>
        <v>87644031.220000014</v>
      </c>
      <c r="EV66" s="9">
        <f t="shared" si="70"/>
        <v>85244031.220000014</v>
      </c>
      <c r="EW66" s="9">
        <f t="shared" si="70"/>
        <v>86194031.220000014</v>
      </c>
      <c r="EX66" s="9">
        <f t="shared" si="70"/>
        <v>86094031.220000014</v>
      </c>
      <c r="EY66" s="9">
        <f t="shared" si="70"/>
        <v>70594031.220000014</v>
      </c>
      <c r="EZ66" s="9">
        <f t="shared" si="70"/>
        <v>69294031.220000014</v>
      </c>
      <c r="FA66" s="9">
        <f t="shared" si="70"/>
        <v>69794031.220000014</v>
      </c>
      <c r="FB66" s="9">
        <f t="shared" si="70"/>
        <v>83294031.220000014</v>
      </c>
      <c r="FC66" s="9">
        <f t="shared" si="70"/>
        <v>82994031.220000014</v>
      </c>
      <c r="FD66" s="9">
        <f t="shared" si="70"/>
        <v>81494031.220000014</v>
      </c>
      <c r="FE66" s="232">
        <f t="shared" si="70"/>
        <v>14794031.22000001</v>
      </c>
      <c r="FF66" s="9">
        <f t="shared" si="70"/>
        <v>13594031.22000001</v>
      </c>
      <c r="FG66" s="9">
        <f t="shared" si="70"/>
        <v>12994031.22000001</v>
      </c>
      <c r="FH66" s="9">
        <f t="shared" si="70"/>
        <v>21794031.22000001</v>
      </c>
      <c r="FI66" s="9">
        <f t="shared" si="70"/>
        <v>17294031.22000001</v>
      </c>
      <c r="FJ66" s="232">
        <f t="shared" si="70"/>
        <v>16944031.22000001</v>
      </c>
      <c r="FK66" s="9">
        <f t="shared" si="70"/>
        <v>15144031.22000001</v>
      </c>
      <c r="FL66" s="9">
        <f t="shared" si="70"/>
        <v>17694031.22000001</v>
      </c>
      <c r="FM66" s="9">
        <f t="shared" si="70"/>
        <v>136394031.22000003</v>
      </c>
      <c r="FN66" s="9">
        <f t="shared" si="70"/>
        <v>132094031.22000001</v>
      </c>
      <c r="FO66" s="9">
        <f t="shared" si="70"/>
        <v>133844031.22000001</v>
      </c>
      <c r="FP66" s="40">
        <f t="shared" si="70"/>
        <v>132994031.22000001</v>
      </c>
      <c r="FQ66" s="9">
        <f t="shared" si="70"/>
        <v>132644111.50000001</v>
      </c>
      <c r="FR66" s="9">
        <f t="shared" si="70"/>
        <v>128744111.50000001</v>
      </c>
      <c r="FS66" s="9">
        <f t="shared" si="70"/>
        <v>125344111.50000001</v>
      </c>
      <c r="FT66" s="9">
        <f t="shared" si="70"/>
        <v>109094111.50000001</v>
      </c>
      <c r="FU66" s="9">
        <f t="shared" si="70"/>
        <v>108744111.50000001</v>
      </c>
      <c r="FV66" s="9">
        <f t="shared" si="70"/>
        <v>108444111.50000001</v>
      </c>
      <c r="FW66" s="9">
        <f t="shared" si="70"/>
        <v>108344111.50000001</v>
      </c>
      <c r="FX66" s="9">
        <f t="shared" si="70"/>
        <v>105344111.50000001</v>
      </c>
      <c r="FY66" s="9">
        <f t="shared" si="70"/>
        <v>105244111.50000001</v>
      </c>
      <c r="FZ66" s="232">
        <f t="shared" si="70"/>
        <v>40544111.500000007</v>
      </c>
      <c r="GA66" s="9">
        <f t="shared" si="70"/>
        <v>33694111.500000007</v>
      </c>
      <c r="GB66" s="9">
        <f t="shared" si="70"/>
        <v>34794111.500000007</v>
      </c>
      <c r="GC66" s="9">
        <f t="shared" si="70"/>
        <v>36744111.500000007</v>
      </c>
      <c r="GD66" s="9">
        <f t="shared" si="70"/>
        <v>34844111.500000007</v>
      </c>
      <c r="GE66" s="9">
        <f t="shared" si="70"/>
        <v>35994111.500000007</v>
      </c>
      <c r="GF66" s="9">
        <f t="shared" si="70"/>
        <v>38044111.500000007</v>
      </c>
      <c r="GG66" s="9">
        <f t="shared" si="70"/>
        <v>122294111.50000001</v>
      </c>
      <c r="GH66" s="9">
        <f t="shared" si="70"/>
        <v>124194111.50000001</v>
      </c>
      <c r="GI66" s="9">
        <f t="shared" si="70"/>
        <v>127894111.50000001</v>
      </c>
      <c r="GJ66" s="9">
        <f t="shared" si="70"/>
        <v>147744111.50000003</v>
      </c>
      <c r="GK66" s="40">
        <f t="shared" si="70"/>
        <v>145044111.50000003</v>
      </c>
      <c r="GL66" s="9">
        <f t="shared" si="70"/>
        <v>143294111.50000003</v>
      </c>
      <c r="GM66" s="9">
        <f t="shared" ref="GM66:IT66" si="71">SUM(GM58:GM65)</f>
        <v>146044111.50000003</v>
      </c>
      <c r="GN66" s="9">
        <f t="shared" si="71"/>
        <v>145644111.50000003</v>
      </c>
      <c r="GO66" s="9">
        <f t="shared" si="71"/>
        <v>149244111.50000003</v>
      </c>
      <c r="GP66" s="9">
        <f t="shared" si="71"/>
        <v>134744111.5</v>
      </c>
      <c r="GQ66" s="9">
        <f t="shared" si="71"/>
        <v>134144111.50000001</v>
      </c>
      <c r="GR66" s="9">
        <f t="shared" si="71"/>
        <v>134944111.5</v>
      </c>
      <c r="GS66" s="9">
        <f t="shared" si="71"/>
        <v>134044111.50000001</v>
      </c>
      <c r="GT66" s="232">
        <f t="shared" si="71"/>
        <v>65644111.500000007</v>
      </c>
      <c r="GU66" s="9">
        <f t="shared" si="71"/>
        <v>63694111.500000007</v>
      </c>
      <c r="GV66" s="9">
        <f t="shared" si="71"/>
        <v>70044111.500000015</v>
      </c>
      <c r="GW66" s="9">
        <f t="shared" si="71"/>
        <v>67344111.500000015</v>
      </c>
      <c r="GX66" s="9">
        <f t="shared" si="71"/>
        <v>68844111.500000015</v>
      </c>
      <c r="GY66" s="9">
        <f t="shared" si="71"/>
        <v>69444111.500000015</v>
      </c>
      <c r="GZ66" s="9">
        <f t="shared" si="71"/>
        <v>61694111.500000007</v>
      </c>
      <c r="HA66" s="9">
        <f t="shared" si="71"/>
        <v>62194111.500000007</v>
      </c>
      <c r="HB66" s="9">
        <f t="shared" si="71"/>
        <v>61944111.500000007</v>
      </c>
      <c r="HC66" s="9">
        <f t="shared" si="71"/>
        <v>67794111.500000015</v>
      </c>
      <c r="HD66" s="40">
        <f t="shared" si="71"/>
        <v>72444111.500000015</v>
      </c>
      <c r="HE66" s="9">
        <f t="shared" si="71"/>
        <v>72603059.470000014</v>
      </c>
      <c r="HF66" s="9">
        <f t="shared" si="71"/>
        <v>75303059.470000014</v>
      </c>
      <c r="HG66" s="9">
        <f t="shared" si="71"/>
        <v>77607235.019999996</v>
      </c>
      <c r="HH66" s="9">
        <f t="shared" si="71"/>
        <v>66457235.020000011</v>
      </c>
      <c r="HI66" s="9">
        <f t="shared" si="71"/>
        <v>63757235.020000011</v>
      </c>
      <c r="HJ66" s="9">
        <f t="shared" si="71"/>
        <v>64516919.950000003</v>
      </c>
      <c r="HK66" s="9">
        <f t="shared" si="71"/>
        <v>73416919.950000003</v>
      </c>
      <c r="HL66" s="9">
        <f t="shared" si="71"/>
        <v>75516919.950000003</v>
      </c>
      <c r="HM66" s="9">
        <f t="shared" si="71"/>
        <v>74916919.950000003</v>
      </c>
      <c r="HN66" s="9">
        <f t="shared" si="71"/>
        <v>75416919.950000003</v>
      </c>
      <c r="HO66" s="232">
        <f t="shared" si="71"/>
        <v>7466919.9499999993</v>
      </c>
      <c r="HP66" s="9">
        <f t="shared" si="71"/>
        <v>13016919.949999999</v>
      </c>
      <c r="HQ66" s="9">
        <f t="shared" si="71"/>
        <v>17316919.950000003</v>
      </c>
      <c r="HR66" s="9">
        <f t="shared" si="71"/>
        <v>13716919.949999999</v>
      </c>
      <c r="HS66" s="9">
        <f t="shared" si="71"/>
        <v>22716919.950000003</v>
      </c>
      <c r="HT66" s="9">
        <f t="shared" si="71"/>
        <v>39566919.950000003</v>
      </c>
      <c r="HU66" s="9">
        <f t="shared" si="71"/>
        <v>40466919.950000003</v>
      </c>
      <c r="HV66" s="9">
        <f t="shared" si="71"/>
        <v>68216919.949999988</v>
      </c>
      <c r="HW66" s="9">
        <f t="shared" si="71"/>
        <v>67216919.949999988</v>
      </c>
      <c r="HX66" s="9">
        <f t="shared" si="71"/>
        <v>72916919.949999988</v>
      </c>
      <c r="HY66" s="9">
        <f t="shared" si="71"/>
        <v>81566919.949999988</v>
      </c>
      <c r="HZ66" s="40">
        <f t="shared" si="71"/>
        <v>96666919.949999988</v>
      </c>
      <c r="IA66" s="9">
        <f t="shared" si="71"/>
        <v>99616919.949999988</v>
      </c>
      <c r="IB66" s="9">
        <f t="shared" si="71"/>
        <v>139216919.94999999</v>
      </c>
      <c r="IC66" s="9">
        <f t="shared" si="71"/>
        <v>151216919.94999999</v>
      </c>
      <c r="ID66" s="9">
        <f t="shared" si="71"/>
        <v>160766919.94999999</v>
      </c>
      <c r="IE66" s="9">
        <f t="shared" si="71"/>
        <v>167716919.94999999</v>
      </c>
      <c r="IF66" s="9">
        <f t="shared" si="71"/>
        <v>174116919.94999999</v>
      </c>
      <c r="IG66" s="9">
        <f t="shared" si="71"/>
        <v>174266919.94999999</v>
      </c>
      <c r="IH66" s="9">
        <f t="shared" si="71"/>
        <v>236216919.94999999</v>
      </c>
      <c r="II66" s="9">
        <f t="shared" si="71"/>
        <v>247516919.94999999</v>
      </c>
      <c r="IJ66" s="232">
        <f t="shared" si="71"/>
        <v>196816919.94999999</v>
      </c>
      <c r="IK66" s="9">
        <f t="shared" si="71"/>
        <v>198966919.94999999</v>
      </c>
      <c r="IL66" s="9">
        <f t="shared" si="71"/>
        <v>213716919.94999999</v>
      </c>
      <c r="IM66" s="9">
        <f t="shared" si="71"/>
        <v>223616919.95000002</v>
      </c>
      <c r="IN66" s="9">
        <f t="shared" si="71"/>
        <v>239166919.95000002</v>
      </c>
      <c r="IO66" s="9">
        <f t="shared" si="71"/>
        <v>246166919.95000002</v>
      </c>
      <c r="IP66" s="9">
        <f t="shared" si="71"/>
        <v>265566919.94999999</v>
      </c>
      <c r="IQ66" s="9">
        <f t="shared" si="71"/>
        <v>281116919.94999999</v>
      </c>
      <c r="IR66" s="9">
        <f>SUM(IR58:IR65)</f>
        <v>315216919.95000005</v>
      </c>
      <c r="IS66" s="9">
        <f>SUM(IS58:IS65)</f>
        <v>341966919.95000005</v>
      </c>
      <c r="IT66" s="40">
        <f t="shared" si="71"/>
        <v>341966919.95000005</v>
      </c>
      <c r="IU66" s="9"/>
    </row>
    <row r="67" spans="1:255">
      <c r="C67" s="152"/>
      <c r="M67" s="213"/>
      <c r="AF67" s="213"/>
      <c r="BC67" s="213"/>
      <c r="BY67" s="213"/>
      <c r="CS67" s="213"/>
      <c r="CZ67" s="8"/>
      <c r="DN67" s="213"/>
      <c r="DR67" s="8"/>
      <c r="EB67" s="8"/>
      <c r="EJ67" s="213"/>
      <c r="EK67" s="140"/>
      <c r="EQ67" s="8"/>
      <c r="FD67" s="8"/>
      <c r="FE67" s="213"/>
      <c r="FJ67" s="213"/>
      <c r="FZ67" s="213"/>
      <c r="GT67" s="213"/>
      <c r="HO67" s="213"/>
      <c r="IJ67" s="213"/>
    </row>
    <row r="68" spans="1:255" s="63" customFormat="1" ht="16.5">
      <c r="A68" s="62" t="s">
        <v>60</v>
      </c>
      <c r="C68" s="61">
        <f t="shared" ref="C68:BN68" si="72">C54+C66</f>
        <v>290000935.20999998</v>
      </c>
      <c r="D68" s="61">
        <f t="shared" si="72"/>
        <v>317318110.20999998</v>
      </c>
      <c r="E68" s="61">
        <f t="shared" si="72"/>
        <v>354799504.20999998</v>
      </c>
      <c r="F68" s="61">
        <f t="shared" si="72"/>
        <v>403919700.21000004</v>
      </c>
      <c r="G68" s="61">
        <f t="shared" si="72"/>
        <v>440808599.21000004</v>
      </c>
      <c r="H68" s="61">
        <f t="shared" si="72"/>
        <v>438216019.21000004</v>
      </c>
      <c r="I68" s="61">
        <f t="shared" si="72"/>
        <v>447721327.20999998</v>
      </c>
      <c r="J68" s="61">
        <f t="shared" si="72"/>
        <v>447352038.98999995</v>
      </c>
      <c r="K68" s="61">
        <f t="shared" si="72"/>
        <v>489558181.99000001</v>
      </c>
      <c r="L68" s="61">
        <f t="shared" si="72"/>
        <v>377558688.98999995</v>
      </c>
      <c r="M68" s="233">
        <f t="shared" si="72"/>
        <v>335791933.88999999</v>
      </c>
      <c r="N68" s="61">
        <f t="shared" si="72"/>
        <v>367587329.08999997</v>
      </c>
      <c r="O68" s="61">
        <f t="shared" si="72"/>
        <v>378815141.08999997</v>
      </c>
      <c r="P68" s="61">
        <f t="shared" si="72"/>
        <v>407052052.08999997</v>
      </c>
      <c r="Q68" s="61">
        <f t="shared" si="72"/>
        <v>416946275.08999997</v>
      </c>
      <c r="R68" s="61">
        <f t="shared" si="72"/>
        <v>437248998.08999991</v>
      </c>
      <c r="S68" s="61">
        <f t="shared" si="72"/>
        <v>434856888.08999991</v>
      </c>
      <c r="T68" s="61">
        <f t="shared" si="72"/>
        <v>436952608.08999991</v>
      </c>
      <c r="U68" s="61">
        <f t="shared" si="72"/>
        <v>439042770.08999991</v>
      </c>
      <c r="V68" s="61">
        <f t="shared" si="72"/>
        <v>438828830.16999996</v>
      </c>
      <c r="W68" s="61">
        <f t="shared" si="72"/>
        <v>438524043.16999996</v>
      </c>
      <c r="X68" s="61">
        <f t="shared" si="72"/>
        <v>437188059.1699999</v>
      </c>
      <c r="Y68" s="61">
        <f t="shared" si="72"/>
        <v>436571574.1699999</v>
      </c>
      <c r="Z68" s="61">
        <f t="shared" si="72"/>
        <v>437387437.1699999</v>
      </c>
      <c r="AA68" s="61">
        <f t="shared" si="72"/>
        <v>420840926.16999996</v>
      </c>
      <c r="AB68" s="61">
        <f t="shared" si="72"/>
        <v>430832551.16999996</v>
      </c>
      <c r="AC68" s="61">
        <f t="shared" si="72"/>
        <v>433894174.5</v>
      </c>
      <c r="AD68" s="61">
        <f t="shared" si="72"/>
        <v>433885817.5</v>
      </c>
      <c r="AE68" s="61">
        <f t="shared" si="72"/>
        <v>434177357.5</v>
      </c>
      <c r="AF68" s="233">
        <f t="shared" si="72"/>
        <v>367252652.49999994</v>
      </c>
      <c r="AG68" s="61">
        <f t="shared" si="72"/>
        <v>370703899.49999994</v>
      </c>
      <c r="AH68" s="61">
        <f t="shared" si="72"/>
        <v>370843683.49999994</v>
      </c>
      <c r="AI68" s="61">
        <f t="shared" si="72"/>
        <v>371212774.49999994</v>
      </c>
      <c r="AJ68" s="61">
        <f t="shared" si="72"/>
        <v>370057957.49999994</v>
      </c>
      <c r="AK68" s="61">
        <f t="shared" si="72"/>
        <v>372457825.49999994</v>
      </c>
      <c r="AL68" s="61">
        <f t="shared" si="72"/>
        <v>369857825.49999994</v>
      </c>
      <c r="AM68" s="61">
        <f t="shared" si="72"/>
        <v>370865969.49999994</v>
      </c>
      <c r="AN68" s="61">
        <f t="shared" si="72"/>
        <v>374273998.49999994</v>
      </c>
      <c r="AO68" s="61">
        <f t="shared" si="72"/>
        <v>375768998.49999994</v>
      </c>
      <c r="AP68" s="61">
        <f t="shared" si="72"/>
        <v>377073099.49999994</v>
      </c>
      <c r="AQ68" s="61">
        <f t="shared" si="72"/>
        <v>374480237.49999994</v>
      </c>
      <c r="AR68" s="61">
        <f t="shared" si="72"/>
        <v>375123862.49999994</v>
      </c>
      <c r="AS68" s="61">
        <f t="shared" si="72"/>
        <v>375250528.74999988</v>
      </c>
      <c r="AT68" s="61">
        <f t="shared" si="72"/>
        <v>376894021.74999988</v>
      </c>
      <c r="AU68" s="61">
        <f t="shared" si="72"/>
        <v>376668965.74999988</v>
      </c>
      <c r="AV68" s="61">
        <f t="shared" si="72"/>
        <v>361027437.74999988</v>
      </c>
      <c r="AW68" s="61">
        <f t="shared" si="72"/>
        <v>363996055.74999988</v>
      </c>
      <c r="AX68" s="61">
        <f t="shared" si="72"/>
        <v>363796832.74999988</v>
      </c>
      <c r="AY68" s="61">
        <f t="shared" si="72"/>
        <v>363215711.74999988</v>
      </c>
      <c r="AZ68" s="61">
        <f t="shared" si="72"/>
        <v>363248258.74999988</v>
      </c>
      <c r="BA68" s="61">
        <f t="shared" si="72"/>
        <v>366338247.68999988</v>
      </c>
      <c r="BB68" s="61">
        <f t="shared" si="72"/>
        <v>368443272.68999988</v>
      </c>
      <c r="BC68" s="233">
        <f t="shared" si="72"/>
        <v>299747884.68999988</v>
      </c>
      <c r="BD68" s="61">
        <f t="shared" si="72"/>
        <v>299030186.68999988</v>
      </c>
      <c r="BE68" s="61">
        <f t="shared" si="72"/>
        <v>294836749.68999988</v>
      </c>
      <c r="BF68" s="61">
        <f t="shared" si="72"/>
        <v>289881316.68999988</v>
      </c>
      <c r="BG68" s="61">
        <f t="shared" si="72"/>
        <v>289864989.68999988</v>
      </c>
      <c r="BH68" s="61">
        <f t="shared" si="72"/>
        <v>293333929.68999988</v>
      </c>
      <c r="BI68" s="61">
        <f t="shared" si="72"/>
        <v>293927169.68999988</v>
      </c>
      <c r="BJ68" s="61">
        <f t="shared" si="72"/>
        <v>293449916.68999988</v>
      </c>
      <c r="BK68" s="61">
        <f t="shared" si="72"/>
        <v>294359780.80999988</v>
      </c>
      <c r="BL68" s="61">
        <f t="shared" si="72"/>
        <v>293638511.80999988</v>
      </c>
      <c r="BM68" s="61">
        <f t="shared" si="72"/>
        <v>292234171.80999988</v>
      </c>
      <c r="BN68" s="61">
        <f t="shared" si="72"/>
        <v>288866084.80999988</v>
      </c>
      <c r="BO68" s="61">
        <f t="shared" ref="BO68:DZ68" si="73">BO54+BO66</f>
        <v>284460562.46999991</v>
      </c>
      <c r="BP68" s="61">
        <f t="shared" si="73"/>
        <v>281849173.46999991</v>
      </c>
      <c r="BQ68" s="61">
        <f t="shared" si="73"/>
        <v>283019783.46999991</v>
      </c>
      <c r="BR68" s="61">
        <f t="shared" si="73"/>
        <v>274814111.46999991</v>
      </c>
      <c r="BS68" s="61">
        <f t="shared" si="73"/>
        <v>273920164.46999991</v>
      </c>
      <c r="BT68" s="61">
        <f t="shared" si="73"/>
        <v>273398154.46999991</v>
      </c>
      <c r="BU68" s="61">
        <f t="shared" si="73"/>
        <v>272921921.46999991</v>
      </c>
      <c r="BV68" s="61">
        <f t="shared" si="73"/>
        <v>268599749.46999991</v>
      </c>
      <c r="BW68" s="61">
        <f t="shared" si="73"/>
        <v>267790551.46999994</v>
      </c>
      <c r="BX68" s="61">
        <f t="shared" si="73"/>
        <v>268775820.46999991</v>
      </c>
      <c r="BY68" s="233">
        <f t="shared" si="73"/>
        <v>198277355.46999991</v>
      </c>
      <c r="BZ68" s="61">
        <f t="shared" si="73"/>
        <v>196726977.46999994</v>
      </c>
      <c r="CA68" s="61">
        <f t="shared" si="73"/>
        <v>196346137.46999991</v>
      </c>
      <c r="CB68" s="61">
        <f t="shared" si="73"/>
        <v>186690764.46999994</v>
      </c>
      <c r="CC68" s="61">
        <f t="shared" si="73"/>
        <v>186580812.46999994</v>
      </c>
      <c r="CD68" s="61">
        <f t="shared" si="73"/>
        <v>193977362.46999994</v>
      </c>
      <c r="CE68" s="61">
        <f t="shared" si="73"/>
        <v>195985431.46999991</v>
      </c>
      <c r="CF68" s="61">
        <f t="shared" si="73"/>
        <v>198081364.46999991</v>
      </c>
      <c r="CG68" s="61">
        <f t="shared" si="73"/>
        <v>196715390.46999991</v>
      </c>
      <c r="CH68" s="61">
        <f t="shared" si="73"/>
        <v>191420388.46999991</v>
      </c>
      <c r="CI68" s="61">
        <f t="shared" si="73"/>
        <v>190906343.26999992</v>
      </c>
      <c r="CJ68" s="61">
        <f t="shared" si="73"/>
        <v>192110222.26999992</v>
      </c>
      <c r="CK68" s="61">
        <f t="shared" si="73"/>
        <v>191401796.26999992</v>
      </c>
      <c r="CL68" s="61">
        <f t="shared" si="73"/>
        <v>191032838.26999992</v>
      </c>
      <c r="CM68" s="61">
        <f t="shared" si="73"/>
        <v>175035985.26999992</v>
      </c>
      <c r="CN68" s="61">
        <f t="shared" si="73"/>
        <v>174272385.26999995</v>
      </c>
      <c r="CO68" s="61">
        <f t="shared" si="73"/>
        <v>173489113.26999995</v>
      </c>
      <c r="CP68" s="61">
        <f t="shared" si="73"/>
        <v>173311484.26999992</v>
      </c>
      <c r="CQ68" s="61">
        <f t="shared" si="73"/>
        <v>174656208.26999998</v>
      </c>
      <c r="CR68" s="61">
        <f t="shared" si="73"/>
        <v>177760409.26999998</v>
      </c>
      <c r="CS68" s="233">
        <f t="shared" si="73"/>
        <v>112833660.26999992</v>
      </c>
      <c r="CT68" s="61">
        <f t="shared" si="73"/>
        <v>112076305.26999992</v>
      </c>
      <c r="CU68" s="61">
        <f t="shared" si="73"/>
        <v>112017135.26999992</v>
      </c>
      <c r="CV68" s="61">
        <f t="shared" si="73"/>
        <v>110476636.26999992</v>
      </c>
      <c r="CW68" s="61">
        <f t="shared" si="73"/>
        <v>115792434.26999992</v>
      </c>
      <c r="CX68" s="61">
        <f t="shared" si="73"/>
        <v>113779763.26999992</v>
      </c>
      <c r="CY68" s="61">
        <f t="shared" si="73"/>
        <v>112929318.26999992</v>
      </c>
      <c r="CZ68" s="61">
        <f t="shared" si="73"/>
        <v>111528270.26999992</v>
      </c>
      <c r="DA68" s="61">
        <f t="shared" si="73"/>
        <v>118134022.26999992</v>
      </c>
      <c r="DB68" s="61">
        <f t="shared" si="73"/>
        <v>115459827.26999992</v>
      </c>
      <c r="DC68" s="61">
        <f t="shared" si="73"/>
        <v>114421163.26999992</v>
      </c>
      <c r="DD68" s="61">
        <f t="shared" si="73"/>
        <v>99640695.269999921</v>
      </c>
      <c r="DE68" s="61">
        <f t="shared" si="73"/>
        <v>98278120.74999994</v>
      </c>
      <c r="DF68" s="61">
        <f t="shared" si="73"/>
        <v>98513469.74999994</v>
      </c>
      <c r="DG68" s="61">
        <f t="shared" si="73"/>
        <v>107512558.74999994</v>
      </c>
      <c r="DH68" s="61">
        <f t="shared" si="73"/>
        <v>108512558.84999995</v>
      </c>
      <c r="DI68" s="61">
        <f t="shared" si="73"/>
        <v>108065101.69999994</v>
      </c>
      <c r="DJ68" s="61">
        <f t="shared" si="73"/>
        <v>108012558.84999995</v>
      </c>
      <c r="DK68" s="61">
        <f t="shared" si="73"/>
        <v>106212558.84999995</v>
      </c>
      <c r="DL68" s="61">
        <f t="shared" si="73"/>
        <v>106062558.84999995</v>
      </c>
      <c r="DM68" s="61">
        <f t="shared" si="73"/>
        <v>107562558.84999993</v>
      </c>
      <c r="DN68" s="233">
        <f t="shared" si="73"/>
        <v>43000260.229999922</v>
      </c>
      <c r="DO68" s="61">
        <f t="shared" si="73"/>
        <v>42384212.80999992</v>
      </c>
      <c r="DP68" s="61">
        <f t="shared" si="73"/>
        <v>34833209.84999992</v>
      </c>
      <c r="DQ68" s="61">
        <f t="shared" si="73"/>
        <v>33707251.84999992</v>
      </c>
      <c r="DR68" s="61">
        <f t="shared" si="73"/>
        <v>32333183.84999992</v>
      </c>
      <c r="DS68" s="61">
        <f t="shared" si="73"/>
        <v>31152843.84999992</v>
      </c>
      <c r="DT68" s="61">
        <f t="shared" si="73"/>
        <v>28342972.84999992</v>
      </c>
      <c r="DU68" s="61">
        <f t="shared" si="73"/>
        <v>25532822.84999992</v>
      </c>
      <c r="DV68" s="61">
        <f t="shared" si="73"/>
        <v>27969020.84999992</v>
      </c>
      <c r="DW68" s="61">
        <f t="shared" si="73"/>
        <v>37808987.849999927</v>
      </c>
      <c r="DX68" s="61">
        <f t="shared" si="73"/>
        <v>36140518.849999927</v>
      </c>
      <c r="DY68" s="61">
        <f t="shared" si="73"/>
        <v>35794748.849999927</v>
      </c>
      <c r="DZ68" s="61">
        <f t="shared" si="73"/>
        <v>31694663.219999924</v>
      </c>
      <c r="EA68" s="61">
        <f t="shared" ref="EA68:GL68" si="74">EA54+EA66</f>
        <v>31544031.219999924</v>
      </c>
      <c r="EB68" s="61">
        <f t="shared" si="74"/>
        <v>36239431.219999917</v>
      </c>
      <c r="EC68" s="61">
        <f t="shared" si="74"/>
        <v>34562260.219999917</v>
      </c>
      <c r="ED68" s="61">
        <f t="shared" si="74"/>
        <v>22173897.219999921</v>
      </c>
      <c r="EE68" s="248">
        <f t="shared" si="74"/>
        <v>19835005.219999921</v>
      </c>
      <c r="EF68" s="61">
        <f t="shared" si="74"/>
        <v>19396847.219999917</v>
      </c>
      <c r="EG68" s="61">
        <f t="shared" si="74"/>
        <v>19323039.255499914</v>
      </c>
      <c r="EH68" s="61">
        <f t="shared" si="74"/>
        <v>17517695.255499914</v>
      </c>
      <c r="EI68" s="61">
        <f t="shared" si="74"/>
        <v>26182204.255499929</v>
      </c>
      <c r="EJ68" s="233">
        <f t="shared" si="74"/>
        <v>-38958316.744500078</v>
      </c>
      <c r="EK68" s="248">
        <f t="shared" si="74"/>
        <v>-30990113.374500081</v>
      </c>
      <c r="EL68" s="61">
        <f t="shared" si="74"/>
        <v>-19892288.744500078</v>
      </c>
      <c r="EM68" s="61">
        <f t="shared" si="74"/>
        <v>-21800793.744500078</v>
      </c>
      <c r="EN68" s="61">
        <f t="shared" si="74"/>
        <v>-22251510.744500078</v>
      </c>
      <c r="EO68" s="61">
        <f t="shared" si="74"/>
        <v>-24291482.744500078</v>
      </c>
      <c r="EP68" s="61">
        <f t="shared" si="74"/>
        <v>-28410592.744500078</v>
      </c>
      <c r="EQ68" s="61">
        <f t="shared" si="74"/>
        <v>45273917.255499929</v>
      </c>
      <c r="ER68" s="61">
        <f t="shared" si="74"/>
        <v>42555013.255499929</v>
      </c>
      <c r="ES68" s="61">
        <f t="shared" si="74"/>
        <v>42285719.255499929</v>
      </c>
      <c r="ET68" s="61">
        <f t="shared" si="74"/>
        <v>41317632.235499933</v>
      </c>
      <c r="EU68" s="61">
        <f t="shared" si="74"/>
        <v>37748537.235499933</v>
      </c>
      <c r="EV68" s="61">
        <f t="shared" si="74"/>
        <v>35413615.235499933</v>
      </c>
      <c r="EW68" s="61">
        <f t="shared" si="74"/>
        <v>36315226.235499933</v>
      </c>
      <c r="EX68" s="61">
        <f t="shared" si="74"/>
        <v>36226053.235499933</v>
      </c>
      <c r="EY68" s="61">
        <f t="shared" si="74"/>
        <v>20750869.235499933</v>
      </c>
      <c r="EZ68" s="61">
        <f t="shared" si="74"/>
        <v>19760617.235499933</v>
      </c>
      <c r="FA68" s="61">
        <f t="shared" si="74"/>
        <v>20027581.235499933</v>
      </c>
      <c r="FB68" s="61">
        <f t="shared" si="74"/>
        <v>18422294.235499933</v>
      </c>
      <c r="FC68" s="61">
        <f t="shared" si="74"/>
        <v>18186180.235499933</v>
      </c>
      <c r="FD68" s="61">
        <f t="shared" si="74"/>
        <v>16635522.235499933</v>
      </c>
      <c r="FE68" s="233">
        <f t="shared" si="74"/>
        <v>-50083916.764500067</v>
      </c>
      <c r="FF68" s="61">
        <f t="shared" si="74"/>
        <v>-51292298.764500067</v>
      </c>
      <c r="FG68" s="61">
        <f t="shared" si="74"/>
        <v>-51873086.764500067</v>
      </c>
      <c r="FH68" s="61">
        <f t="shared" si="74"/>
        <v>-43085648.794500068</v>
      </c>
      <c r="FI68" s="61">
        <f t="shared" si="74"/>
        <v>-47602731.794500068</v>
      </c>
      <c r="FJ68" s="233">
        <f t="shared" si="74"/>
        <v>-47954526.794500068</v>
      </c>
      <c r="FK68" s="61">
        <f t="shared" si="74"/>
        <v>-49728589.794500068</v>
      </c>
      <c r="FL68" s="61">
        <f t="shared" si="74"/>
        <v>-47174029.794500068</v>
      </c>
      <c r="FM68" s="61">
        <f t="shared" si="74"/>
        <v>71497949.205499932</v>
      </c>
      <c r="FN68" s="61">
        <f t="shared" si="74"/>
        <v>67208077.205499917</v>
      </c>
      <c r="FO68" s="61">
        <f t="shared" si="74"/>
        <v>68982365.205499917</v>
      </c>
      <c r="FP68" s="61">
        <f t="shared" si="74"/>
        <v>68132799.205499917</v>
      </c>
      <c r="FQ68" s="61">
        <f t="shared" si="74"/>
        <v>67771851.485499918</v>
      </c>
      <c r="FR68" s="61">
        <f t="shared" si="74"/>
        <v>63869837.485499911</v>
      </c>
      <c r="FS68" s="61">
        <f t="shared" si="74"/>
        <v>60446488.485499911</v>
      </c>
      <c r="FT68" s="61">
        <f t="shared" si="74"/>
        <v>44462769.485499918</v>
      </c>
      <c r="FU68" s="61">
        <f t="shared" si="74"/>
        <v>44106433.485499918</v>
      </c>
      <c r="FV68" s="61">
        <f t="shared" si="74"/>
        <v>43574292.485499918</v>
      </c>
      <c r="FW68" s="61">
        <f t="shared" si="74"/>
        <v>43449358.485499918</v>
      </c>
      <c r="FX68" s="61">
        <f t="shared" si="74"/>
        <v>40455043.485499918</v>
      </c>
      <c r="FY68" s="61">
        <f t="shared" si="74"/>
        <v>40364114.485499918</v>
      </c>
      <c r="FZ68" s="233">
        <f t="shared" si="74"/>
        <v>-24225357.514500104</v>
      </c>
      <c r="GA68" s="61">
        <f t="shared" si="74"/>
        <v>-31117001.514500104</v>
      </c>
      <c r="GB68" s="61">
        <f t="shared" si="74"/>
        <v>-30067686.514500104</v>
      </c>
      <c r="GC68" s="61">
        <f t="shared" si="74"/>
        <v>-28118057.514500104</v>
      </c>
      <c r="GD68" s="61">
        <f t="shared" si="74"/>
        <v>-30050815.514500104</v>
      </c>
      <c r="GE68" s="61">
        <f t="shared" si="74"/>
        <v>-28870283.514500104</v>
      </c>
      <c r="GF68" s="248">
        <f t="shared" si="74"/>
        <v>-26851079.514500104</v>
      </c>
      <c r="GG68" s="61">
        <f t="shared" si="74"/>
        <v>57398739.485499889</v>
      </c>
      <c r="GH68" s="61">
        <f t="shared" si="74"/>
        <v>59297614.485499889</v>
      </c>
      <c r="GI68" s="61">
        <f t="shared" si="74"/>
        <v>63002170.485499889</v>
      </c>
      <c r="GJ68" s="61">
        <f t="shared" si="74"/>
        <v>62937189.485499904</v>
      </c>
      <c r="GK68" s="61">
        <f t="shared" si="74"/>
        <v>60354367.485499904</v>
      </c>
      <c r="GL68" s="61">
        <f t="shared" si="74"/>
        <v>58479516.485499904</v>
      </c>
      <c r="GM68" s="61">
        <f t="shared" ref="GM68:IT68" si="75">GM54+GM66</f>
        <v>61179806.485499904</v>
      </c>
      <c r="GN68" s="61">
        <f t="shared" si="75"/>
        <v>61305474.485499904</v>
      </c>
      <c r="GO68" s="61">
        <f t="shared" si="75"/>
        <v>64580825.575499907</v>
      </c>
      <c r="GP68" s="61">
        <f t="shared" si="75"/>
        <v>49886863.485499889</v>
      </c>
      <c r="GQ68" s="61">
        <f t="shared" si="75"/>
        <v>49258776.485499904</v>
      </c>
      <c r="GR68" s="61">
        <f t="shared" si="75"/>
        <v>50078582.485499889</v>
      </c>
      <c r="GS68" s="61">
        <f t="shared" si="75"/>
        <v>49173117.485499904</v>
      </c>
      <c r="GT68" s="233">
        <f t="shared" si="75"/>
        <v>-19237485.514500104</v>
      </c>
      <c r="GU68" s="61">
        <f t="shared" si="75"/>
        <v>-21138499.514500104</v>
      </c>
      <c r="GV68" s="61">
        <f t="shared" si="75"/>
        <v>-14654909.514500096</v>
      </c>
      <c r="GW68" s="61">
        <f t="shared" si="75"/>
        <v>-17479369.61450009</v>
      </c>
      <c r="GX68" s="61">
        <f t="shared" si="75"/>
        <v>-15776302.61450009</v>
      </c>
      <c r="GY68" s="61">
        <f t="shared" si="75"/>
        <v>-15404567.61450009</v>
      </c>
      <c r="GZ68" s="61">
        <f t="shared" si="75"/>
        <v>-23109951.614500098</v>
      </c>
      <c r="HA68" s="61">
        <f t="shared" si="75"/>
        <v>-22653554.614500098</v>
      </c>
      <c r="HB68" s="61">
        <f t="shared" si="75"/>
        <v>-22952754.614500098</v>
      </c>
      <c r="HC68" s="61">
        <f t="shared" si="75"/>
        <v>-17105884.61450009</v>
      </c>
      <c r="HD68" s="61">
        <f t="shared" si="75"/>
        <v>-12455873.61450009</v>
      </c>
      <c r="HE68" s="61">
        <f t="shared" si="75"/>
        <v>-12293656.644500092</v>
      </c>
      <c r="HF68" s="61">
        <f t="shared" si="75"/>
        <v>-9571918.6445000917</v>
      </c>
      <c r="HG68" s="61">
        <f t="shared" si="75"/>
        <v>-7204908.0945001096</v>
      </c>
      <c r="HH68" s="61">
        <f t="shared" si="75"/>
        <v>-18354559.094500095</v>
      </c>
      <c r="HI68" s="61">
        <f t="shared" si="75"/>
        <v>-21042974.094500095</v>
      </c>
      <c r="HJ68" s="61">
        <f t="shared" si="75"/>
        <v>-20371266.164500102</v>
      </c>
      <c r="HK68" s="61">
        <f t="shared" si="75"/>
        <v>-11464745.164500102</v>
      </c>
      <c r="HL68" s="61">
        <f t="shared" si="75"/>
        <v>-9363474.1625000983</v>
      </c>
      <c r="HM68" s="61">
        <f t="shared" si="75"/>
        <v>-9439292.1625000983</v>
      </c>
      <c r="HN68" s="61">
        <f t="shared" si="75"/>
        <v>-9446416.1625000983</v>
      </c>
      <c r="HO68" s="233">
        <f t="shared" si="75"/>
        <v>-77411115.162500098</v>
      </c>
      <c r="HP68" s="61">
        <f t="shared" si="75"/>
        <v>-71873557.162500098</v>
      </c>
      <c r="HQ68" s="61">
        <f t="shared" si="75"/>
        <v>-67514150.162500098</v>
      </c>
      <c r="HR68" s="61">
        <f t="shared" si="75"/>
        <v>-71152811.162500098</v>
      </c>
      <c r="HS68" s="61">
        <f t="shared" si="75"/>
        <v>-62106120.162500098</v>
      </c>
      <c r="HT68" s="61">
        <f t="shared" si="75"/>
        <v>-45316432.162500098</v>
      </c>
      <c r="HU68" s="61">
        <f t="shared" si="75"/>
        <v>-44426014.162500098</v>
      </c>
      <c r="HV68" s="61">
        <f t="shared" si="75"/>
        <v>-16682761.162500113</v>
      </c>
      <c r="HW68" s="61">
        <f t="shared" si="75"/>
        <v>-17683080.162500113</v>
      </c>
      <c r="HX68" s="61">
        <f t="shared" si="75"/>
        <v>-11983080.162500113</v>
      </c>
      <c r="HY68" s="61">
        <f t="shared" si="75"/>
        <v>-3333060.1625001132</v>
      </c>
      <c r="HZ68" s="61">
        <f t="shared" si="75"/>
        <v>11766919.837499887</v>
      </c>
      <c r="IA68" s="61">
        <f t="shared" si="75"/>
        <v>14716919.837499887</v>
      </c>
      <c r="IB68" s="61">
        <f t="shared" si="75"/>
        <v>54316919.837499887</v>
      </c>
      <c r="IC68" s="61">
        <f t="shared" si="75"/>
        <v>66752513.897499889</v>
      </c>
      <c r="ID68" s="61">
        <f t="shared" si="75"/>
        <v>76140463.897499889</v>
      </c>
      <c r="IE68" s="61">
        <f t="shared" si="75"/>
        <v>82890702.997499898</v>
      </c>
      <c r="IF68" s="61">
        <f t="shared" si="75"/>
        <v>89227638.997499898</v>
      </c>
      <c r="IG68" s="61">
        <f t="shared" si="75"/>
        <v>89404419.997499898</v>
      </c>
      <c r="IH68" s="61">
        <f t="shared" si="75"/>
        <v>151339809.99749988</v>
      </c>
      <c r="II68" s="61">
        <f t="shared" si="75"/>
        <v>162772347.99749988</v>
      </c>
      <c r="IJ68" s="233">
        <f t="shared" si="75"/>
        <v>112056063.9974999</v>
      </c>
      <c r="IK68" s="61">
        <f t="shared" si="75"/>
        <v>114082161.9974999</v>
      </c>
      <c r="IL68" s="61">
        <f t="shared" si="75"/>
        <v>128869244.9974999</v>
      </c>
      <c r="IM68" s="61">
        <f t="shared" si="75"/>
        <v>138737940.99749994</v>
      </c>
      <c r="IN68" s="61">
        <f t="shared" si="75"/>
        <v>154272324.99749991</v>
      </c>
      <c r="IO68" s="61">
        <f t="shared" si="75"/>
        <v>161328486.99749991</v>
      </c>
      <c r="IP68" s="61">
        <f t="shared" si="75"/>
        <v>180766559.99749988</v>
      </c>
      <c r="IQ68" s="61">
        <f t="shared" si="75"/>
        <v>196245470.99749988</v>
      </c>
      <c r="IR68" s="61">
        <f>IR54+IR66</f>
        <v>230320819.99749994</v>
      </c>
      <c r="IS68" s="61">
        <f>IS54+IS66</f>
        <v>257068647.99749994</v>
      </c>
      <c r="IT68" s="61">
        <f t="shared" si="75"/>
        <v>257068647.99749994</v>
      </c>
      <c r="IU68" s="96"/>
    </row>
    <row r="69" spans="1:255" ht="17.25" thickBot="1">
      <c r="M69" s="237"/>
      <c r="AF69" s="237"/>
      <c r="BC69" s="237"/>
      <c r="BY69" s="237"/>
      <c r="CS69" s="237"/>
      <c r="DN69" s="237"/>
      <c r="ED69" s="146" t="s">
        <v>49</v>
      </c>
      <c r="EE69" s="494"/>
      <c r="EF69" s="438"/>
      <c r="EG69" s="438"/>
      <c r="EH69" s="438"/>
      <c r="EJ69" s="266" t="s">
        <v>96</v>
      </c>
      <c r="EK69" s="365"/>
      <c r="EL69" s="42"/>
      <c r="EM69" s="42"/>
      <c r="EN69" s="42"/>
      <c r="EO69" s="42"/>
      <c r="EP69" s="42"/>
      <c r="EQ69" s="268" t="s">
        <v>98</v>
      </c>
      <c r="EY69" s="146" t="s">
        <v>49</v>
      </c>
      <c r="FE69" s="266" t="s">
        <v>97</v>
      </c>
      <c r="FF69" s="42"/>
      <c r="FG69" s="42"/>
      <c r="FH69" s="42"/>
      <c r="FI69" s="42"/>
      <c r="FJ69" s="517"/>
      <c r="FK69" s="42"/>
      <c r="FL69" s="42"/>
      <c r="FM69" s="267" t="s">
        <v>100</v>
      </c>
      <c r="FZ69" s="356" t="s">
        <v>99</v>
      </c>
      <c r="GA69" s="38"/>
      <c r="GB69" s="38"/>
      <c r="GC69" s="38"/>
      <c r="GD69" s="38"/>
      <c r="GE69" s="38"/>
      <c r="GF69" s="357" t="s">
        <v>49</v>
      </c>
      <c r="GG69" s="267" t="s">
        <v>100</v>
      </c>
      <c r="GT69" s="237"/>
      <c r="HO69" s="358" t="s">
        <v>101</v>
      </c>
      <c r="HP69" s="504">
        <f>+HO68+85000000</f>
        <v>7588884.8374999017</v>
      </c>
      <c r="HQ69" s="323" t="s">
        <v>177</v>
      </c>
      <c r="IJ69" s="237"/>
    </row>
    <row r="70" spans="1:255">
      <c r="CM70" s="219" t="s">
        <v>49</v>
      </c>
      <c r="DN70" s="270">
        <v>0</v>
      </c>
      <c r="EF70" s="383" t="s">
        <v>146</v>
      </c>
      <c r="EJ70" s="270">
        <v>0</v>
      </c>
      <c r="EK70" s="381" t="s">
        <v>143</v>
      </c>
      <c r="FB70" s="383" t="s">
        <v>146</v>
      </c>
      <c r="FE70" s="270">
        <v>0</v>
      </c>
      <c r="FF70" s="381" t="s">
        <v>176</v>
      </c>
      <c r="FJ70" s="953" t="s">
        <v>180</v>
      </c>
      <c r="FZ70" s="270">
        <v>0</v>
      </c>
      <c r="GJ70" s="383" t="s">
        <v>146</v>
      </c>
      <c r="HO70" s="512" t="s">
        <v>105</v>
      </c>
    </row>
    <row r="71" spans="1:255" ht="15" thickBot="1">
      <c r="DN71" s="269" t="s">
        <v>103</v>
      </c>
      <c r="EF71" s="383" t="s">
        <v>144</v>
      </c>
      <c r="EJ71" s="269" t="s">
        <v>103</v>
      </c>
      <c r="EK71" s="140"/>
      <c r="FB71" s="383" t="s">
        <v>144</v>
      </c>
      <c r="FE71" s="269" t="s">
        <v>103</v>
      </c>
      <c r="FI71" s="140"/>
      <c r="FJ71" s="954"/>
      <c r="FZ71" s="269" t="s">
        <v>103</v>
      </c>
      <c r="GJ71" s="383" t="s">
        <v>144</v>
      </c>
      <c r="HO71" s="513" t="s">
        <v>179</v>
      </c>
      <c r="IR71" s="481" t="s">
        <v>88</v>
      </c>
      <c r="IS71" s="481" t="s">
        <v>168</v>
      </c>
    </row>
    <row r="72" spans="1:255" ht="15" thickBot="1">
      <c r="DN72" s="457"/>
      <c r="EF72" s="497" t="s">
        <v>174</v>
      </c>
      <c r="EJ72" s="457"/>
      <c r="EK72" s="140"/>
      <c r="FB72" s="382" t="s">
        <v>145</v>
      </c>
      <c r="FE72" s="457"/>
      <c r="FI72" s="140"/>
      <c r="FZ72" s="457"/>
      <c r="GJ72" s="497" t="s">
        <v>175</v>
      </c>
      <c r="IR72" s="461" t="s">
        <v>164</v>
      </c>
      <c r="IS72" s="461" t="s">
        <v>169</v>
      </c>
    </row>
    <row r="73" spans="1:255" ht="15.75" thickBot="1">
      <c r="U73" s="8" t="s">
        <v>79</v>
      </c>
      <c r="V73" s="254">
        <v>1.05</v>
      </c>
      <c r="DO73" s="8" t="s">
        <v>49</v>
      </c>
      <c r="EF73" s="384">
        <v>40035</v>
      </c>
      <c r="EK73" s="140"/>
      <c r="FB73" s="384">
        <v>40066</v>
      </c>
      <c r="FY73" s="459" t="s">
        <v>162</v>
      </c>
      <c r="FZ73" s="460">
        <f>+FZ33/+FZ47</f>
        <v>2.6056065044701988E-2</v>
      </c>
      <c r="GJ73" s="384">
        <v>40115</v>
      </c>
      <c r="GS73" s="459" t="s">
        <v>162</v>
      </c>
      <c r="GT73" s="460">
        <f>+GT33/+GT47</f>
        <v>2.7726492399574549E-2</v>
      </c>
      <c r="HB73" s="459" t="s">
        <v>162</v>
      </c>
      <c r="HC73" s="464">
        <f>+HB33/HC47</f>
        <v>3.4113486832658191E-2</v>
      </c>
      <c r="HL73" s="459" t="s">
        <v>162</v>
      </c>
      <c r="HM73" s="464">
        <f>+HM33/+HM47</f>
        <v>4.4912144888337183E-2</v>
      </c>
      <c r="HN73" s="459" t="s">
        <v>162</v>
      </c>
      <c r="HO73" s="462">
        <f>+HO33/+HO47</f>
        <v>2.5345731882880484E-2</v>
      </c>
      <c r="HT73" s="459"/>
      <c r="HU73" s="459" t="s">
        <v>162</v>
      </c>
      <c r="HV73" s="464">
        <f>+HU33/HV47</f>
        <v>3.4949798660920121E-2</v>
      </c>
      <c r="ID73" s="459" t="s">
        <v>162</v>
      </c>
      <c r="IE73" s="464">
        <f>+IE33/+IE47</f>
        <v>5.2619810497097089E-2</v>
      </c>
      <c r="II73" s="459" t="s">
        <v>162</v>
      </c>
      <c r="IJ73" s="462">
        <f>+IJ33/+IJ47</f>
        <v>2.7355983437621627E-2</v>
      </c>
      <c r="IM73" s="459" t="s">
        <v>162</v>
      </c>
      <c r="IN73" s="464">
        <f>+IN33/+IN47</f>
        <v>3.689717091933651E-2</v>
      </c>
      <c r="IQ73" s="459" t="s">
        <v>162</v>
      </c>
      <c r="IR73" s="462">
        <f>(+FZ73+GT73+HO73+IJ73)/4</f>
        <v>2.6621068191194662E-2</v>
      </c>
      <c r="IS73" s="464">
        <f>(+HC73+HM73+HV73+IE73+IN73)/5</f>
        <v>4.0698482359669816E-2</v>
      </c>
    </row>
    <row r="74" spans="1:255" ht="15" thickBot="1">
      <c r="V74" s="8" t="s">
        <v>49</v>
      </c>
      <c r="EK74" s="359"/>
      <c r="EL74" s="253" t="s">
        <v>135</v>
      </c>
      <c r="FY74" s="459" t="s">
        <v>163</v>
      </c>
      <c r="FZ74" s="460">
        <f>+FZ36/FZ47</f>
        <v>0.16322776230960506</v>
      </c>
      <c r="GS74" s="459" t="s">
        <v>163</v>
      </c>
      <c r="GT74" s="460">
        <f>+GT36/GT47</f>
        <v>0.15406544500068503</v>
      </c>
      <c r="HB74" s="459" t="s">
        <v>163</v>
      </c>
      <c r="HC74" s="464">
        <f>+HB36/HC47</f>
        <v>0.10636698166341585</v>
      </c>
      <c r="HL74" s="459" t="s">
        <v>163</v>
      </c>
      <c r="HM74" s="464">
        <f>+HM36/HM47</f>
        <v>0.10308948911931987</v>
      </c>
      <c r="HN74" s="459" t="s">
        <v>163</v>
      </c>
      <c r="HO74" s="462">
        <f>+HO36/HO47</f>
        <v>0.16537798176294644</v>
      </c>
      <c r="HT74" s="459"/>
      <c r="HU74" s="459" t="s">
        <v>163</v>
      </c>
      <c r="HV74" s="464">
        <f>+HU36/HV47</f>
        <v>0.12074574343215795</v>
      </c>
      <c r="ID74" s="459" t="s">
        <v>163</v>
      </c>
      <c r="IE74" s="464">
        <f>+IE36/IE47</f>
        <v>0.12644043201293637</v>
      </c>
      <c r="II74" s="459" t="s">
        <v>163</v>
      </c>
      <c r="IJ74" s="462">
        <f>+IJ36/IJ47</f>
        <v>0.15941654554361553</v>
      </c>
      <c r="IM74" s="459" t="s">
        <v>163</v>
      </c>
      <c r="IN74" s="464">
        <f>+IN36/IN47</f>
        <v>0.11753233234159939</v>
      </c>
      <c r="IQ74" s="459" t="s">
        <v>163</v>
      </c>
      <c r="IR74" s="462">
        <f>(+FZ74+GT74+HO74+IJ74)/4</f>
        <v>0.16052193365421302</v>
      </c>
      <c r="IS74" s="464">
        <f>(+HC74+HM74+HV74+IE74+IN74)/5</f>
        <v>0.11483499571388589</v>
      </c>
    </row>
    <row r="75" spans="1:255" ht="15" thickBot="1">
      <c r="C75" s="262" t="s">
        <v>90</v>
      </c>
      <c r="D75" s="262" t="s">
        <v>88</v>
      </c>
      <c r="E75" s="259" t="s">
        <v>89</v>
      </c>
      <c r="F75" s="262" t="s">
        <v>90</v>
      </c>
      <c r="G75" s="262" t="s">
        <v>88</v>
      </c>
      <c r="H75" s="264" t="s">
        <v>89</v>
      </c>
      <c r="U75" s="8" t="s">
        <v>80</v>
      </c>
      <c r="V75" s="203">
        <v>1</v>
      </c>
    </row>
    <row r="76" spans="1:255">
      <c r="C76" s="391">
        <v>39493</v>
      </c>
      <c r="D76" s="392">
        <v>55502242</v>
      </c>
      <c r="E76" s="393"/>
      <c r="F76" s="391">
        <v>39859</v>
      </c>
      <c r="G76" s="392">
        <f>+M47</f>
        <v>53978285.130000003</v>
      </c>
      <c r="H76" s="394">
        <f t="shared" ref="H76:H87" si="76">+G76/$G$76</f>
        <v>1</v>
      </c>
      <c r="EK76" s="272"/>
      <c r="EL76" s="253" t="s">
        <v>83</v>
      </c>
    </row>
    <row r="77" spans="1:255">
      <c r="C77" s="395">
        <v>39520</v>
      </c>
      <c r="D77" s="396">
        <v>56580536</v>
      </c>
      <c r="E77" s="394">
        <f t="shared" ref="E77:E87" si="77">+D77/$D$76</f>
        <v>1.0194279359021208</v>
      </c>
      <c r="F77" s="395">
        <v>39885</v>
      </c>
      <c r="G77" s="396">
        <f>+AF47</f>
        <v>54541475.32</v>
      </c>
      <c r="H77" s="394">
        <f t="shared" si="76"/>
        <v>1.0104336436150876</v>
      </c>
    </row>
    <row r="78" spans="1:255">
      <c r="C78" s="395">
        <v>39553</v>
      </c>
      <c r="D78" s="396">
        <v>55070015</v>
      </c>
      <c r="E78" s="394">
        <f t="shared" si="77"/>
        <v>0.992212440715458</v>
      </c>
      <c r="F78" s="395">
        <v>39918</v>
      </c>
      <c r="G78" s="396">
        <f>+BC47</f>
        <v>56435928.600000001</v>
      </c>
      <c r="H78" s="394">
        <f t="shared" si="76"/>
        <v>1.0455302250540393</v>
      </c>
    </row>
    <row r="79" spans="1:255">
      <c r="C79" s="395">
        <v>39583</v>
      </c>
      <c r="D79" s="396">
        <v>57949631</v>
      </c>
      <c r="E79" s="394">
        <f t="shared" si="77"/>
        <v>1.0440953178071617</v>
      </c>
      <c r="F79" s="395">
        <v>39948</v>
      </c>
      <c r="G79" s="396">
        <f>+BY47</f>
        <v>60449640.920000002</v>
      </c>
      <c r="H79" s="394">
        <f t="shared" si="76"/>
        <v>1.1198881323186638</v>
      </c>
    </row>
    <row r="80" spans="1:255">
      <c r="C80" s="395">
        <v>39614</v>
      </c>
      <c r="D80" s="396">
        <v>58346530</v>
      </c>
      <c r="E80" s="394">
        <f t="shared" si="77"/>
        <v>1.0512463622640686</v>
      </c>
      <c r="F80" s="395">
        <v>39979</v>
      </c>
      <c r="G80" s="396">
        <f>+CS47</f>
        <v>54545058.329999998</v>
      </c>
      <c r="H80" s="394">
        <f t="shared" si="76"/>
        <v>1.0105000223448186</v>
      </c>
    </row>
    <row r="81" spans="3:9">
      <c r="C81" s="395">
        <v>39644</v>
      </c>
      <c r="D81" s="396">
        <v>60200844</v>
      </c>
      <c r="E81" s="394">
        <f t="shared" si="77"/>
        <v>1.0846560756951042</v>
      </c>
      <c r="F81" s="395">
        <v>40009</v>
      </c>
      <c r="G81" s="396">
        <f>+DN47</f>
        <v>58097699.210000001</v>
      </c>
      <c r="H81" s="394">
        <f t="shared" si="76"/>
        <v>1.076316134721192</v>
      </c>
    </row>
    <row r="82" spans="3:9">
      <c r="C82" s="395">
        <v>39675</v>
      </c>
      <c r="D82" s="396">
        <v>56206256</v>
      </c>
      <c r="E82" s="394">
        <f t="shared" si="77"/>
        <v>1.0126844245318956</v>
      </c>
      <c r="F82" s="395">
        <v>40040</v>
      </c>
      <c r="G82" s="396">
        <f>+EJ47</f>
        <v>54887530.409999996</v>
      </c>
      <c r="H82" s="394">
        <f t="shared" si="76"/>
        <v>1.0168446492475667</v>
      </c>
    </row>
    <row r="83" spans="3:9">
      <c r="C83" s="395">
        <v>39706</v>
      </c>
      <c r="D83" s="396">
        <v>56888969</v>
      </c>
      <c r="E83" s="394">
        <f t="shared" si="77"/>
        <v>1.0249850627655726</v>
      </c>
      <c r="F83" s="395">
        <v>40071</v>
      </c>
      <c r="G83" s="396">
        <f>+FE47</f>
        <v>56387650.93</v>
      </c>
      <c r="H83" s="394">
        <f t="shared" si="76"/>
        <v>1.0446358344693119</v>
      </c>
    </row>
    <row r="84" spans="3:9">
      <c r="C84" s="395">
        <v>39736</v>
      </c>
      <c r="D84" s="396">
        <v>60022720</v>
      </c>
      <c r="E84" s="394">
        <f t="shared" si="77"/>
        <v>1.0814467638982943</v>
      </c>
      <c r="F84" s="395">
        <v>40101</v>
      </c>
      <c r="G84" s="396">
        <f>+FZ47</f>
        <v>57761146.490000002</v>
      </c>
      <c r="H84" s="394">
        <f t="shared" si="76"/>
        <v>1.0700811696942474</v>
      </c>
    </row>
    <row r="85" spans="3:9">
      <c r="C85" s="395">
        <v>39767</v>
      </c>
      <c r="D85" s="397">
        <v>60942294</v>
      </c>
      <c r="E85" s="394">
        <f t="shared" si="77"/>
        <v>1.0980149955023439</v>
      </c>
      <c r="F85" s="395">
        <v>40132</v>
      </c>
      <c r="G85" s="396">
        <f>+GT47</f>
        <v>58268806.479999997</v>
      </c>
      <c r="H85" s="394">
        <f t="shared" si="76"/>
        <v>1.079486062583626</v>
      </c>
    </row>
    <row r="86" spans="3:9">
      <c r="C86" s="398">
        <v>39797</v>
      </c>
      <c r="D86" s="397">
        <v>59275629</v>
      </c>
      <c r="E86" s="399">
        <f t="shared" si="77"/>
        <v>1.0679862085571246</v>
      </c>
      <c r="F86" s="398">
        <v>40162</v>
      </c>
      <c r="G86" s="397">
        <f>+HO47</f>
        <v>59201249.619999997</v>
      </c>
      <c r="H86" s="399">
        <f t="shared" si="76"/>
        <v>1.0967604746505217</v>
      </c>
    </row>
    <row r="87" spans="3:9" ht="15" thickBot="1">
      <c r="C87" s="403">
        <v>39828</v>
      </c>
      <c r="D87" s="404">
        <v>57354428</v>
      </c>
      <c r="E87" s="405">
        <f t="shared" si="77"/>
        <v>1.0333713726375233</v>
      </c>
      <c r="F87" s="403">
        <v>39828</v>
      </c>
      <c r="G87" s="396">
        <f>+IJ47</f>
        <v>54918399.969999999</v>
      </c>
      <c r="H87" s="405">
        <f t="shared" si="76"/>
        <v>1.0174165377380153</v>
      </c>
    </row>
    <row r="88" spans="3:9" ht="15" thickBot="1">
      <c r="C88" s="258"/>
      <c r="D88" s="263">
        <f>SUM(D76:D87)</f>
        <v>694340094</v>
      </c>
      <c r="G88" s="263">
        <f>SUM(G76:G87)</f>
        <v>679472871.40999997</v>
      </c>
      <c r="I88" s="410">
        <f>+G88-D88</f>
        <v>-14867222.590000033</v>
      </c>
    </row>
    <row r="89" spans="3:9">
      <c r="C89" s="258"/>
    </row>
    <row r="90" spans="3:9">
      <c r="F90" s="411" t="s">
        <v>92</v>
      </c>
      <c r="G90" s="260">
        <v>57354428</v>
      </c>
      <c r="H90" s="8" t="s">
        <v>94</v>
      </c>
    </row>
    <row r="91" spans="3:9">
      <c r="F91" s="411" t="s">
        <v>93</v>
      </c>
      <c r="G91" s="261">
        <v>14192701</v>
      </c>
      <c r="H91" s="8" t="s">
        <v>91</v>
      </c>
    </row>
    <row r="92" spans="3:9">
      <c r="F92" s="258"/>
      <c r="H92" s="265">
        <f>+G91/G90</f>
        <v>0.24745606389797836</v>
      </c>
    </row>
    <row r="93" spans="3:9">
      <c r="C93" s="258"/>
      <c r="H93" s="253" t="s">
        <v>95</v>
      </c>
    </row>
    <row r="94" spans="3:9">
      <c r="C94" s="258"/>
    </row>
    <row r="95" spans="3:9">
      <c r="C95" s="258"/>
    </row>
    <row r="96" spans="3:9">
      <c r="C96" s="258"/>
    </row>
    <row r="97" spans="3:3">
      <c r="C97" s="258"/>
    </row>
    <row r="98" spans="3:3">
      <c r="C98" s="258"/>
    </row>
  </sheetData>
  <mergeCells count="2">
    <mergeCell ref="FJ2:FJ3"/>
    <mergeCell ref="FJ70:FJ71"/>
  </mergeCells>
  <pageMargins left="0.25" right="0.25" top="0.5" bottom="0.5" header="0.5" footer="0.25"/>
  <pageSetup scale="48" orientation="landscape" useFirstPageNumber="1" horizontalDpi="300" verticalDpi="300" r:id="rId1"/>
  <headerFooter alignWithMargins="0">
    <oddFooter>&amp;LRevised: &amp;D &amp;T&amp;CPage &amp;P</oddFooter>
  </headerFooter>
  <colBreaks count="1" manualBreakCount="1">
    <brk id="100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indexed="42"/>
    <pageSetUpPr fitToPage="1"/>
  </sheetPr>
  <dimension ref="A1:IU98"/>
  <sheetViews>
    <sheetView showGridLines="0" showOutlineSymbols="0" defaultGridColor="0" colorId="8" zoomScaleNormal="100" zoomScaleSheetLayoutView="100" workbookViewId="0">
      <pane xSplit="2" ySplit="6" topLeftCell="IL7" activePane="bottomRight" state="frozen"/>
      <selection pane="topRight" activeCell="C1" sqref="C1"/>
      <selection pane="bottomLeft" activeCell="A7" sqref="A7"/>
      <selection pane="bottomRight" activeCell="II73" sqref="II73:IJ74"/>
    </sheetView>
  </sheetViews>
  <sheetFormatPr defaultColWidth="0" defaultRowHeight="14.25"/>
  <cols>
    <col min="1" max="1" width="27.625" bestFit="1" customWidth="1"/>
    <col min="2" max="2" width="6.5" bestFit="1" customWidth="1"/>
    <col min="3" max="3" width="13" style="8" customWidth="1"/>
    <col min="4" max="4" width="12.375" style="8" bestFit="1" customWidth="1"/>
    <col min="5" max="6" width="10.625" style="8" customWidth="1"/>
    <col min="7" max="7" width="12.375" style="8" bestFit="1" customWidth="1"/>
    <col min="8" max="8" width="10.625" style="8" customWidth="1"/>
    <col min="9" max="9" width="12" style="8" bestFit="1" customWidth="1"/>
    <col min="10" max="103" width="10.625" style="8" customWidth="1"/>
    <col min="104" max="104" width="10.625" style="140" customWidth="1"/>
    <col min="105" max="117" width="10.625" style="8" customWidth="1"/>
    <col min="118" max="118" width="10.875" style="8" bestFit="1" customWidth="1"/>
    <col min="119" max="121" width="10.625" style="8" customWidth="1"/>
    <col min="122" max="122" width="10.625" style="140" customWidth="1"/>
    <col min="123" max="131" width="10.625" style="8" customWidth="1"/>
    <col min="132" max="132" width="10.625" style="140" customWidth="1"/>
    <col min="133" max="139" width="10.625" style="8" customWidth="1"/>
    <col min="140" max="140" width="12.375" style="8" bestFit="1" customWidth="1"/>
    <col min="141" max="146" width="10.625" style="8" customWidth="1"/>
    <col min="147" max="147" width="10.625" style="140" customWidth="1"/>
    <col min="148" max="159" width="10.625" style="8" customWidth="1"/>
    <col min="160" max="160" width="10.625" style="140" customWidth="1"/>
    <col min="161" max="161" width="11.375" style="8" bestFit="1" customWidth="1"/>
    <col min="162" max="181" width="10.625" style="8" customWidth="1"/>
    <col min="182" max="182" width="11.375" style="8" bestFit="1" customWidth="1"/>
    <col min="183" max="199" width="10.625" style="8" customWidth="1"/>
    <col min="200" max="200" width="12.375" style="8" bestFit="1" customWidth="1"/>
    <col min="201" max="222" width="10.625" style="8" customWidth="1"/>
    <col min="223" max="223" width="11.875" style="8" customWidth="1"/>
    <col min="224" max="252" width="10.625" style="8" customWidth="1"/>
    <col min="253" max="253" width="11.5" style="8" bestFit="1" customWidth="1"/>
    <col min="254" max="254" width="10.625" style="152" hidden="1" customWidth="1"/>
    <col min="255" max="16384" width="10.625" style="8" hidden="1"/>
  </cols>
  <sheetData>
    <row r="1" spans="1:255" ht="27.75" thickBot="1">
      <c r="A1" s="17" t="s">
        <v>36</v>
      </c>
      <c r="B1" s="18"/>
      <c r="V1" s="152"/>
      <c r="W1" s="330"/>
      <c r="AD1" s="330"/>
      <c r="AO1" s="330"/>
      <c r="AR1" s="152"/>
      <c r="BN1" s="152"/>
      <c r="BV1" s="330"/>
      <c r="BW1" s="330"/>
      <c r="BX1" s="330"/>
      <c r="CB1" s="330"/>
      <c r="CG1" s="330"/>
      <c r="CM1" s="146"/>
      <c r="DD1" s="152"/>
      <c r="DR1" s="150"/>
      <c r="DZ1" s="152"/>
      <c r="EU1" s="152"/>
      <c r="EW1" s="604" t="s">
        <v>217</v>
      </c>
      <c r="FJ1" s="68" t="s">
        <v>113</v>
      </c>
      <c r="FM1" s="163"/>
      <c r="FP1" s="152"/>
      <c r="GG1" s="163"/>
      <c r="GH1" s="190"/>
      <c r="GK1" s="152"/>
      <c r="GR1" s="417" t="s">
        <v>170</v>
      </c>
      <c r="HD1" s="152"/>
      <c r="HO1" s="124" t="s">
        <v>49</v>
      </c>
      <c r="HZ1" s="152"/>
      <c r="IA1" s="148"/>
      <c r="IN1" s="165" t="s">
        <v>70</v>
      </c>
    </row>
    <row r="2" spans="1:255" ht="20.25" thickBot="1">
      <c r="A2" s="19" t="s">
        <v>0</v>
      </c>
      <c r="B2" s="19"/>
      <c r="V2" s="152"/>
      <c r="W2" s="330"/>
      <c r="AD2" s="330"/>
      <c r="AO2" s="330"/>
      <c r="AR2" s="152"/>
      <c r="BN2" s="152"/>
      <c r="BV2" s="330"/>
      <c r="BW2" s="330"/>
      <c r="BX2" s="330"/>
      <c r="CB2" s="330"/>
      <c r="CG2" s="330"/>
      <c r="CM2" s="146"/>
      <c r="DD2" s="152"/>
      <c r="DR2" s="151"/>
      <c r="DZ2" s="152"/>
      <c r="EU2" s="152"/>
      <c r="EW2" s="678">
        <f>SUM(DG14:EW14)</f>
        <v>4161368.0300000003</v>
      </c>
      <c r="FJ2" s="69" t="s">
        <v>58</v>
      </c>
      <c r="FM2" s="163"/>
      <c r="FP2" s="152"/>
      <c r="GG2" s="163"/>
      <c r="GK2" s="152"/>
      <c r="GR2" s="417" t="s">
        <v>171</v>
      </c>
      <c r="HD2" s="152"/>
      <c r="HO2" s="124" t="s">
        <v>49</v>
      </c>
      <c r="HZ2" s="152"/>
      <c r="IN2" s="165" t="s">
        <v>66</v>
      </c>
    </row>
    <row r="3" spans="1:255" ht="15.75" thickBot="1">
      <c r="B3" s="16"/>
      <c r="V3" s="152"/>
      <c r="W3" s="330"/>
      <c r="AD3" s="330"/>
      <c r="AO3" s="330"/>
      <c r="AR3" s="152"/>
      <c r="BN3" s="152"/>
      <c r="BV3" s="330"/>
      <c r="BW3" s="330"/>
      <c r="BX3" s="330"/>
      <c r="CB3" s="330"/>
      <c r="CG3" s="330"/>
      <c r="DD3" s="152"/>
      <c r="DR3" s="151"/>
      <c r="DZ3" s="152"/>
      <c r="EU3" s="152"/>
      <c r="FJ3" s="69" t="s">
        <v>114</v>
      </c>
      <c r="FM3" s="163"/>
      <c r="FP3" s="152"/>
      <c r="GG3" s="163"/>
      <c r="GK3" s="152"/>
      <c r="HD3" s="152"/>
      <c r="HS3" s="461" t="s">
        <v>102</v>
      </c>
      <c r="HT3" s="461" t="s">
        <v>102</v>
      </c>
      <c r="HU3" s="461" t="s">
        <v>102</v>
      </c>
      <c r="HV3" s="461" t="s">
        <v>102</v>
      </c>
      <c r="HW3" s="461" t="s">
        <v>102</v>
      </c>
      <c r="HX3" s="461" t="s">
        <v>102</v>
      </c>
      <c r="HY3" s="461" t="s">
        <v>102</v>
      </c>
      <c r="HZ3" s="479" t="s">
        <v>102</v>
      </c>
      <c r="IN3" s="165" t="s">
        <v>81</v>
      </c>
    </row>
    <row r="4" spans="1:255" s="147" customFormat="1" ht="14.1" customHeight="1">
      <c r="A4" s="51" t="s">
        <v>1</v>
      </c>
      <c r="B4" s="47" t="s">
        <v>46</v>
      </c>
      <c r="C4" s="55">
        <v>39843</v>
      </c>
      <c r="D4" s="48">
        <v>39846</v>
      </c>
      <c r="E4" s="48">
        <v>39847</v>
      </c>
      <c r="F4" s="48">
        <v>39848</v>
      </c>
      <c r="G4" s="48">
        <v>39849</v>
      </c>
      <c r="H4" s="54">
        <v>39850</v>
      </c>
      <c r="I4" s="48">
        <v>39853</v>
      </c>
      <c r="J4" s="48">
        <v>39854</v>
      </c>
      <c r="K4" s="48">
        <v>39855</v>
      </c>
      <c r="L4" s="48">
        <v>39856</v>
      </c>
      <c r="M4" s="220">
        <v>39857</v>
      </c>
      <c r="N4" s="48">
        <v>39861</v>
      </c>
      <c r="O4" s="48">
        <v>39862</v>
      </c>
      <c r="P4" s="48">
        <v>39863</v>
      </c>
      <c r="Q4" s="54">
        <v>39864</v>
      </c>
      <c r="R4" s="48">
        <v>39867</v>
      </c>
      <c r="S4" s="48">
        <v>39868</v>
      </c>
      <c r="T4" s="48">
        <v>39869</v>
      </c>
      <c r="U4" s="48">
        <v>39870</v>
      </c>
      <c r="V4" s="55">
        <v>39871</v>
      </c>
      <c r="W4" s="48">
        <v>39874</v>
      </c>
      <c r="X4" s="48">
        <v>39875</v>
      </c>
      <c r="Y4" s="48">
        <v>39876</v>
      </c>
      <c r="Z4" s="48">
        <v>39877</v>
      </c>
      <c r="AA4" s="54">
        <v>39878</v>
      </c>
      <c r="AB4" s="48">
        <v>39881</v>
      </c>
      <c r="AC4" s="48">
        <v>39882</v>
      </c>
      <c r="AD4" s="48">
        <v>39883</v>
      </c>
      <c r="AE4" s="48">
        <v>39884</v>
      </c>
      <c r="AF4" s="220">
        <v>39885</v>
      </c>
      <c r="AG4" s="48">
        <v>39888</v>
      </c>
      <c r="AH4" s="48">
        <v>39889</v>
      </c>
      <c r="AI4" s="48">
        <v>39890</v>
      </c>
      <c r="AJ4" s="48">
        <v>39891</v>
      </c>
      <c r="AK4" s="54">
        <v>39892</v>
      </c>
      <c r="AL4" s="48">
        <v>39895</v>
      </c>
      <c r="AM4" s="48">
        <v>39896</v>
      </c>
      <c r="AN4" s="48">
        <v>39897</v>
      </c>
      <c r="AO4" s="48">
        <v>39898</v>
      </c>
      <c r="AP4" s="48">
        <v>39899</v>
      </c>
      <c r="AQ4" s="48">
        <v>39902</v>
      </c>
      <c r="AR4" s="55">
        <v>39903</v>
      </c>
      <c r="AS4" s="48">
        <v>39904</v>
      </c>
      <c r="AT4" s="48">
        <v>39905</v>
      </c>
      <c r="AU4" s="54">
        <v>39906</v>
      </c>
      <c r="AV4" s="48">
        <v>39909</v>
      </c>
      <c r="AW4" s="48">
        <v>39910</v>
      </c>
      <c r="AX4" s="48">
        <v>39911</v>
      </c>
      <c r="AY4" s="48">
        <v>39912</v>
      </c>
      <c r="AZ4" s="48">
        <v>39913</v>
      </c>
      <c r="BA4" s="48">
        <v>39916</v>
      </c>
      <c r="BB4" s="48">
        <v>39917</v>
      </c>
      <c r="BC4" s="220">
        <v>39918</v>
      </c>
      <c r="BD4" s="48">
        <v>39919</v>
      </c>
      <c r="BE4" s="54">
        <v>39920</v>
      </c>
      <c r="BF4" s="48">
        <v>39923</v>
      </c>
      <c r="BG4" s="48">
        <v>39924</v>
      </c>
      <c r="BH4" s="48">
        <v>39925</v>
      </c>
      <c r="BI4" s="48">
        <v>39926</v>
      </c>
      <c r="BJ4" s="48">
        <v>39927</v>
      </c>
      <c r="BK4" s="48">
        <v>39930</v>
      </c>
      <c r="BL4" s="48">
        <v>39931</v>
      </c>
      <c r="BM4" s="48">
        <v>39932</v>
      </c>
      <c r="BN4" s="55">
        <v>39933</v>
      </c>
      <c r="BO4" s="54">
        <v>39934</v>
      </c>
      <c r="BP4" s="48">
        <v>39937</v>
      </c>
      <c r="BQ4" s="48">
        <v>39938</v>
      </c>
      <c r="BR4" s="48">
        <v>39939</v>
      </c>
      <c r="BS4" s="48">
        <v>39940</v>
      </c>
      <c r="BT4" s="48">
        <v>39941</v>
      </c>
      <c r="BU4" s="48">
        <v>39944</v>
      </c>
      <c r="BV4" s="48">
        <v>39945</v>
      </c>
      <c r="BW4" s="48">
        <v>39946</v>
      </c>
      <c r="BX4" s="48">
        <v>39947</v>
      </c>
      <c r="BY4" s="220">
        <v>39948</v>
      </c>
      <c r="BZ4" s="48">
        <v>39951</v>
      </c>
      <c r="CA4" s="48">
        <v>39952</v>
      </c>
      <c r="CB4" s="48">
        <v>39953</v>
      </c>
      <c r="CC4" s="48">
        <v>39954</v>
      </c>
      <c r="CD4" s="48">
        <v>39955</v>
      </c>
      <c r="CE4" s="48">
        <v>39959</v>
      </c>
      <c r="CF4" s="48">
        <v>39960</v>
      </c>
      <c r="CG4" s="48">
        <v>39961</v>
      </c>
      <c r="CH4" s="54">
        <v>39962</v>
      </c>
      <c r="CI4" s="48">
        <v>39965</v>
      </c>
      <c r="CJ4" s="48">
        <v>39966</v>
      </c>
      <c r="CK4" s="48">
        <v>39967</v>
      </c>
      <c r="CL4" s="48">
        <v>39968</v>
      </c>
      <c r="CM4" s="48">
        <v>39969</v>
      </c>
      <c r="CN4" s="48">
        <v>39972</v>
      </c>
      <c r="CO4" s="48">
        <v>39973</v>
      </c>
      <c r="CP4" s="48">
        <v>39974</v>
      </c>
      <c r="CQ4" s="48">
        <v>39975</v>
      </c>
      <c r="CR4" s="54">
        <v>39976</v>
      </c>
      <c r="CS4" s="220">
        <v>39979</v>
      </c>
      <c r="CT4" s="48">
        <v>39980</v>
      </c>
      <c r="CU4" s="48">
        <v>39981</v>
      </c>
      <c r="CV4" s="48">
        <v>39982</v>
      </c>
      <c r="CW4" s="48">
        <v>39983</v>
      </c>
      <c r="CX4" s="48">
        <v>39986</v>
      </c>
      <c r="CY4" s="48">
        <v>39987</v>
      </c>
      <c r="CZ4" s="48">
        <v>39988</v>
      </c>
      <c r="DA4" s="48">
        <v>39989</v>
      </c>
      <c r="DB4" s="54">
        <v>39990</v>
      </c>
      <c r="DC4" s="48">
        <v>39993</v>
      </c>
      <c r="DD4" s="55">
        <v>39994</v>
      </c>
      <c r="DE4" s="48">
        <v>39995</v>
      </c>
      <c r="DF4" s="48">
        <v>39996</v>
      </c>
      <c r="DG4" s="48">
        <v>40000</v>
      </c>
      <c r="DH4" s="48">
        <v>40001</v>
      </c>
      <c r="DI4" s="48">
        <v>40002</v>
      </c>
      <c r="DJ4" s="48">
        <v>40003</v>
      </c>
      <c r="DK4" s="54">
        <v>40004</v>
      </c>
      <c r="DL4" s="48">
        <v>40007</v>
      </c>
      <c r="DM4" s="48">
        <v>40008</v>
      </c>
      <c r="DN4" s="220">
        <v>40009</v>
      </c>
      <c r="DO4" s="48">
        <v>40010</v>
      </c>
      <c r="DP4" s="48">
        <v>40011</v>
      </c>
      <c r="DQ4" s="48">
        <v>40014</v>
      </c>
      <c r="DR4" s="48">
        <v>40015</v>
      </c>
      <c r="DS4" s="48">
        <v>40016</v>
      </c>
      <c r="DT4" s="48">
        <v>40017</v>
      </c>
      <c r="DU4" s="54">
        <v>40018</v>
      </c>
      <c r="DV4" s="48">
        <v>40021</v>
      </c>
      <c r="DW4" s="48">
        <v>40022</v>
      </c>
      <c r="DX4" s="48">
        <v>40023</v>
      </c>
      <c r="DY4" s="48">
        <v>40024</v>
      </c>
      <c r="DZ4" s="55">
        <v>40025</v>
      </c>
      <c r="EA4" s="48">
        <v>40028</v>
      </c>
      <c r="EB4" s="48">
        <v>40029</v>
      </c>
      <c r="EC4" s="48">
        <v>40030</v>
      </c>
      <c r="ED4" s="48">
        <v>40031</v>
      </c>
      <c r="EE4" s="54">
        <v>40032</v>
      </c>
      <c r="EF4" s="48">
        <v>40035</v>
      </c>
      <c r="EG4" s="48">
        <v>40036</v>
      </c>
      <c r="EH4" s="48">
        <v>40037</v>
      </c>
      <c r="EI4" s="48">
        <v>40038</v>
      </c>
      <c r="EJ4" s="220">
        <v>40039</v>
      </c>
      <c r="EK4" s="48">
        <v>40042</v>
      </c>
      <c r="EL4" s="48">
        <v>40043</v>
      </c>
      <c r="EM4" s="48">
        <v>40044</v>
      </c>
      <c r="EN4" s="48">
        <v>40045</v>
      </c>
      <c r="EO4" s="54">
        <v>40046</v>
      </c>
      <c r="EP4" s="48">
        <v>40049</v>
      </c>
      <c r="EQ4" s="162">
        <v>40050</v>
      </c>
      <c r="ER4" s="48">
        <v>40051</v>
      </c>
      <c r="ES4" s="48">
        <v>40052</v>
      </c>
      <c r="ET4" s="48">
        <v>40053</v>
      </c>
      <c r="EU4" s="55">
        <v>40056</v>
      </c>
      <c r="EV4" s="48">
        <v>40057</v>
      </c>
      <c r="EW4" s="48">
        <v>40058</v>
      </c>
      <c r="EX4" s="48">
        <v>40059</v>
      </c>
      <c r="EY4" s="54">
        <v>40060</v>
      </c>
      <c r="EZ4" s="48">
        <v>40064</v>
      </c>
      <c r="FA4" s="48">
        <v>40065</v>
      </c>
      <c r="FB4" s="48">
        <v>40066</v>
      </c>
      <c r="FC4" s="48">
        <v>40067</v>
      </c>
      <c r="FD4" s="48">
        <v>40070</v>
      </c>
      <c r="FE4" s="220">
        <v>40071</v>
      </c>
      <c r="FF4" s="48">
        <v>40072</v>
      </c>
      <c r="FG4" s="48">
        <v>40073</v>
      </c>
      <c r="FH4" s="54">
        <v>40074</v>
      </c>
      <c r="FI4" s="48">
        <v>40077</v>
      </c>
      <c r="FJ4" s="70">
        <v>40078</v>
      </c>
      <c r="FK4" s="48">
        <v>40079</v>
      </c>
      <c r="FL4" s="48">
        <v>40080</v>
      </c>
      <c r="FM4" s="162">
        <v>40081</v>
      </c>
      <c r="FN4" s="48">
        <v>40084</v>
      </c>
      <c r="FO4" s="48">
        <v>40085</v>
      </c>
      <c r="FP4" s="55">
        <v>40086</v>
      </c>
      <c r="FQ4" s="48">
        <v>40087</v>
      </c>
      <c r="FR4" s="54">
        <v>40088</v>
      </c>
      <c r="FS4" s="48">
        <v>40091</v>
      </c>
      <c r="FT4" s="48">
        <v>40092</v>
      </c>
      <c r="FU4" s="48">
        <v>40093</v>
      </c>
      <c r="FV4" s="48">
        <v>40094</v>
      </c>
      <c r="FW4" s="48">
        <v>40095</v>
      </c>
      <c r="FX4" s="48">
        <v>40099</v>
      </c>
      <c r="FY4" s="48">
        <v>40100</v>
      </c>
      <c r="FZ4" s="220">
        <v>40101</v>
      </c>
      <c r="GA4" s="54">
        <v>40102</v>
      </c>
      <c r="GB4" s="48">
        <v>40105</v>
      </c>
      <c r="GC4" s="48">
        <v>40106</v>
      </c>
      <c r="GD4" s="48">
        <v>40107</v>
      </c>
      <c r="GE4" s="48">
        <v>40108</v>
      </c>
      <c r="GF4" s="48">
        <v>40109</v>
      </c>
      <c r="GG4" s="162">
        <v>40112</v>
      </c>
      <c r="GH4" s="48">
        <v>40113</v>
      </c>
      <c r="GI4" s="48">
        <v>40114</v>
      </c>
      <c r="GJ4" s="48">
        <v>40115</v>
      </c>
      <c r="GK4" s="54">
        <v>40116</v>
      </c>
      <c r="GL4" s="48">
        <v>40119</v>
      </c>
      <c r="GM4" s="48">
        <v>40120</v>
      </c>
      <c r="GN4" s="48">
        <v>40121</v>
      </c>
      <c r="GO4" s="48">
        <v>40122</v>
      </c>
      <c r="GP4" s="48">
        <v>40123</v>
      </c>
      <c r="GQ4" s="48">
        <v>40126</v>
      </c>
      <c r="GR4" s="48">
        <v>40127</v>
      </c>
      <c r="GS4" s="48">
        <v>40129</v>
      </c>
      <c r="GT4" s="220">
        <v>40132</v>
      </c>
      <c r="GU4" s="48">
        <v>40133</v>
      </c>
      <c r="GV4" s="48">
        <f>+GU4+1</f>
        <v>40134</v>
      </c>
      <c r="GW4" s="48">
        <f>+GV4+1</f>
        <v>40135</v>
      </c>
      <c r="GX4" s="48">
        <f>+GW4+1</f>
        <v>40136</v>
      </c>
      <c r="GY4" s="48">
        <f>+GX4+1</f>
        <v>40137</v>
      </c>
      <c r="GZ4" s="48">
        <v>40140</v>
      </c>
      <c r="HA4" s="48">
        <f>+GZ4+1</f>
        <v>40141</v>
      </c>
      <c r="HB4" s="48">
        <f>+HA4+1</f>
        <v>40142</v>
      </c>
      <c r="HC4" s="480">
        <v>40144</v>
      </c>
      <c r="HD4" s="55">
        <v>40147</v>
      </c>
      <c r="HE4" s="48">
        <v>40148</v>
      </c>
      <c r="HF4" s="48">
        <f>+HE4+1</f>
        <v>40149</v>
      </c>
      <c r="HG4" s="48">
        <f>+HF4+1</f>
        <v>40150</v>
      </c>
      <c r="HH4" s="48">
        <f>+HG4+1</f>
        <v>40151</v>
      </c>
      <c r="HI4" s="48">
        <v>40154</v>
      </c>
      <c r="HJ4" s="48">
        <f>+HI4+1</f>
        <v>40155</v>
      </c>
      <c r="HK4" s="48">
        <f>+HJ4+1</f>
        <v>40156</v>
      </c>
      <c r="HL4" s="48">
        <f>+HK4+1</f>
        <v>40157</v>
      </c>
      <c r="HM4" s="54">
        <f>+HL4+1</f>
        <v>40158</v>
      </c>
      <c r="HN4" s="48">
        <v>40161</v>
      </c>
      <c r="HO4" s="220">
        <f>+HN4+1</f>
        <v>40162</v>
      </c>
      <c r="HP4" s="48">
        <f>+HO4+1</f>
        <v>40163</v>
      </c>
      <c r="HQ4" s="48">
        <f>+HP4+1</f>
        <v>40164</v>
      </c>
      <c r="HR4" s="48">
        <f>+HQ4+1</f>
        <v>40165</v>
      </c>
      <c r="HS4" s="48">
        <v>40168</v>
      </c>
      <c r="HT4" s="48">
        <f>+HS4+1</f>
        <v>40169</v>
      </c>
      <c r="HU4" s="48">
        <f>+HT4+1</f>
        <v>40170</v>
      </c>
      <c r="HV4" s="480">
        <f>+HU4+1</f>
        <v>40171</v>
      </c>
      <c r="HW4" s="48">
        <v>40175</v>
      </c>
      <c r="HX4" s="48">
        <f>+HW4+1</f>
        <v>40176</v>
      </c>
      <c r="HY4" s="48">
        <f>+HX4+1</f>
        <v>40177</v>
      </c>
      <c r="HZ4" s="55">
        <f>+HY4+1</f>
        <v>40178</v>
      </c>
      <c r="IA4" s="48">
        <v>40182</v>
      </c>
      <c r="IB4" s="48">
        <f>+IA4+1</f>
        <v>40183</v>
      </c>
      <c r="IC4" s="48">
        <f>+IB4+1</f>
        <v>40184</v>
      </c>
      <c r="ID4" s="48">
        <f>+IC4+1</f>
        <v>40185</v>
      </c>
      <c r="IE4" s="54">
        <f>+ID4+1</f>
        <v>40186</v>
      </c>
      <c r="IF4" s="48">
        <v>40189</v>
      </c>
      <c r="IG4" s="48">
        <f>+IF4+1</f>
        <v>40190</v>
      </c>
      <c r="IH4" s="48">
        <f>+IG4+1</f>
        <v>40191</v>
      </c>
      <c r="II4" s="48">
        <f>+IH4+1</f>
        <v>40192</v>
      </c>
      <c r="IJ4" s="220">
        <f>+II4+1</f>
        <v>40193</v>
      </c>
      <c r="IK4" s="48">
        <v>40197</v>
      </c>
      <c r="IL4" s="48">
        <f>+IK4+1</f>
        <v>40198</v>
      </c>
      <c r="IM4" s="48">
        <f>+IL4+1</f>
        <v>40199</v>
      </c>
      <c r="IN4" s="54">
        <f>+IM4+1</f>
        <v>40200</v>
      </c>
      <c r="IO4" s="48">
        <v>40203</v>
      </c>
      <c r="IP4" s="48">
        <f>+IO4+1</f>
        <v>40204</v>
      </c>
      <c r="IQ4" s="48">
        <f>+IP4+1</f>
        <v>40205</v>
      </c>
      <c r="IR4" s="48">
        <f>+IQ4+1</f>
        <v>40206</v>
      </c>
      <c r="IS4" s="48">
        <f>+IR4+1</f>
        <v>40207</v>
      </c>
      <c r="IT4" s="55">
        <f>+IS4+1</f>
        <v>40208</v>
      </c>
      <c r="IU4" s="49" t="s">
        <v>73</v>
      </c>
    </row>
    <row r="5" spans="1:255" s="170" customFormat="1" ht="14.1" customHeight="1" thickBot="1">
      <c r="A5" s="167"/>
      <c r="B5" s="168"/>
      <c r="C5" s="169"/>
      <c r="H5" s="171" t="s">
        <v>74</v>
      </c>
      <c r="M5" s="181" t="s">
        <v>75</v>
      </c>
      <c r="Q5" s="171" t="s">
        <v>74</v>
      </c>
      <c r="V5" s="169"/>
      <c r="AA5" s="171" t="s">
        <v>74</v>
      </c>
      <c r="AF5" s="181" t="s">
        <v>75</v>
      </c>
      <c r="AK5" s="171" t="s">
        <v>74</v>
      </c>
      <c r="AR5" s="169"/>
      <c r="AU5" s="171" t="s">
        <v>74</v>
      </c>
      <c r="BC5" s="181" t="s">
        <v>75</v>
      </c>
      <c r="BE5" s="171" t="s">
        <v>74</v>
      </c>
      <c r="BN5" s="169"/>
      <c r="BO5" s="171" t="s">
        <v>74</v>
      </c>
      <c r="BY5" s="181" t="s">
        <v>76</v>
      </c>
      <c r="CH5" s="171" t="s">
        <v>74</v>
      </c>
      <c r="CR5" s="171" t="s">
        <v>74</v>
      </c>
      <c r="CS5" s="181" t="s">
        <v>75</v>
      </c>
      <c r="CZ5" s="172"/>
      <c r="DB5" s="171" t="s">
        <v>74</v>
      </c>
      <c r="DC5" s="170" t="s">
        <v>49</v>
      </c>
      <c r="DD5" s="169"/>
      <c r="DK5" s="171" t="s">
        <v>74</v>
      </c>
      <c r="DN5" s="181" t="s">
        <v>75</v>
      </c>
      <c r="DR5" s="172"/>
      <c r="DU5" s="171" t="s">
        <v>74</v>
      </c>
      <c r="DZ5" s="169"/>
      <c r="EB5" s="172"/>
      <c r="EE5" s="171" t="s">
        <v>74</v>
      </c>
      <c r="EJ5" s="181" t="s">
        <v>75</v>
      </c>
      <c r="EK5" s="172"/>
      <c r="EO5" s="171" t="s">
        <v>74</v>
      </c>
      <c r="EQ5" s="214"/>
      <c r="EU5" s="169"/>
      <c r="EY5" s="171" t="s">
        <v>74</v>
      </c>
      <c r="FD5" s="172"/>
      <c r="FE5" s="181" t="s">
        <v>75</v>
      </c>
      <c r="FH5" s="171" t="s">
        <v>74</v>
      </c>
      <c r="FJ5" s="177"/>
      <c r="FM5" s="215"/>
      <c r="FP5" s="169"/>
      <c r="FR5" s="171" t="s">
        <v>74</v>
      </c>
      <c r="FZ5" s="181" t="s">
        <v>75</v>
      </c>
      <c r="GA5" s="171" t="s">
        <v>74</v>
      </c>
      <c r="GG5" s="215"/>
      <c r="GK5" s="171" t="s">
        <v>74</v>
      </c>
      <c r="GT5" s="181" t="s">
        <v>76</v>
      </c>
      <c r="HC5" s="171" t="s">
        <v>74</v>
      </c>
      <c r="HD5" s="169"/>
      <c r="HM5" s="171" t="s">
        <v>74</v>
      </c>
      <c r="HO5" s="181" t="s">
        <v>75</v>
      </c>
      <c r="HU5" s="170" t="s">
        <v>49</v>
      </c>
      <c r="HV5" s="171" t="s">
        <v>74</v>
      </c>
      <c r="HZ5" s="169"/>
      <c r="IE5" s="171" t="s">
        <v>74</v>
      </c>
      <c r="IJ5" s="181" t="s">
        <v>75</v>
      </c>
      <c r="IN5" s="171" t="s">
        <v>74</v>
      </c>
      <c r="IT5" s="169"/>
    </row>
    <row r="6" spans="1:255" ht="14.1" customHeight="1">
      <c r="A6" s="2" t="s">
        <v>2</v>
      </c>
      <c r="B6" s="2"/>
      <c r="C6" s="153">
        <v>110446.02</v>
      </c>
      <c r="D6" s="2">
        <f t="shared" ref="D6:AI6" si="0">C54</f>
        <v>113098.01999999955</v>
      </c>
      <c r="E6" s="2">
        <f t="shared" si="0"/>
        <v>130273.01999999583</v>
      </c>
      <c r="F6" s="2">
        <f t="shared" si="0"/>
        <v>111667.01999999583</v>
      </c>
      <c r="G6" s="2">
        <f t="shared" si="0"/>
        <v>131863.02000000328</v>
      </c>
      <c r="H6" s="2">
        <f t="shared" si="0"/>
        <v>120762.01999999583</v>
      </c>
      <c r="I6" s="2">
        <f t="shared" si="0"/>
        <v>128182.01999999583</v>
      </c>
      <c r="J6" s="2">
        <f t="shared" si="0"/>
        <v>233490.01999998093</v>
      </c>
      <c r="K6" s="2">
        <f t="shared" si="0"/>
        <v>114201.79999998095</v>
      </c>
      <c r="L6" s="2">
        <f t="shared" si="0"/>
        <v>120344.79999998212</v>
      </c>
      <c r="M6" s="221">
        <f t="shared" si="0"/>
        <v>120851.79999996722</v>
      </c>
      <c r="N6" s="2">
        <f t="shared" si="0"/>
        <v>154096.69999995828</v>
      </c>
      <c r="O6" s="2">
        <f t="shared" si="0"/>
        <v>149491.89999995381</v>
      </c>
      <c r="P6" s="2">
        <f t="shared" si="0"/>
        <v>177303.89999995381</v>
      </c>
      <c r="Q6" s="2">
        <f t="shared" si="0"/>
        <v>114214.89999995008</v>
      </c>
      <c r="R6" s="2">
        <f t="shared" si="0"/>
        <v>108437.89999995008</v>
      </c>
      <c r="S6" s="2">
        <f t="shared" si="0"/>
        <v>111160.89999994636</v>
      </c>
      <c r="T6" s="2">
        <f t="shared" si="0"/>
        <v>119050.89999994636</v>
      </c>
      <c r="U6" s="2">
        <f t="shared" si="0"/>
        <v>114770.89999994636</v>
      </c>
      <c r="V6" s="153">
        <f t="shared" si="0"/>
        <v>104932.89999994636</v>
      </c>
      <c r="W6" s="2">
        <f t="shared" si="0"/>
        <v>121574.89999994636</v>
      </c>
      <c r="X6" s="2">
        <f t="shared" si="0"/>
        <v>166787.89999994636</v>
      </c>
      <c r="Y6" s="2">
        <f t="shared" si="0"/>
        <v>130803.89999994589</v>
      </c>
      <c r="Z6" s="2">
        <f t="shared" si="0"/>
        <v>114318.89999994612</v>
      </c>
      <c r="AA6" s="331">
        <f t="shared" si="0"/>
        <v>130181.89999994542</v>
      </c>
      <c r="AB6" s="331">
        <f t="shared" si="0"/>
        <v>183670.89999995008</v>
      </c>
      <c r="AC6" s="2">
        <f t="shared" si="0"/>
        <v>175295.89999995008</v>
      </c>
      <c r="AD6" s="2">
        <f t="shared" si="0"/>
        <v>186348.89999995008</v>
      </c>
      <c r="AE6" s="2">
        <f t="shared" si="0"/>
        <v>177991.89999994985</v>
      </c>
      <c r="AF6" s="221">
        <f t="shared" si="0"/>
        <v>119531.89999995008</v>
      </c>
      <c r="AG6" s="221">
        <f t="shared" si="0"/>
        <v>194826.89999993145</v>
      </c>
      <c r="AH6" s="221">
        <f t="shared" si="0"/>
        <v>146073.89999993145</v>
      </c>
      <c r="AI6" s="221">
        <f t="shared" si="0"/>
        <v>985857.89999993122</v>
      </c>
      <c r="AJ6" s="221">
        <f t="shared" ref="AJ6:BO6" si="1">AI54</f>
        <v>154948.89999993122</v>
      </c>
      <c r="AK6" s="221">
        <f t="shared" si="1"/>
        <v>100131.89999993099</v>
      </c>
      <c r="AL6" s="2">
        <f t="shared" si="1"/>
        <v>99999.899999931455</v>
      </c>
      <c r="AM6" s="2">
        <f t="shared" si="1"/>
        <v>99999.899999931455</v>
      </c>
      <c r="AN6" s="2">
        <f t="shared" si="1"/>
        <v>108143.89999993122</v>
      </c>
      <c r="AO6" s="2">
        <f t="shared" si="1"/>
        <v>116172.89999993239</v>
      </c>
      <c r="AP6" s="2">
        <f t="shared" si="1"/>
        <v>111172.89999993262</v>
      </c>
      <c r="AQ6" s="2">
        <f t="shared" si="1"/>
        <v>115273.89999993285</v>
      </c>
      <c r="AR6" s="2">
        <f t="shared" si="1"/>
        <v>122411.89999993239</v>
      </c>
      <c r="AS6" s="2">
        <f t="shared" si="1"/>
        <v>366036.89999993239</v>
      </c>
      <c r="AT6" s="2">
        <f t="shared" si="1"/>
        <v>165251.89999993239</v>
      </c>
      <c r="AU6" s="2">
        <f t="shared" si="1"/>
        <v>208744.89999993285</v>
      </c>
      <c r="AV6" s="2">
        <f t="shared" si="1"/>
        <v>183688.89999993285</v>
      </c>
      <c r="AW6" s="2">
        <f t="shared" si="1"/>
        <v>142160.89999993332</v>
      </c>
      <c r="AX6" s="2">
        <f t="shared" si="1"/>
        <v>110778.89999993332</v>
      </c>
      <c r="AY6" s="2">
        <f t="shared" si="1"/>
        <v>211555.89999993332</v>
      </c>
      <c r="AZ6" s="2">
        <f t="shared" si="1"/>
        <v>130434.89999993332</v>
      </c>
      <c r="BA6" s="2">
        <f t="shared" si="1"/>
        <v>162981.89999993355</v>
      </c>
      <c r="BB6" s="2">
        <f t="shared" si="1"/>
        <v>119257.89999993239</v>
      </c>
      <c r="BC6" s="221">
        <f t="shared" si="1"/>
        <v>124282.89999993145</v>
      </c>
      <c r="BD6" s="2">
        <f t="shared" si="1"/>
        <v>128894.89999993145</v>
      </c>
      <c r="BE6" s="2">
        <f t="shared" si="1"/>
        <v>111196.89999993122</v>
      </c>
      <c r="BF6" s="2">
        <f t="shared" si="1"/>
        <v>117759.89999993052</v>
      </c>
      <c r="BG6" s="2">
        <f t="shared" si="1"/>
        <v>162326.89999993145</v>
      </c>
      <c r="BH6" s="2">
        <f t="shared" si="1"/>
        <v>145999.89999993145</v>
      </c>
      <c r="BI6" s="2">
        <f t="shared" si="1"/>
        <v>114939.89999993145</v>
      </c>
      <c r="BJ6" s="2">
        <f t="shared" si="1"/>
        <v>108179.89999993145</v>
      </c>
      <c r="BK6" s="2">
        <f t="shared" si="1"/>
        <v>130926.89999993145</v>
      </c>
      <c r="BL6" s="2">
        <f t="shared" si="1"/>
        <v>132177.89999993145</v>
      </c>
      <c r="BM6" s="2">
        <f t="shared" si="1"/>
        <v>110908.89999993169</v>
      </c>
      <c r="BN6" s="153">
        <f t="shared" si="1"/>
        <v>106568.89999993169</v>
      </c>
      <c r="BO6" s="2">
        <f t="shared" si="1"/>
        <v>138481.89999993192</v>
      </c>
      <c r="BP6" s="2">
        <f t="shared" ref="BP6:CX6" si="2">BO54</f>
        <v>187327.89999993239</v>
      </c>
      <c r="BQ6" s="2">
        <f t="shared" si="2"/>
        <v>175938.89999993239</v>
      </c>
      <c r="BR6" s="2">
        <f t="shared" si="2"/>
        <v>146548.89999993239</v>
      </c>
      <c r="BS6" s="2">
        <f t="shared" si="2"/>
        <v>140876.89999992959</v>
      </c>
      <c r="BT6" s="2">
        <f t="shared" si="2"/>
        <v>246929.89999992959</v>
      </c>
      <c r="BU6" s="2">
        <f t="shared" si="2"/>
        <v>124919.89999992959</v>
      </c>
      <c r="BV6" s="2">
        <f t="shared" si="2"/>
        <v>-251313.10000007087</v>
      </c>
      <c r="BW6" s="2">
        <f t="shared" si="2"/>
        <v>126514.89999993145</v>
      </c>
      <c r="BX6" s="2">
        <f t="shared" si="2"/>
        <v>117316.89999993169</v>
      </c>
      <c r="BY6" s="221">
        <f t="shared" si="2"/>
        <v>102585.89999993192</v>
      </c>
      <c r="BZ6" s="221">
        <f t="shared" si="2"/>
        <v>104120.89999993145</v>
      </c>
      <c r="CA6" s="2">
        <f t="shared" si="2"/>
        <v>153742.89999993169</v>
      </c>
      <c r="CB6" s="2">
        <f t="shared" si="2"/>
        <v>172902.89999993145</v>
      </c>
      <c r="CC6" s="2">
        <f t="shared" si="2"/>
        <v>117529.89999993332</v>
      </c>
      <c r="CD6" s="2">
        <f t="shared" si="2"/>
        <v>107577.89999993326</v>
      </c>
      <c r="CE6" s="2">
        <f t="shared" si="2"/>
        <v>104127.89999993332</v>
      </c>
      <c r="CF6" s="2">
        <f t="shared" si="2"/>
        <v>112196.89999993145</v>
      </c>
      <c r="CG6" s="2">
        <f t="shared" si="2"/>
        <v>108129.89999993145</v>
      </c>
      <c r="CH6" s="153">
        <f t="shared" si="2"/>
        <v>142155.89999993145</v>
      </c>
      <c r="CI6" s="153">
        <f t="shared" si="2"/>
        <v>147153.89999993145</v>
      </c>
      <c r="CJ6" s="2">
        <f t="shared" si="2"/>
        <v>137383.89999993145</v>
      </c>
      <c r="CK6" s="2">
        <f t="shared" si="2"/>
        <v>141262.89999993145</v>
      </c>
      <c r="CL6" s="2">
        <f t="shared" si="2"/>
        <v>132836.89999993145</v>
      </c>
      <c r="CM6" s="2">
        <f t="shared" si="2"/>
        <v>113878.89999993157</v>
      </c>
      <c r="CN6" s="2">
        <f t="shared" si="2"/>
        <v>117025.89999993145</v>
      </c>
      <c r="CO6" s="2">
        <f t="shared" si="2"/>
        <v>103425.89999993169</v>
      </c>
      <c r="CP6" s="2">
        <f t="shared" si="2"/>
        <v>120153.89999993169</v>
      </c>
      <c r="CQ6" s="2">
        <f t="shared" si="2"/>
        <v>192524.89999993145</v>
      </c>
      <c r="CR6" s="2">
        <f t="shared" si="2"/>
        <v>137248.89999993145</v>
      </c>
      <c r="CS6" s="2">
        <f t="shared" si="2"/>
        <v>141449.89999993145</v>
      </c>
      <c r="CT6" s="2">
        <f t="shared" si="2"/>
        <v>114700.89999993145</v>
      </c>
      <c r="CU6" s="2">
        <f t="shared" si="2"/>
        <v>207345.89999993145</v>
      </c>
      <c r="CV6" s="2">
        <f t="shared" si="2"/>
        <v>248175.89999993099</v>
      </c>
      <c r="CW6" s="2">
        <f t="shared" si="2"/>
        <v>307676.89999993099</v>
      </c>
      <c r="CX6" s="2">
        <f t="shared" si="2"/>
        <v>223474.89999993145</v>
      </c>
      <c r="CY6" s="2">
        <f t="shared" ref="CY6:ED6" si="3">CX54</f>
        <v>110803.89999993145</v>
      </c>
      <c r="CZ6" s="2">
        <f t="shared" si="3"/>
        <v>460358.89999993145</v>
      </c>
      <c r="DA6" s="2">
        <f t="shared" si="3"/>
        <v>209310.89999993169</v>
      </c>
      <c r="DB6" s="2">
        <f t="shared" si="3"/>
        <v>215062.89999993145</v>
      </c>
      <c r="DC6" s="2">
        <f t="shared" si="3"/>
        <v>190867.89999993145</v>
      </c>
      <c r="DD6" s="153">
        <f t="shared" si="3"/>
        <v>102203.89999993145</v>
      </c>
      <c r="DE6" s="2">
        <f t="shared" si="3"/>
        <v>121735.89999993518</v>
      </c>
      <c r="DF6" s="2">
        <f t="shared" si="3"/>
        <v>115561.89999993518</v>
      </c>
      <c r="DG6" s="2">
        <f t="shared" si="3"/>
        <v>100910.89999993518</v>
      </c>
      <c r="DH6" s="2">
        <f t="shared" si="3"/>
        <v>99999.89999993518</v>
      </c>
      <c r="DI6" s="2">
        <f t="shared" si="3"/>
        <v>99999.99999993504</v>
      </c>
      <c r="DJ6" s="2">
        <f t="shared" si="3"/>
        <v>-147457.15000006498</v>
      </c>
      <c r="DK6" s="2">
        <f t="shared" si="3"/>
        <v>99999.999999935157</v>
      </c>
      <c r="DL6" s="2">
        <f t="shared" si="3"/>
        <v>99999.999999935273</v>
      </c>
      <c r="DM6" s="2">
        <f t="shared" si="3"/>
        <v>99999.999999935273</v>
      </c>
      <c r="DN6" s="221">
        <f t="shared" si="3"/>
        <v>99999.999999932945</v>
      </c>
      <c r="DO6" s="2">
        <f t="shared" si="3"/>
        <v>537701.37999992073</v>
      </c>
      <c r="DP6" s="2">
        <f t="shared" si="3"/>
        <v>421653.9599999208</v>
      </c>
      <c r="DQ6" s="2">
        <f t="shared" si="3"/>
        <v>220650.99999992084</v>
      </c>
      <c r="DR6" s="2">
        <f t="shared" si="3"/>
        <v>144692.99999992107</v>
      </c>
      <c r="DS6" s="2">
        <f t="shared" si="3"/>
        <v>120624.99999992084</v>
      </c>
      <c r="DT6" s="2">
        <f t="shared" si="3"/>
        <v>140284.9999999213</v>
      </c>
      <c r="DU6" s="2">
        <f t="shared" si="3"/>
        <v>130413.9999999213</v>
      </c>
      <c r="DV6" s="2">
        <f t="shared" si="3"/>
        <v>120263.99999992177</v>
      </c>
      <c r="DW6" s="2">
        <f t="shared" si="3"/>
        <v>106461.9999999213</v>
      </c>
      <c r="DX6" s="2">
        <f t="shared" si="3"/>
        <v>196428.99999992363</v>
      </c>
      <c r="DY6" s="2">
        <f t="shared" si="3"/>
        <v>477959.99999992456</v>
      </c>
      <c r="DZ6" s="153">
        <f t="shared" si="3"/>
        <v>132189.99999992456</v>
      </c>
      <c r="EA6" s="2">
        <f t="shared" si="3"/>
        <v>100631.99999992456</v>
      </c>
      <c r="EB6" s="2">
        <f t="shared" si="3"/>
        <v>99999.999999924796</v>
      </c>
      <c r="EC6" s="2">
        <f t="shared" si="3"/>
        <v>195399.99999992456</v>
      </c>
      <c r="ED6" s="2">
        <f t="shared" si="3"/>
        <v>168228.99999992456</v>
      </c>
      <c r="EE6" s="2">
        <f t="shared" ref="EE6:FJ6" si="4">ED54</f>
        <v>129865.99999992177</v>
      </c>
      <c r="EF6" s="2">
        <f t="shared" si="4"/>
        <v>140973.99999992177</v>
      </c>
      <c r="EG6" s="2">
        <f t="shared" si="4"/>
        <v>102815.99999991804</v>
      </c>
      <c r="EH6" s="2">
        <f t="shared" si="4"/>
        <v>129008.03549991798</v>
      </c>
      <c r="EI6" s="2">
        <f t="shared" si="4"/>
        <v>123664.03549991827</v>
      </c>
      <c r="EJ6" s="235">
        <f t="shared" si="4"/>
        <v>138173.03549991921</v>
      </c>
      <c r="EK6" s="21">
        <f t="shared" si="4"/>
        <v>347652.03549992293</v>
      </c>
      <c r="EL6" s="2">
        <f t="shared" si="4"/>
        <v>265855.40549992397</v>
      </c>
      <c r="EM6" s="2">
        <f t="shared" si="4"/>
        <v>113680.03549992666</v>
      </c>
      <c r="EN6" s="2">
        <f t="shared" si="4"/>
        <v>105175.03549992666</v>
      </c>
      <c r="EO6" s="2">
        <f t="shared" si="4"/>
        <v>104458.03549992666</v>
      </c>
      <c r="EP6" s="2">
        <f t="shared" si="4"/>
        <v>164486.03549992666</v>
      </c>
      <c r="EQ6" s="2">
        <f t="shared" si="4"/>
        <v>145376.03549992666</v>
      </c>
      <c r="ER6" s="2">
        <f t="shared" si="4"/>
        <v>129886.03549993038</v>
      </c>
      <c r="ES6" s="2">
        <f t="shared" si="4"/>
        <v>160982.03549992992</v>
      </c>
      <c r="ET6" s="2">
        <f t="shared" si="4"/>
        <v>141688.03549992992</v>
      </c>
      <c r="EU6" s="153">
        <f t="shared" si="4"/>
        <v>123601.01549993013</v>
      </c>
      <c r="EV6" s="2">
        <f t="shared" si="4"/>
        <v>104506.01549992943</v>
      </c>
      <c r="EW6" s="2">
        <f t="shared" si="4"/>
        <v>169584.01549992943</v>
      </c>
      <c r="EX6" s="2">
        <f t="shared" si="4"/>
        <v>121195.01549992897</v>
      </c>
      <c r="EY6" s="2">
        <f t="shared" si="4"/>
        <v>132022.01549992891</v>
      </c>
      <c r="EZ6" s="2">
        <f t="shared" si="4"/>
        <v>156838.0154999271</v>
      </c>
      <c r="FA6" s="2">
        <f t="shared" si="4"/>
        <v>466586.01549992734</v>
      </c>
      <c r="FB6" s="2">
        <f t="shared" si="4"/>
        <v>233550.01549992722</v>
      </c>
      <c r="FC6" s="2">
        <f t="shared" si="4"/>
        <v>128263.0154999271</v>
      </c>
      <c r="FD6" s="2">
        <f t="shared" si="4"/>
        <v>192149.0154999271</v>
      </c>
      <c r="FE6" s="221">
        <f t="shared" si="4"/>
        <v>141491.0154999271</v>
      </c>
      <c r="FF6" s="2">
        <f t="shared" si="4"/>
        <v>122052.01549991965</v>
      </c>
      <c r="FG6" s="2">
        <f t="shared" si="4"/>
        <v>113670.01549991965</v>
      </c>
      <c r="FH6" s="2">
        <f t="shared" si="4"/>
        <v>132882.01549991954</v>
      </c>
      <c r="FI6" s="2">
        <f t="shared" si="4"/>
        <v>120319.98549992032</v>
      </c>
      <c r="FJ6" s="364">
        <f t="shared" si="4"/>
        <v>103236.98549992032</v>
      </c>
      <c r="FK6" s="2">
        <f t="shared" ref="FK6:GP6" si="5">FJ54</f>
        <v>101441.98549992032</v>
      </c>
      <c r="FL6" s="2">
        <f t="shared" si="5"/>
        <v>127378.98549991986</v>
      </c>
      <c r="FM6" s="2">
        <f t="shared" si="5"/>
        <v>131938.98549991986</v>
      </c>
      <c r="FN6" s="2">
        <f t="shared" si="5"/>
        <v>103917.98549990356</v>
      </c>
      <c r="FO6" s="2">
        <f t="shared" si="5"/>
        <v>114045.98549990356</v>
      </c>
      <c r="FP6" s="153">
        <f t="shared" si="5"/>
        <v>138333.98549989611</v>
      </c>
      <c r="FQ6" s="2">
        <f t="shared" si="5"/>
        <v>138767.98549989611</v>
      </c>
      <c r="FR6" s="2">
        <f t="shared" si="5"/>
        <v>127739.98549989611</v>
      </c>
      <c r="FS6" s="2">
        <f t="shared" si="5"/>
        <v>125725.98549989518</v>
      </c>
      <c r="FT6" s="2">
        <f t="shared" si="5"/>
        <v>102376.98549989518</v>
      </c>
      <c r="FU6" s="2">
        <f t="shared" si="5"/>
        <v>368657.98549989611</v>
      </c>
      <c r="FV6" s="2">
        <f t="shared" si="5"/>
        <v>362321.98549989611</v>
      </c>
      <c r="FW6" s="2">
        <f t="shared" si="5"/>
        <v>130180.98549989704</v>
      </c>
      <c r="FX6" s="2">
        <f t="shared" si="5"/>
        <v>105246.98549989704</v>
      </c>
      <c r="FY6" s="2">
        <f t="shared" si="5"/>
        <v>110931.98549989704</v>
      </c>
      <c r="FZ6" s="221">
        <f t="shared" si="5"/>
        <v>120002.98549989611</v>
      </c>
      <c r="GA6" s="2">
        <f t="shared" si="5"/>
        <v>230530.98549987376</v>
      </c>
      <c r="GB6" s="2">
        <f t="shared" si="5"/>
        <v>188886.98549987469</v>
      </c>
      <c r="GC6" s="2">
        <f t="shared" si="5"/>
        <v>138201.98549987469</v>
      </c>
      <c r="GD6" s="2">
        <f t="shared" si="5"/>
        <v>137830.98549987469</v>
      </c>
      <c r="GE6" s="2">
        <f t="shared" si="5"/>
        <v>105072.98549987469</v>
      </c>
      <c r="GF6" s="2">
        <f t="shared" si="5"/>
        <v>135604.98549987562</v>
      </c>
      <c r="GG6" s="2">
        <f t="shared" si="5"/>
        <v>104808.98549987562</v>
      </c>
      <c r="GH6" s="2">
        <f t="shared" si="5"/>
        <v>104627.98549985886</v>
      </c>
      <c r="GI6" s="2">
        <f t="shared" si="5"/>
        <v>103502.98549985886</v>
      </c>
      <c r="GJ6" s="2">
        <f t="shared" si="5"/>
        <v>108058.98549985886</v>
      </c>
      <c r="GK6" s="153">
        <f t="shared" si="5"/>
        <v>193077.98549985886</v>
      </c>
      <c r="GL6" s="2">
        <f t="shared" si="5"/>
        <v>310255.98549985886</v>
      </c>
      <c r="GM6" s="2">
        <f t="shared" si="5"/>
        <v>185404.98549985886</v>
      </c>
      <c r="GN6" s="2">
        <f t="shared" si="5"/>
        <v>135694.98549985886</v>
      </c>
      <c r="GO6" s="2">
        <f t="shared" si="5"/>
        <v>661362.98549985886</v>
      </c>
      <c r="GP6" s="2">
        <f t="shared" si="5"/>
        <v>336714.07549985964</v>
      </c>
      <c r="GQ6" s="2">
        <f t="shared" ref="GQ6:HT6" si="6">GP54</f>
        <v>142751.98549985699</v>
      </c>
      <c r="GR6" s="2">
        <f t="shared" si="6"/>
        <v>114664.98549985699</v>
      </c>
      <c r="GS6" s="2">
        <f>+GR54</f>
        <v>134470.98549985653</v>
      </c>
      <c r="GT6" s="221">
        <f t="shared" si="6"/>
        <v>129005.98549985653</v>
      </c>
      <c r="GU6" s="2">
        <f t="shared" si="6"/>
        <v>118402.98549985886</v>
      </c>
      <c r="GV6" s="2">
        <f t="shared" si="6"/>
        <v>167388.98549985886</v>
      </c>
      <c r="GW6" s="2">
        <f t="shared" si="6"/>
        <v>300978.98549985886</v>
      </c>
      <c r="GX6" s="2">
        <f t="shared" si="6"/>
        <v>176518.88549985876</v>
      </c>
      <c r="GY6" s="2">
        <f t="shared" si="6"/>
        <v>379585.88549985876</v>
      </c>
      <c r="GZ6" s="2">
        <f t="shared" si="6"/>
        <v>151320.88549985876</v>
      </c>
      <c r="HA6" s="2">
        <f t="shared" si="6"/>
        <v>195936.88549985737</v>
      </c>
      <c r="HB6" s="2">
        <f t="shared" si="6"/>
        <v>152333.88549985713</v>
      </c>
      <c r="HC6" s="2">
        <f t="shared" si="6"/>
        <v>103133.88549985737</v>
      </c>
      <c r="HD6" s="153">
        <f t="shared" si="6"/>
        <v>100003.88549985737</v>
      </c>
      <c r="HE6" s="2">
        <f t="shared" si="6"/>
        <v>100014.88549985643</v>
      </c>
      <c r="HF6" s="2">
        <f t="shared" si="6"/>
        <v>103283.88549985643</v>
      </c>
      <c r="HG6" s="2">
        <f t="shared" si="6"/>
        <v>125021.88549985643</v>
      </c>
      <c r="HH6" s="2">
        <f t="shared" si="6"/>
        <v>187856.8854998569</v>
      </c>
      <c r="HI6" s="2">
        <f t="shared" si="6"/>
        <v>188205.88549985737</v>
      </c>
      <c r="HJ6" s="2">
        <f t="shared" si="6"/>
        <v>199790.8854998583</v>
      </c>
      <c r="HK6" s="2">
        <f t="shared" si="6"/>
        <v>111813.88549985783</v>
      </c>
      <c r="HL6" s="2">
        <f t="shared" si="6"/>
        <v>118334.88549985737</v>
      </c>
      <c r="HM6" s="2">
        <f t="shared" si="6"/>
        <v>119605.88749985723</v>
      </c>
      <c r="HN6" s="2">
        <f t="shared" si="6"/>
        <v>643787.88749985723</v>
      </c>
      <c r="HO6" s="221">
        <f t="shared" si="6"/>
        <v>136663.88749985769</v>
      </c>
      <c r="HP6" s="2">
        <f t="shared" si="6"/>
        <v>121964.88749985397</v>
      </c>
      <c r="HQ6" s="2">
        <f t="shared" si="6"/>
        <v>109522.88749985397</v>
      </c>
      <c r="HR6" s="2">
        <f t="shared" si="6"/>
        <v>168929.88749985397</v>
      </c>
      <c r="HS6" s="2">
        <f t="shared" si="6"/>
        <v>130268.88749985397</v>
      </c>
      <c r="HT6" s="2">
        <f t="shared" si="6"/>
        <v>176959.88749985769</v>
      </c>
      <c r="HU6" s="2">
        <f t="shared" ref="HU6:IT6" si="7">HT54</f>
        <v>116647.88749986142</v>
      </c>
      <c r="HV6" s="2">
        <f t="shared" si="7"/>
        <v>107065.88749986142</v>
      </c>
      <c r="HW6" s="2">
        <f t="shared" si="7"/>
        <v>100318.88749986142</v>
      </c>
      <c r="HX6" s="2">
        <f t="shared" si="7"/>
        <v>99999.887499861652</v>
      </c>
      <c r="HY6" s="2">
        <f t="shared" si="7"/>
        <v>99999.887499861419</v>
      </c>
      <c r="HZ6" s="153">
        <f t="shared" si="7"/>
        <v>100019.88749986142</v>
      </c>
      <c r="IA6" s="2">
        <f t="shared" si="7"/>
        <v>99999.887499861419</v>
      </c>
      <c r="IB6" s="2">
        <f t="shared" si="7"/>
        <v>99999.887499860488</v>
      </c>
      <c r="IC6" s="2">
        <f t="shared" si="7"/>
        <v>99999.88749986887</v>
      </c>
      <c r="ID6" s="2">
        <f t="shared" si="7"/>
        <v>535593.94749987125</v>
      </c>
      <c r="IE6" s="2">
        <f t="shared" si="7"/>
        <v>373543.94749987125</v>
      </c>
      <c r="IF6" s="2">
        <f t="shared" si="7"/>
        <v>173783.04749987088</v>
      </c>
      <c r="IG6" s="2">
        <f t="shared" si="7"/>
        <v>110719.04749987088</v>
      </c>
      <c r="IH6" s="2">
        <f t="shared" si="7"/>
        <v>137500.04749986995</v>
      </c>
      <c r="II6" s="2">
        <f t="shared" si="7"/>
        <v>122890.04749987274</v>
      </c>
      <c r="IJ6" s="221">
        <f t="shared" si="7"/>
        <v>255428.04749987274</v>
      </c>
      <c r="IK6" s="2">
        <f t="shared" si="7"/>
        <v>239144.04749987274</v>
      </c>
      <c r="IL6" s="2">
        <f t="shared" si="7"/>
        <v>115242.04749987274</v>
      </c>
      <c r="IM6" s="2">
        <f t="shared" si="7"/>
        <v>152325.04749987274</v>
      </c>
      <c r="IN6" s="2">
        <f t="shared" si="7"/>
        <v>121021.04749986529</v>
      </c>
      <c r="IO6" s="2">
        <f t="shared" si="7"/>
        <v>105405.04749986157</v>
      </c>
      <c r="IP6" s="2">
        <f t="shared" si="7"/>
        <v>161567.04749986157</v>
      </c>
      <c r="IQ6" s="2">
        <f t="shared" si="7"/>
        <v>199640.04749986157</v>
      </c>
      <c r="IR6" s="2">
        <f>IQ54</f>
        <v>128551.04749986157</v>
      </c>
      <c r="IS6" s="2">
        <f>IR54</f>
        <v>103900.04749986529</v>
      </c>
      <c r="IT6" s="153">
        <f t="shared" si="7"/>
        <v>101728.04749986157</v>
      </c>
      <c r="IU6" s="2"/>
    </row>
    <row r="7" spans="1:255" ht="24" customHeight="1">
      <c r="A7" s="24" t="s">
        <v>3</v>
      </c>
      <c r="B7" s="25"/>
      <c r="C7" s="154"/>
      <c r="D7" s="26"/>
      <c r="E7" s="26"/>
      <c r="F7" s="26"/>
      <c r="G7" s="26"/>
      <c r="H7" s="26"/>
      <c r="I7" s="26"/>
      <c r="J7" s="26"/>
      <c r="K7" s="26"/>
      <c r="L7" s="26"/>
      <c r="M7" s="234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34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34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34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34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34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34"/>
      <c r="EK7" s="341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34"/>
      <c r="FF7" s="26"/>
      <c r="FG7" s="26"/>
      <c r="FH7" s="26"/>
      <c r="FI7" s="26"/>
      <c r="FJ7" s="342"/>
      <c r="FK7" s="26"/>
      <c r="FL7" s="192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22"/>
      <c r="GA7" s="26"/>
      <c r="GB7" s="26"/>
      <c r="GC7" s="26"/>
      <c r="GD7" s="26"/>
      <c r="GE7" s="26"/>
      <c r="GF7" s="26"/>
      <c r="GG7" s="26"/>
      <c r="GH7" s="26"/>
      <c r="GI7" s="26"/>
      <c r="GJ7" s="26" t="s">
        <v>173</v>
      </c>
      <c r="GK7" s="26"/>
      <c r="GL7" s="26"/>
      <c r="GM7" s="26"/>
      <c r="GN7" s="26"/>
      <c r="GO7" s="26"/>
      <c r="GP7" s="26"/>
      <c r="GQ7" s="26"/>
      <c r="GR7" s="26"/>
      <c r="GS7" s="26"/>
      <c r="GT7" s="23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192"/>
      <c r="HN7" s="26"/>
      <c r="HO7" s="234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192"/>
      <c r="IG7" s="26"/>
      <c r="IH7" s="26"/>
      <c r="II7" s="26"/>
      <c r="IJ7" s="234"/>
      <c r="IK7" s="26"/>
      <c r="IL7" s="26"/>
      <c r="IM7" s="26"/>
      <c r="IN7" s="26"/>
      <c r="IO7" s="26"/>
      <c r="IP7" s="26"/>
      <c r="IQ7" s="26"/>
      <c r="IR7" s="26"/>
      <c r="IS7" s="26"/>
      <c r="IT7" s="199"/>
      <c r="IU7" s="26"/>
    </row>
    <row r="8" spans="1:255" ht="14.1" customHeight="1">
      <c r="A8" s="58" t="s">
        <v>5</v>
      </c>
      <c r="B8" s="58"/>
      <c r="C8" s="155">
        <v>5797.78</v>
      </c>
      <c r="D8" s="4">
        <v>26278.7</v>
      </c>
      <c r="E8" s="4">
        <v>4795.6899999999996</v>
      </c>
      <c r="F8" s="4">
        <v>38382.769999999997</v>
      </c>
      <c r="G8" s="4">
        <f>3803.88+12988.41</f>
        <v>16792.29</v>
      </c>
      <c r="H8" s="4">
        <v>16407.46</v>
      </c>
      <c r="I8" s="4">
        <v>131249.67000000001</v>
      </c>
      <c r="J8" s="4">
        <v>1843.84</v>
      </c>
      <c r="K8" s="4">
        <v>18400</v>
      </c>
      <c r="L8" s="4">
        <v>2687.96</v>
      </c>
      <c r="M8" s="189">
        <f>51108.02+314</f>
        <v>51422.02</v>
      </c>
      <c r="N8" s="4">
        <v>27778.83</v>
      </c>
      <c r="O8" s="4">
        <v>61573.42</v>
      </c>
      <c r="P8" s="4">
        <v>3321.2</v>
      </c>
      <c r="Q8" s="4">
        <v>7387.22</v>
      </c>
      <c r="R8" s="4">
        <v>8431.2999999999993</v>
      </c>
      <c r="S8" s="4">
        <v>17004.12</v>
      </c>
      <c r="T8" s="4"/>
      <c r="U8" s="4">
        <f>1086.69+7350.93</f>
        <v>8437.6200000000008</v>
      </c>
      <c r="V8" s="4">
        <v>19936.43</v>
      </c>
      <c r="W8" s="4">
        <v>54609.71</v>
      </c>
      <c r="X8" s="4">
        <v>21472.39</v>
      </c>
      <c r="Y8" s="4">
        <v>7338.94</v>
      </c>
      <c r="Z8" s="4">
        <v>24967.43</v>
      </c>
      <c r="AA8" s="4">
        <v>92051.78</v>
      </c>
      <c r="AB8" s="4">
        <v>40330.730000000003</v>
      </c>
      <c r="AC8" s="4">
        <v>77208.58</v>
      </c>
      <c r="AD8" s="4">
        <v>9946.2000000000007</v>
      </c>
      <c r="AE8" s="4">
        <v>7973.08</v>
      </c>
      <c r="AF8" s="189">
        <v>118876.6</v>
      </c>
      <c r="AG8" s="4">
        <v>5694.47</v>
      </c>
      <c r="AH8" s="4">
        <v>883425.69</v>
      </c>
      <c r="AI8" s="4"/>
      <c r="AJ8" s="4"/>
      <c r="AK8" s="4"/>
      <c r="AL8" s="4"/>
      <c r="AM8" s="4">
        <v>8701.19</v>
      </c>
      <c r="AN8" s="4">
        <v>12489.58</v>
      </c>
      <c r="AO8" s="4">
        <v>4486.63</v>
      </c>
      <c r="AP8" s="4">
        <v>16757.810000000001</v>
      </c>
      <c r="AQ8" s="4">
        <v>12646.86</v>
      </c>
      <c r="AR8" s="4">
        <v>265671.01</v>
      </c>
      <c r="AS8" s="4">
        <v>56030.15</v>
      </c>
      <c r="AT8" s="4">
        <v>84185.08</v>
      </c>
      <c r="AU8" s="4">
        <v>34353.019999999997</v>
      </c>
      <c r="AV8" s="4">
        <v>8046.12</v>
      </c>
      <c r="AW8" s="4"/>
      <c r="AX8" s="4">
        <v>111335.97</v>
      </c>
      <c r="AY8" s="4">
        <v>20468.97</v>
      </c>
      <c r="AZ8" s="4">
        <v>61453.56</v>
      </c>
      <c r="BA8" s="4">
        <v>9132.27</v>
      </c>
      <c r="BB8" s="4">
        <v>26219.99</v>
      </c>
      <c r="BC8" s="189">
        <v>9590.18</v>
      </c>
      <c r="BD8" s="4">
        <v>12159.23</v>
      </c>
      <c r="BE8" s="4">
        <v>15334.11</v>
      </c>
      <c r="BF8" s="4">
        <v>58121.36</v>
      </c>
      <c r="BG8" s="4">
        <v>7980.2</v>
      </c>
      <c r="BH8" s="4">
        <v>10710.23</v>
      </c>
      <c r="BI8" s="4">
        <v>2137.5</v>
      </c>
      <c r="BJ8" s="4">
        <v>30727.13</v>
      </c>
      <c r="BK8" s="4">
        <v>6973.27</v>
      </c>
      <c r="BL8" s="4">
        <v>7383</v>
      </c>
      <c r="BM8" s="4"/>
      <c r="BN8" s="4">
        <f>14756.39+23988.33</f>
        <v>38744.720000000001</v>
      </c>
      <c r="BO8" s="4">
        <v>64490.63</v>
      </c>
      <c r="BP8" s="4">
        <v>12533.01</v>
      </c>
      <c r="BQ8" s="4">
        <v>40338.730000000003</v>
      </c>
      <c r="BR8" s="4">
        <v>20430.689999999999</v>
      </c>
      <c r="BS8" s="4">
        <v>135967.92000000001</v>
      </c>
      <c r="BT8" s="4">
        <v>6018.37</v>
      </c>
      <c r="BU8" s="4">
        <v>127231.97</v>
      </c>
      <c r="BV8" s="4">
        <v>10257.129999999999</v>
      </c>
      <c r="BW8" s="4">
        <v>14084.76</v>
      </c>
      <c r="BX8" s="4">
        <v>59.12</v>
      </c>
      <c r="BY8" s="189">
        <v>2596.4</v>
      </c>
      <c r="BZ8" s="4">
        <v>59385.8</v>
      </c>
      <c r="CA8" s="4">
        <v>35951.370000000003</v>
      </c>
      <c r="CB8" s="4">
        <v>15152.67</v>
      </c>
      <c r="CC8" s="4">
        <v>2046.59</v>
      </c>
      <c r="CD8" s="4">
        <v>2900.93</v>
      </c>
      <c r="CE8" s="4">
        <v>10915.46</v>
      </c>
      <c r="CF8" s="4">
        <v>9405.84</v>
      </c>
      <c r="CG8" s="4">
        <v>44104.35</v>
      </c>
      <c r="CH8" s="4">
        <v>25021.15</v>
      </c>
      <c r="CI8" s="4">
        <v>26095.21</v>
      </c>
      <c r="CJ8" s="4">
        <v>34869.57</v>
      </c>
      <c r="CK8" s="4">
        <f>13898.02+17.4</f>
        <v>13915.42</v>
      </c>
      <c r="CL8" s="4">
        <v>12896.22</v>
      </c>
      <c r="CM8" s="4">
        <v>10117.120000000001</v>
      </c>
      <c r="CN8" s="4"/>
      <c r="CO8" s="4">
        <v>24053.39</v>
      </c>
      <c r="CP8" s="4">
        <v>98017.47</v>
      </c>
      <c r="CQ8" s="4"/>
      <c r="CR8" s="4">
        <f>12062.01+32964.34</f>
        <v>45026.35</v>
      </c>
      <c r="CS8" s="189">
        <v>0</v>
      </c>
      <c r="CT8" s="4">
        <v>107023.86</v>
      </c>
      <c r="CU8" s="4">
        <v>168796.18</v>
      </c>
      <c r="CV8" s="4">
        <v>173558.18</v>
      </c>
      <c r="CW8" s="4">
        <v>25175.54</v>
      </c>
      <c r="CX8" s="4">
        <v>0</v>
      </c>
      <c r="CY8" s="4">
        <v>368202.43</v>
      </c>
      <c r="CZ8" s="4">
        <v>97356.58</v>
      </c>
      <c r="DA8" s="4">
        <v>139878.35999999999</v>
      </c>
      <c r="DB8" s="4">
        <v>61715.94</v>
      </c>
      <c r="DC8" s="4">
        <v>0</v>
      </c>
      <c r="DD8" s="4">
        <v>25595.45</v>
      </c>
      <c r="DE8" s="4">
        <v>0</v>
      </c>
      <c r="DF8" s="4">
        <v>0</v>
      </c>
      <c r="DG8" s="4"/>
      <c r="DH8" s="4"/>
      <c r="DI8" s="4"/>
      <c r="DJ8" s="4"/>
      <c r="DK8" s="4"/>
      <c r="DL8" s="4"/>
      <c r="DM8" s="4"/>
      <c r="DN8" s="189">
        <f>5377203+250000+9228.13+2299.75</f>
        <v>5638730.8799999999</v>
      </c>
      <c r="DO8" s="4">
        <v>326832.87</v>
      </c>
      <c r="DP8" s="4">
        <v>79194.41</v>
      </c>
      <c r="DQ8" s="4">
        <v>0</v>
      </c>
      <c r="DR8" s="4">
        <v>21819.57</v>
      </c>
      <c r="DS8" s="4">
        <v>36944.86</v>
      </c>
      <c r="DT8" s="4">
        <v>3788.41</v>
      </c>
      <c r="DU8" s="4">
        <v>17969.79</v>
      </c>
      <c r="DV8" s="4">
        <v>0</v>
      </c>
      <c r="DW8" s="4">
        <v>227752.22</v>
      </c>
      <c r="DX8" s="4">
        <v>376862.58</v>
      </c>
      <c r="DY8" s="4">
        <v>0</v>
      </c>
      <c r="DZ8" s="4">
        <v>0</v>
      </c>
      <c r="EA8" s="4">
        <v>0</v>
      </c>
      <c r="EB8" s="4">
        <v>98960.2</v>
      </c>
      <c r="EC8" s="4">
        <v>61043.9</v>
      </c>
      <c r="ED8" s="4">
        <v>17785.21</v>
      </c>
      <c r="EE8" s="4">
        <v>46230.09</v>
      </c>
      <c r="EF8" s="4">
        <v>0</v>
      </c>
      <c r="EG8" s="4">
        <v>30808.21</v>
      </c>
      <c r="EH8" s="4">
        <v>0</v>
      </c>
      <c r="EI8" s="380">
        <f>37943.74+450</f>
        <v>38393.74</v>
      </c>
      <c r="EJ8" s="189">
        <v>249430.96</v>
      </c>
      <c r="EK8" s="332">
        <v>0</v>
      </c>
      <c r="EL8" s="4">
        <v>101.79</v>
      </c>
      <c r="EM8" s="4">
        <v>5241.1899999999996</v>
      </c>
      <c r="EN8" s="4">
        <v>341</v>
      </c>
      <c r="EO8" s="4">
        <v>63921.88</v>
      </c>
      <c r="EP8" s="4">
        <v>0</v>
      </c>
      <c r="EQ8" s="4">
        <f>3422.55+23848.38</f>
        <v>27270.93</v>
      </c>
      <c r="ER8" s="4">
        <v>32217.85</v>
      </c>
      <c r="ES8" s="4">
        <v>20517.78</v>
      </c>
      <c r="ET8" s="4">
        <v>52264.87</v>
      </c>
      <c r="EU8" s="4">
        <v>0</v>
      </c>
      <c r="EV8" s="4">
        <v>68924.34</v>
      </c>
      <c r="EW8" s="4">
        <v>11487.96</v>
      </c>
      <c r="EX8" s="4">
        <v>26250.19</v>
      </c>
      <c r="EY8" s="4">
        <v>62232.63</v>
      </c>
      <c r="EZ8" s="4">
        <v>360573.99</v>
      </c>
      <c r="FA8" s="4">
        <v>30422.35</v>
      </c>
      <c r="FB8" s="4">
        <v>0</v>
      </c>
      <c r="FC8" s="4">
        <v>89438.43</v>
      </c>
      <c r="FD8" s="4">
        <v>35952.720000000001</v>
      </c>
      <c r="FE8" s="189">
        <v>19084.54</v>
      </c>
      <c r="FF8" s="4">
        <v>563.89</v>
      </c>
      <c r="FG8" s="4">
        <v>31893.88</v>
      </c>
      <c r="FH8" s="4">
        <v>6901.61</v>
      </c>
      <c r="FI8" s="4">
        <v>415.98</v>
      </c>
      <c r="FJ8" s="79">
        <v>0</v>
      </c>
      <c r="FK8" s="4">
        <v>26271.7</v>
      </c>
      <c r="FL8" s="4">
        <v>8985.9</v>
      </c>
      <c r="FM8" s="4">
        <v>858.49</v>
      </c>
      <c r="FN8" s="4">
        <v>12766.53</v>
      </c>
      <c r="FO8" s="4">
        <v>36852.769999999997</v>
      </c>
      <c r="FP8" s="4">
        <v>31907.15</v>
      </c>
      <c r="FQ8" s="4">
        <v>4216</v>
      </c>
      <c r="FR8" s="4">
        <v>19049.919999999998</v>
      </c>
      <c r="FS8" s="4">
        <v>0</v>
      </c>
      <c r="FT8" s="4">
        <v>268857.86</v>
      </c>
      <c r="FU8" s="4">
        <v>7923.81</v>
      </c>
      <c r="FV8" s="4">
        <v>13132.15</v>
      </c>
      <c r="FW8" s="4">
        <v>0</v>
      </c>
      <c r="FX8" s="4">
        <v>10682.17</v>
      </c>
      <c r="FY8" s="4">
        <v>15284.02</v>
      </c>
      <c r="FZ8" s="189">
        <v>145551.70000000001</v>
      </c>
      <c r="GA8" s="4">
        <v>30476.63</v>
      </c>
      <c r="GB8" s="4">
        <v>6487.49</v>
      </c>
      <c r="GC8" s="4">
        <v>42016.17</v>
      </c>
      <c r="GD8" s="4">
        <v>869</v>
      </c>
      <c r="GE8" s="4">
        <v>34192.78</v>
      </c>
      <c r="GF8" s="4">
        <v>2471.13</v>
      </c>
      <c r="GG8" s="4">
        <v>6279.43</v>
      </c>
      <c r="GH8" s="4">
        <v>2562.1999999999998</v>
      </c>
      <c r="GI8" s="4">
        <v>12779.07</v>
      </c>
      <c r="GJ8" s="4">
        <v>93177.38</v>
      </c>
      <c r="GK8" s="4">
        <v>129437.5</v>
      </c>
      <c r="GL8" s="4">
        <v>247364.64</v>
      </c>
      <c r="GM8" s="4">
        <v>28663.77</v>
      </c>
      <c r="GN8" s="4">
        <v>558157.57999999996</v>
      </c>
      <c r="GO8" s="4">
        <v>51410.03</v>
      </c>
      <c r="GP8" s="4">
        <v>4728.79</v>
      </c>
      <c r="GQ8" s="4">
        <v>334160.78999999998</v>
      </c>
      <c r="GR8" s="4">
        <v>21791.22</v>
      </c>
      <c r="GS8" s="4">
        <v>24840.75</v>
      </c>
      <c r="GT8" s="189">
        <v>15342.11</v>
      </c>
      <c r="GU8" s="4">
        <v>74091.210000000006</v>
      </c>
      <c r="GV8" s="4">
        <v>153011.5</v>
      </c>
      <c r="GW8" s="4">
        <v>20411.52</v>
      </c>
      <c r="GX8" s="4">
        <v>271500.09000000003</v>
      </c>
      <c r="GY8" s="4">
        <v>36122.35</v>
      </c>
      <c r="GZ8" s="4">
        <v>83792.800000000003</v>
      </c>
      <c r="HA8" s="4">
        <v>0</v>
      </c>
      <c r="HB8" s="4">
        <v>0</v>
      </c>
      <c r="HC8" s="4">
        <v>0</v>
      </c>
      <c r="HD8" s="4">
        <v>0</v>
      </c>
      <c r="HE8" s="4">
        <v>12059.86</v>
      </c>
      <c r="HF8" s="4">
        <f>26893.59+516008</f>
        <v>542901.59</v>
      </c>
      <c r="HG8" s="4">
        <v>74365.789999999994</v>
      </c>
      <c r="HH8" s="4">
        <v>48142.76</v>
      </c>
      <c r="HI8" s="4">
        <v>58957.64</v>
      </c>
      <c r="HJ8" s="4">
        <v>0</v>
      </c>
      <c r="HK8" s="4">
        <v>17571.939999999999</v>
      </c>
      <c r="HL8" s="4">
        <v>11829.44</v>
      </c>
      <c r="HM8" s="4">
        <v>540342.43000000005</v>
      </c>
      <c r="HN8" s="4">
        <v>3202.33</v>
      </c>
      <c r="HO8" s="189">
        <v>21309.4</v>
      </c>
      <c r="HP8" s="4">
        <v>5943.11</v>
      </c>
      <c r="HQ8" s="4">
        <v>70873.490000000005</v>
      </c>
      <c r="HR8" s="4">
        <v>35936.879999999997</v>
      </c>
      <c r="HS8" s="4">
        <v>71163.17</v>
      </c>
      <c r="HT8" s="4">
        <v>15080.46</v>
      </c>
      <c r="HU8" s="4">
        <v>0</v>
      </c>
      <c r="HV8" s="4">
        <v>0</v>
      </c>
      <c r="HW8" s="4">
        <v>0</v>
      </c>
      <c r="HX8" s="4">
        <v>0</v>
      </c>
      <c r="HY8" s="4">
        <v>0</v>
      </c>
      <c r="HZ8" s="4">
        <v>0</v>
      </c>
      <c r="IA8" s="4">
        <v>0</v>
      </c>
      <c r="IB8" s="4">
        <v>0</v>
      </c>
      <c r="IC8" s="4">
        <v>439359.45</v>
      </c>
      <c r="ID8" s="4">
        <v>165231.53</v>
      </c>
      <c r="IE8" s="4">
        <v>5181.34</v>
      </c>
      <c r="IF8" s="4">
        <v>6857.04</v>
      </c>
      <c r="IG8" s="4">
        <v>28741.87</v>
      </c>
      <c r="IH8" s="4">
        <v>19099.7</v>
      </c>
      <c r="II8" s="4">
        <v>136509.76000000001</v>
      </c>
      <c r="IJ8" s="189">
        <v>6092.7</v>
      </c>
      <c r="IK8" s="4">
        <v>0</v>
      </c>
      <c r="IL8" s="4">
        <v>54963.58</v>
      </c>
      <c r="IM8" s="4">
        <v>20008.63</v>
      </c>
      <c r="IN8" s="4">
        <v>17544.28</v>
      </c>
      <c r="IO8" s="4">
        <v>61122.94</v>
      </c>
      <c r="IP8" s="4">
        <v>60077.03</v>
      </c>
      <c r="IQ8" s="4">
        <v>2655.12</v>
      </c>
      <c r="IR8" s="4">
        <v>0</v>
      </c>
      <c r="IS8" s="4">
        <v>0</v>
      </c>
      <c r="IT8" s="4"/>
      <c r="IU8" s="4">
        <f t="shared" ref="IU8:IU16" si="8">SUM(C8:IT8)</f>
        <v>18475020.279999997</v>
      </c>
    </row>
    <row r="9" spans="1:255" ht="14.1" customHeight="1">
      <c r="A9" s="58" t="s">
        <v>6</v>
      </c>
      <c r="B9" s="58"/>
      <c r="C9" s="155"/>
      <c r="D9" s="4"/>
      <c r="E9" s="4"/>
      <c r="F9" s="4"/>
      <c r="G9" s="4"/>
      <c r="H9" s="4">
        <v>155967.54999999999</v>
      </c>
      <c r="I9" s="4"/>
      <c r="J9" s="4">
        <v>5703.96</v>
      </c>
      <c r="K9" s="4"/>
      <c r="L9" s="4"/>
      <c r="M9" s="189"/>
      <c r="N9" s="4"/>
      <c r="O9" s="4"/>
      <c r="P9" s="4"/>
      <c r="Q9" s="4"/>
      <c r="R9" s="4"/>
      <c r="S9" s="4"/>
      <c r="T9" s="4"/>
      <c r="U9" s="4"/>
      <c r="V9" s="4">
        <v>723</v>
      </c>
      <c r="W9" s="4"/>
      <c r="X9" s="4"/>
      <c r="Y9" s="4"/>
      <c r="Z9" s="4"/>
      <c r="AA9" s="4"/>
      <c r="AB9" s="4"/>
      <c r="AC9" s="4">
        <v>5703.96</v>
      </c>
      <c r="AD9" s="4">
        <v>167861.24</v>
      </c>
      <c r="AE9" s="4"/>
      <c r="AF9" s="189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>
        <v>163249.17000000001</v>
      </c>
      <c r="AZ9" s="4">
        <v>5703.96</v>
      </c>
      <c r="BA9" s="4"/>
      <c r="BB9" s="4"/>
      <c r="BC9" s="189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>
        <v>166497.84</v>
      </c>
      <c r="BV9" s="4"/>
      <c r="BW9" s="4"/>
      <c r="BX9" s="4"/>
      <c r="BY9" s="189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>
        <f>151623.98+5703.96</f>
        <v>157327.94</v>
      </c>
      <c r="CP9" s="4"/>
      <c r="CQ9" s="4"/>
      <c r="CR9" s="4"/>
      <c r="CS9" s="189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>
        <v>26112.13</v>
      </c>
      <c r="DI9" s="4"/>
      <c r="DJ9" s="4"/>
      <c r="DK9" s="4">
        <f>83472.41+5703.96</f>
        <v>89176.37000000001</v>
      </c>
      <c r="DL9" s="4"/>
      <c r="DM9" s="4"/>
      <c r="DN9" s="189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>
        <v>5595.16</v>
      </c>
      <c r="EF9" s="4">
        <v>5703.96</v>
      </c>
      <c r="EG9" s="4"/>
      <c r="EH9" s="4"/>
      <c r="EI9" s="4"/>
      <c r="EJ9" s="189"/>
      <c r="EK9" s="332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>
        <v>5703.96</v>
      </c>
      <c r="FD9" s="4"/>
      <c r="FE9" s="189">
        <v>76967.289999999994</v>
      </c>
      <c r="FF9" s="4"/>
      <c r="FG9" s="4"/>
      <c r="FH9" s="4"/>
      <c r="FI9" s="4"/>
      <c r="FJ9" s="79"/>
      <c r="FK9" s="4"/>
      <c r="FL9" s="4">
        <v>320</v>
      </c>
      <c r="FM9" s="4"/>
      <c r="FN9" s="4"/>
      <c r="FO9" s="4">
        <v>429</v>
      </c>
      <c r="FP9" s="4"/>
      <c r="FQ9" s="4"/>
      <c r="FR9" s="4"/>
      <c r="FS9" s="4">
        <v>4553.76</v>
      </c>
      <c r="FT9" s="4"/>
      <c r="FU9" s="4">
        <v>19799.669999999998</v>
      </c>
      <c r="FV9" s="4">
        <v>157695</v>
      </c>
      <c r="FW9" s="4">
        <v>5703.96</v>
      </c>
      <c r="FX9" s="4"/>
      <c r="FY9" s="4"/>
      <c r="FZ9" s="189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>
        <v>158565.59</v>
      </c>
      <c r="GS9" s="4"/>
      <c r="GT9" s="189"/>
      <c r="GU9" s="4"/>
      <c r="GV9" s="4"/>
      <c r="GW9" s="4"/>
      <c r="GX9" s="4">
        <v>5703.96</v>
      </c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>
        <v>167634.88</v>
      </c>
      <c r="HK9" s="4"/>
      <c r="HL9" s="4">
        <v>5703.96</v>
      </c>
      <c r="HM9" s="4"/>
      <c r="HN9" s="4"/>
      <c r="HO9" s="189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>
        <v>168721.15</v>
      </c>
      <c r="IG9" s="4"/>
      <c r="IH9" s="4"/>
      <c r="II9" s="4">
        <v>5703.96</v>
      </c>
      <c r="IJ9" s="189"/>
      <c r="IK9" s="4"/>
      <c r="IL9" s="4"/>
      <c r="IM9" s="4"/>
      <c r="IN9" s="4"/>
      <c r="IO9" s="4"/>
      <c r="IP9" s="4"/>
      <c r="IQ9" s="4"/>
      <c r="IR9" s="4"/>
      <c r="IS9" s="4"/>
      <c r="IT9" s="200"/>
      <c r="IU9" s="4">
        <f t="shared" si="8"/>
        <v>1738532.38</v>
      </c>
    </row>
    <row r="10" spans="1:255" ht="14.1" customHeight="1" thickBot="1">
      <c r="A10" s="58" t="s">
        <v>28</v>
      </c>
      <c r="B10" s="210"/>
      <c r="C10" s="155"/>
      <c r="D10" s="4"/>
      <c r="E10" s="4"/>
      <c r="F10" s="4"/>
      <c r="G10" s="4">
        <f>82282.69+3034.8</f>
        <v>85317.49</v>
      </c>
      <c r="H10" s="4"/>
      <c r="I10" s="4"/>
      <c r="J10" s="4"/>
      <c r="K10" s="4"/>
      <c r="L10" s="4">
        <v>6871.44</v>
      </c>
      <c r="M10" s="189"/>
      <c r="N10" s="4"/>
      <c r="O10" s="4"/>
      <c r="P10" s="4">
        <v>42208.12</v>
      </c>
      <c r="Q10" s="4"/>
      <c r="R10" s="4"/>
      <c r="S10" s="4"/>
      <c r="T10" s="4"/>
      <c r="U10" s="4">
        <v>1994.6</v>
      </c>
      <c r="V10" s="4"/>
      <c r="W10" s="4"/>
      <c r="X10" s="4"/>
      <c r="Y10" s="4"/>
      <c r="Z10" s="4">
        <v>74364.12</v>
      </c>
      <c r="AA10" s="4"/>
      <c r="AB10" s="4"/>
      <c r="AC10" s="4"/>
      <c r="AD10" s="4"/>
      <c r="AE10" s="4">
        <f>61658.61+1264.5</f>
        <v>62923.11</v>
      </c>
      <c r="AF10" s="189"/>
      <c r="AG10" s="4"/>
      <c r="AH10" s="4"/>
      <c r="AI10" s="4"/>
      <c r="AJ10" s="4">
        <v>320.10000000000002</v>
      </c>
      <c r="AK10" s="4"/>
      <c r="AL10" s="4"/>
      <c r="AM10" s="4"/>
      <c r="AN10" s="4"/>
      <c r="AO10" s="4">
        <v>81167.27</v>
      </c>
      <c r="AP10" s="4"/>
      <c r="AQ10" s="4"/>
      <c r="AR10" s="4"/>
      <c r="AS10" s="4"/>
      <c r="AT10" s="4">
        <v>127838.39</v>
      </c>
      <c r="AU10" s="4"/>
      <c r="AV10" s="4"/>
      <c r="AW10" s="4"/>
      <c r="AX10" s="4"/>
      <c r="AY10" s="4">
        <v>57189.97</v>
      </c>
      <c r="AZ10" s="4"/>
      <c r="BA10" s="4"/>
      <c r="BB10" s="4"/>
      <c r="BC10" s="189"/>
      <c r="BD10" s="4">
        <v>81841.48</v>
      </c>
      <c r="BE10" s="4"/>
      <c r="BF10" s="4"/>
      <c r="BG10" s="4"/>
      <c r="BH10" s="4"/>
      <c r="BI10" s="4">
        <v>32819.300000000003</v>
      </c>
      <c r="BJ10" s="4"/>
      <c r="BK10" s="4"/>
      <c r="BL10" s="4"/>
      <c r="BM10" s="4"/>
      <c r="BN10" s="4">
        <v>16982.5</v>
      </c>
      <c r="BO10" s="4"/>
      <c r="BP10" s="4"/>
      <c r="BQ10" s="4"/>
      <c r="BR10" s="4"/>
      <c r="BS10" s="4">
        <f>168312.97+700+210</f>
        <v>169222.97</v>
      </c>
      <c r="BT10" s="4"/>
      <c r="BU10" s="4"/>
      <c r="BV10" s="4"/>
      <c r="BW10" s="4"/>
      <c r="BX10" s="4">
        <f>39238.8+1028.08+210+140</f>
        <v>40616.880000000005</v>
      </c>
      <c r="BY10" s="189"/>
      <c r="BZ10" s="4"/>
      <c r="CA10" s="4"/>
      <c r="CB10" s="4"/>
      <c r="CC10" s="4">
        <f>77043.45+4485.92+280+210+210</f>
        <v>82229.37</v>
      </c>
      <c r="CD10" s="4"/>
      <c r="CE10" s="4"/>
      <c r="CF10" s="4"/>
      <c r="CG10" s="4"/>
      <c r="CH10" s="4">
        <f>146108.62+8191.68</f>
        <v>154300.29999999999</v>
      </c>
      <c r="CI10" s="4"/>
      <c r="CJ10" s="4"/>
      <c r="CK10" s="4"/>
      <c r="CL10" s="4">
        <f>22576.36+210+140+105.76</f>
        <v>23032.12</v>
      </c>
      <c r="CM10" s="4"/>
      <c r="CN10" s="4"/>
      <c r="CO10" s="4"/>
      <c r="CP10" s="4"/>
      <c r="CQ10" s="4">
        <f>124443.31+7414.78+420</f>
        <v>132278.09</v>
      </c>
      <c r="CR10" s="4"/>
      <c r="CS10" s="189"/>
      <c r="CT10" s="4"/>
      <c r="CU10" s="4"/>
      <c r="CV10" s="4">
        <f>162078.01+185.08</f>
        <v>162263.09</v>
      </c>
      <c r="CW10" s="4"/>
      <c r="CX10" s="4"/>
      <c r="CY10" s="4"/>
      <c r="CZ10" s="4"/>
      <c r="DA10" s="4">
        <v>107045.68</v>
      </c>
      <c r="DB10" s="4"/>
      <c r="DC10" s="4"/>
      <c r="DD10" s="4"/>
      <c r="DE10" s="4"/>
      <c r="DF10" s="4">
        <v>159993.69</v>
      </c>
      <c r="DG10" s="4"/>
      <c r="DH10" s="4"/>
      <c r="DI10" s="4"/>
      <c r="DJ10" s="4">
        <v>25456.93</v>
      </c>
      <c r="DK10" s="4"/>
      <c r="DL10" s="4"/>
      <c r="DM10" s="4"/>
      <c r="DN10" s="189"/>
      <c r="DO10" s="4">
        <v>2710.44</v>
      </c>
      <c r="DP10" s="4"/>
      <c r="DQ10" s="4"/>
      <c r="DR10" s="4"/>
      <c r="DS10" s="4"/>
      <c r="DT10" s="4">
        <v>4853.46</v>
      </c>
      <c r="DU10" s="4"/>
      <c r="DV10" s="4"/>
      <c r="DW10" s="4"/>
      <c r="DX10" s="4"/>
      <c r="DY10" s="4">
        <v>19869.95</v>
      </c>
      <c r="DZ10" s="4"/>
      <c r="EA10" s="4"/>
      <c r="EB10" s="4"/>
      <c r="EC10" s="4"/>
      <c r="ED10" s="4">
        <v>25383.39</v>
      </c>
      <c r="EE10" s="4"/>
      <c r="EF10" s="4"/>
      <c r="EG10" s="4"/>
      <c r="EH10" s="4"/>
      <c r="EI10" s="4">
        <v>17164.28</v>
      </c>
      <c r="EJ10" s="189"/>
      <c r="EK10" s="332"/>
      <c r="EL10" s="4"/>
      <c r="EM10" s="4"/>
      <c r="EN10" s="4">
        <v>1237.33</v>
      </c>
      <c r="EO10" s="4"/>
      <c r="EP10" s="4"/>
      <c r="EQ10" s="4"/>
      <c r="ER10" s="4"/>
      <c r="ES10" s="4">
        <v>285.98</v>
      </c>
      <c r="ET10" s="4"/>
      <c r="EU10" s="4"/>
      <c r="EV10" s="4"/>
      <c r="EW10" s="4"/>
      <c r="EX10" s="4">
        <v>11473.46</v>
      </c>
      <c r="EY10" s="4"/>
      <c r="EZ10" s="4"/>
      <c r="FA10" s="4"/>
      <c r="FB10" s="4"/>
      <c r="FC10" s="4">
        <v>1054.42</v>
      </c>
      <c r="FD10" s="4"/>
      <c r="FE10" s="189"/>
      <c r="FF10" s="4"/>
      <c r="FG10" s="4">
        <v>40.72</v>
      </c>
      <c r="FH10" s="4"/>
      <c r="FI10" s="4"/>
      <c r="FJ10" s="79"/>
      <c r="FK10" s="4"/>
      <c r="FL10" s="4">
        <v>9184.93</v>
      </c>
      <c r="FM10" s="4"/>
      <c r="FN10" s="4"/>
      <c r="FO10" s="4"/>
      <c r="FP10" s="4"/>
      <c r="FQ10" s="4">
        <v>630</v>
      </c>
      <c r="FR10" s="4"/>
      <c r="FS10" s="4"/>
      <c r="FT10" s="4"/>
      <c r="FU10" s="4"/>
      <c r="FV10" s="4">
        <v>10665.14</v>
      </c>
      <c r="FW10" s="4"/>
      <c r="FX10" s="4"/>
      <c r="FY10" s="4"/>
      <c r="FZ10" s="189">
        <v>3933405</v>
      </c>
      <c r="GA10" s="4"/>
      <c r="GB10" s="4"/>
      <c r="GC10" s="4"/>
      <c r="GD10" s="4"/>
      <c r="GE10" s="4">
        <v>15163.23</v>
      </c>
      <c r="GF10" s="4"/>
      <c r="GG10" s="5"/>
      <c r="GH10" s="4"/>
      <c r="GI10" s="4"/>
      <c r="GJ10" s="5">
        <v>72961.320000000007</v>
      </c>
      <c r="GK10" s="4"/>
      <c r="GL10" s="4"/>
      <c r="GM10" s="4"/>
      <c r="GN10" s="4"/>
      <c r="GO10" s="4">
        <v>141728.56</v>
      </c>
      <c r="GP10" s="4"/>
      <c r="GQ10" s="4"/>
      <c r="GR10" s="4"/>
      <c r="GS10" s="4"/>
      <c r="GT10" s="189">
        <v>46494.82</v>
      </c>
      <c r="GU10" s="4"/>
      <c r="GV10" s="4"/>
      <c r="GW10" s="4"/>
      <c r="GX10" s="4">
        <v>35072.160000000003</v>
      </c>
      <c r="GY10" s="4"/>
      <c r="GZ10" s="4"/>
      <c r="HA10" s="4"/>
      <c r="HB10" s="4"/>
      <c r="HC10" s="4">
        <f>21476.67+141.83</f>
        <v>21618.5</v>
      </c>
      <c r="HD10" s="4"/>
      <c r="HE10" s="4"/>
      <c r="HF10" s="4"/>
      <c r="HG10" s="4">
        <v>148411.35</v>
      </c>
      <c r="HH10" s="4"/>
      <c r="HI10" s="4"/>
      <c r="HJ10" s="4"/>
      <c r="HK10" s="4"/>
      <c r="HL10" s="4">
        <v>94941.95</v>
      </c>
      <c r="HM10" s="4"/>
      <c r="HN10" s="4"/>
      <c r="HO10" s="189"/>
      <c r="HP10" s="4"/>
      <c r="HQ10" s="4">
        <v>63201.96</v>
      </c>
      <c r="HR10" s="4"/>
      <c r="HS10" s="4"/>
      <c r="HT10" s="4"/>
      <c r="HU10" s="4"/>
      <c r="HV10" s="4">
        <v>57057.86</v>
      </c>
      <c r="HW10" s="4"/>
      <c r="HX10" s="4"/>
      <c r="HY10" s="4"/>
      <c r="HZ10" s="4">
        <f>20830.22+560</f>
        <v>21390.22</v>
      </c>
      <c r="IA10" s="4"/>
      <c r="IB10" s="4"/>
      <c r="IC10" s="4"/>
      <c r="ID10" s="4">
        <v>13630.67</v>
      </c>
      <c r="IE10" s="4"/>
      <c r="IF10" s="4"/>
      <c r="IG10" s="4"/>
      <c r="IH10" s="4"/>
      <c r="II10" s="4">
        <f>56034.54+420</f>
        <v>56454.54</v>
      </c>
      <c r="IJ10" s="189"/>
      <c r="IK10" s="4"/>
      <c r="IL10" s="4"/>
      <c r="IM10" s="4">
        <f>13119.3+1701.96</f>
        <v>14821.259999999998</v>
      </c>
      <c r="IN10" s="4"/>
      <c r="IO10" s="4"/>
      <c r="IP10" s="4"/>
      <c r="IQ10" s="4"/>
      <c r="IR10" s="4">
        <v>30102.83</v>
      </c>
      <c r="IS10" s="4"/>
      <c r="IT10" s="200"/>
      <c r="IU10" s="4">
        <f t="shared" si="8"/>
        <v>6599286.7400000002</v>
      </c>
    </row>
    <row r="11" spans="1:255" ht="14.1" customHeight="1" thickBot="1">
      <c r="A11" s="58" t="s">
        <v>7</v>
      </c>
      <c r="B11" s="58"/>
      <c r="C11" s="155"/>
      <c r="D11" s="4">
        <v>3.14</v>
      </c>
      <c r="E11" s="4"/>
      <c r="F11" s="4"/>
      <c r="G11" s="4"/>
      <c r="H11" s="4"/>
      <c r="I11" s="4"/>
      <c r="J11" s="4">
        <v>46.22</v>
      </c>
      <c r="K11" s="4">
        <f>43948.23+77</f>
        <v>44025.23</v>
      </c>
      <c r="L11" s="4">
        <f>1286+1363.36</f>
        <v>2649.3599999999997</v>
      </c>
      <c r="M11" s="189">
        <f>3796.65+1481.56+125+1185.61</f>
        <v>6588.82</v>
      </c>
      <c r="N11" s="4">
        <f>1663+1054</f>
        <v>2717</v>
      </c>
      <c r="O11" s="4"/>
      <c r="P11" s="4">
        <f>13248.06+321.08</f>
        <v>13569.14</v>
      </c>
      <c r="Q11" s="4"/>
      <c r="R11" s="4">
        <v>909.52</v>
      </c>
      <c r="S11" s="4"/>
      <c r="T11" s="4">
        <v>997</v>
      </c>
      <c r="U11" s="4"/>
      <c r="V11" s="4">
        <v>162.80000000000001</v>
      </c>
      <c r="W11" s="4">
        <f>1467.48+3.28</f>
        <v>1470.76</v>
      </c>
      <c r="X11" s="4"/>
      <c r="Y11" s="4"/>
      <c r="Z11" s="4"/>
      <c r="AA11" s="4"/>
      <c r="AB11" s="4"/>
      <c r="AC11" s="4"/>
      <c r="AD11" s="4"/>
      <c r="AE11" s="4"/>
      <c r="AF11" s="189">
        <f>3381.75+4536.92+25.01+892.22</f>
        <v>8835.9</v>
      </c>
      <c r="AG11" s="4">
        <v>1278.31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>
        <v>2.2200000000000002</v>
      </c>
      <c r="AT11" s="4"/>
      <c r="AU11" s="4"/>
      <c r="AV11" s="4"/>
      <c r="AW11" s="4"/>
      <c r="AX11" s="4"/>
      <c r="AY11" s="4"/>
      <c r="AZ11" s="4"/>
      <c r="BA11" s="4"/>
      <c r="BB11" s="4"/>
      <c r="BC11" s="189"/>
      <c r="BD11" s="4">
        <v>1228.0999999999999</v>
      </c>
      <c r="BE11" s="4">
        <v>4887.5</v>
      </c>
      <c r="BF11" s="4"/>
      <c r="BG11" s="4"/>
      <c r="BH11" s="4"/>
      <c r="BI11" s="4"/>
      <c r="BJ11" s="4"/>
      <c r="BK11" s="4"/>
      <c r="BL11" s="4"/>
      <c r="BM11" s="4"/>
      <c r="BN11" s="4"/>
      <c r="BO11" s="4">
        <v>2.2999999999999998</v>
      </c>
      <c r="BP11" s="4"/>
      <c r="BQ11" s="4"/>
      <c r="BR11" s="4"/>
      <c r="BS11" s="4"/>
      <c r="BT11" s="4"/>
      <c r="BU11" s="4">
        <f>8847.69+1955</f>
        <v>10802.69</v>
      </c>
      <c r="BV11" s="4"/>
      <c r="BW11" s="4"/>
      <c r="BX11" s="4">
        <v>1415.99</v>
      </c>
      <c r="BY11" s="189">
        <v>654.41</v>
      </c>
      <c r="BZ11" s="4"/>
      <c r="CA11" s="4"/>
      <c r="CB11" s="4"/>
      <c r="CC11" s="4"/>
      <c r="CD11" s="4"/>
      <c r="CE11" s="4"/>
      <c r="CF11" s="4"/>
      <c r="CG11" s="4"/>
      <c r="CH11" s="4"/>
      <c r="CI11" s="4">
        <v>4.2</v>
      </c>
      <c r="CJ11" s="4"/>
      <c r="CK11" s="4"/>
      <c r="CL11" s="4"/>
      <c r="CM11" s="4"/>
      <c r="CN11" s="4"/>
      <c r="CO11" s="4"/>
      <c r="CP11" s="4">
        <v>1512.08</v>
      </c>
      <c r="CQ11" s="4">
        <v>0</v>
      </c>
      <c r="CR11" s="4"/>
      <c r="CS11" s="189">
        <v>522.41999999999996</v>
      </c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1.18</v>
      </c>
      <c r="DF11" s="4"/>
      <c r="DG11" s="4"/>
      <c r="DH11" s="4"/>
      <c r="DI11" s="4"/>
      <c r="DJ11" s="4"/>
      <c r="DK11" s="4"/>
      <c r="DL11" s="4">
        <v>610.41</v>
      </c>
      <c r="DM11" s="4"/>
      <c r="DN11" s="189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>
        <f>351545+2.02</f>
        <v>351547.02</v>
      </c>
      <c r="EB11" s="4"/>
      <c r="EC11" s="4"/>
      <c r="ED11" s="4"/>
      <c r="EE11" s="4"/>
      <c r="EF11" s="451">
        <v>50000000</v>
      </c>
      <c r="EG11" s="498">
        <v>0</v>
      </c>
      <c r="EH11" s="4">
        <f>1139.71+7298.75</f>
        <v>8438.4599999999991</v>
      </c>
      <c r="EI11" s="4">
        <v>680.63</v>
      </c>
      <c r="EJ11" s="189"/>
      <c r="EK11" s="332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>
        <v>1.62</v>
      </c>
      <c r="EW11" s="4"/>
      <c r="EX11" s="4"/>
      <c r="EY11" s="4"/>
      <c r="EZ11" s="4">
        <v>1026.1600000000001</v>
      </c>
      <c r="FA11" s="4">
        <v>1515.53</v>
      </c>
      <c r="FB11" s="450">
        <v>15000000</v>
      </c>
      <c r="FC11" s="4">
        <v>537</v>
      </c>
      <c r="FD11" s="4"/>
      <c r="FE11" s="189"/>
      <c r="FF11" s="4"/>
      <c r="FG11" s="4">
        <v>34.68</v>
      </c>
      <c r="FH11" s="4">
        <v>0.11</v>
      </c>
      <c r="FI11" s="4">
        <v>3643.95</v>
      </c>
      <c r="FJ11" s="79"/>
      <c r="FK11" s="4"/>
      <c r="FL11" s="4"/>
      <c r="FM11" s="355">
        <f>123228130-FM16</f>
        <v>14110256</v>
      </c>
      <c r="FN11" s="4"/>
      <c r="FO11" s="4"/>
      <c r="FP11" s="4"/>
      <c r="FQ11" s="4">
        <v>1.52</v>
      </c>
      <c r="FR11" s="4">
        <v>16.27</v>
      </c>
      <c r="FS11" s="4"/>
      <c r="FT11" s="4">
        <v>407.4</v>
      </c>
      <c r="FU11" s="4"/>
      <c r="FV11" s="4">
        <v>3134393</v>
      </c>
      <c r="FW11" s="4">
        <v>203.7</v>
      </c>
      <c r="FX11" s="4"/>
      <c r="FY11" s="4">
        <v>1742.67</v>
      </c>
      <c r="FZ11" s="189">
        <v>597.15</v>
      </c>
      <c r="GA11" s="4">
        <v>203.7</v>
      </c>
      <c r="GB11" s="4"/>
      <c r="GC11" s="4"/>
      <c r="GD11" s="4"/>
      <c r="GE11" s="4"/>
      <c r="GF11" s="4"/>
      <c r="GG11" s="355">
        <f>3216325.56+87135903-84285041</f>
        <v>6067187.5600000024</v>
      </c>
      <c r="GH11" s="4">
        <v>611.1</v>
      </c>
      <c r="GI11" s="4"/>
      <c r="GJ11" s="450">
        <v>20000000</v>
      </c>
      <c r="GL11" s="4">
        <v>2.35</v>
      </c>
      <c r="GM11" s="4"/>
      <c r="GN11" s="4"/>
      <c r="GO11" s="4"/>
      <c r="GP11" s="4"/>
      <c r="GQ11" s="4"/>
      <c r="GR11" s="4"/>
      <c r="GS11" s="4"/>
      <c r="GT11" s="189"/>
      <c r="GU11" s="4">
        <v>477.99</v>
      </c>
      <c r="GV11" s="4"/>
      <c r="GW11" s="4"/>
      <c r="GX11" s="4"/>
      <c r="GY11" s="4"/>
      <c r="GZ11" s="4"/>
      <c r="HA11" s="4"/>
      <c r="HB11" s="4"/>
      <c r="HC11" s="4"/>
      <c r="HD11" s="4"/>
      <c r="HE11" s="4">
        <v>1.23</v>
      </c>
      <c r="HF11" s="4"/>
      <c r="HG11" s="4"/>
      <c r="HH11" s="4">
        <v>95.89</v>
      </c>
      <c r="HI11" s="4"/>
      <c r="HJ11" s="4"/>
      <c r="HK11" s="4"/>
      <c r="HL11" s="4"/>
      <c r="HM11" s="4">
        <v>1073.42</v>
      </c>
      <c r="HN11" s="4"/>
      <c r="HO11" s="189">
        <v>751.77</v>
      </c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>
        <v>1.45</v>
      </c>
      <c r="IB11" s="4"/>
      <c r="IC11" s="4"/>
      <c r="ID11" s="4"/>
      <c r="IE11" s="4"/>
      <c r="IF11" s="4"/>
      <c r="IG11" s="4"/>
      <c r="IH11" s="4"/>
      <c r="II11" s="4"/>
      <c r="IJ11" s="189">
        <f>1284.87+3876.7</f>
        <v>5161.57</v>
      </c>
      <c r="IK11" s="4"/>
      <c r="IL11" s="4"/>
      <c r="IM11" s="4"/>
      <c r="IN11" s="4"/>
      <c r="IO11" s="4"/>
      <c r="IP11" s="4"/>
      <c r="IQ11" s="4"/>
      <c r="IR11" s="4"/>
      <c r="IS11" s="4"/>
      <c r="IT11" s="200"/>
      <c r="IU11" s="4">
        <f t="shared" si="8"/>
        <v>108795507.59999999</v>
      </c>
    </row>
    <row r="12" spans="1:255" ht="14.1" customHeight="1" thickBot="1">
      <c r="A12" s="58" t="s">
        <v>38</v>
      </c>
      <c r="B12" s="210"/>
      <c r="C12" s="155"/>
      <c r="D12" s="4"/>
      <c r="E12" s="4"/>
      <c r="F12" s="4"/>
      <c r="G12" s="4"/>
      <c r="H12" s="4"/>
      <c r="I12" s="4"/>
      <c r="J12" s="4">
        <v>172562.01</v>
      </c>
      <c r="K12" s="4"/>
      <c r="L12" s="4"/>
      <c r="M12" s="189"/>
      <c r="N12" s="4">
        <v>3835992.16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>
        <v>711060.83</v>
      </c>
      <c r="AB12" s="4"/>
      <c r="AC12" s="4"/>
      <c r="AD12" s="4"/>
      <c r="AE12" s="4"/>
      <c r="AF12" s="189"/>
      <c r="AG12" s="4"/>
      <c r="AH12" s="4"/>
      <c r="AI12" s="4"/>
      <c r="AJ12" s="4"/>
      <c r="AK12" s="4"/>
      <c r="AL12" s="4"/>
      <c r="AM12" s="4"/>
      <c r="AN12" s="4"/>
      <c r="AO12" s="4">
        <v>197468.72</v>
      </c>
      <c r="AP12" s="4"/>
      <c r="AQ12" s="4"/>
      <c r="AR12" s="4"/>
      <c r="AS12" s="4"/>
      <c r="AT12" s="4"/>
      <c r="AU12" s="4">
        <v>23078.07</v>
      </c>
      <c r="AV12" s="4">
        <v>14808.79</v>
      </c>
      <c r="AW12" s="4">
        <v>63727.8</v>
      </c>
      <c r="AX12" s="4"/>
      <c r="AY12" s="4"/>
      <c r="AZ12" s="4"/>
      <c r="BA12" s="4"/>
      <c r="BB12" s="4"/>
      <c r="BC12" s="189"/>
      <c r="BD12" s="4">
        <v>1739.79</v>
      </c>
      <c r="BE12" s="4"/>
      <c r="BF12" s="4"/>
      <c r="BG12" s="4"/>
      <c r="BH12" s="4"/>
      <c r="BI12" s="4">
        <v>24635.74</v>
      </c>
      <c r="BJ12" s="4"/>
      <c r="BK12" s="4"/>
      <c r="BL12" s="4"/>
      <c r="BM12" s="4"/>
      <c r="BN12" s="4"/>
      <c r="BO12" s="4"/>
      <c r="BP12" s="4">
        <v>8523.94</v>
      </c>
      <c r="BQ12" s="4">
        <v>41731.43</v>
      </c>
      <c r="BR12" s="4"/>
      <c r="BS12" s="4"/>
      <c r="BT12" s="4"/>
      <c r="BU12" s="4"/>
      <c r="BV12" s="4"/>
      <c r="BW12" s="4"/>
      <c r="BX12" s="4"/>
      <c r="BY12" s="189"/>
      <c r="BZ12" s="4"/>
      <c r="CA12" s="4"/>
      <c r="CB12" s="4"/>
      <c r="CC12" s="4"/>
      <c r="CD12" s="4"/>
      <c r="CE12" s="4"/>
      <c r="CF12" s="4">
        <v>10116.27</v>
      </c>
      <c r="CG12" s="4"/>
      <c r="CH12" s="4"/>
      <c r="CI12" s="4"/>
      <c r="CJ12" s="4">
        <v>1737981.61</v>
      </c>
      <c r="CK12" s="4"/>
      <c r="CL12" s="4"/>
      <c r="CM12" s="4"/>
      <c r="CN12" s="4"/>
      <c r="CO12" s="4"/>
      <c r="CP12" s="4"/>
      <c r="CQ12" s="4">
        <f>37256.71+26171.81</f>
        <v>63428.520000000004</v>
      </c>
      <c r="CR12" s="4"/>
      <c r="CS12" s="189"/>
      <c r="CT12" s="4"/>
      <c r="CU12" s="4"/>
      <c r="CV12" s="4"/>
      <c r="CW12" s="4"/>
      <c r="CX12" s="4"/>
      <c r="CY12" s="4"/>
      <c r="CZ12" s="4"/>
      <c r="DA12" s="4"/>
      <c r="DB12" s="4"/>
      <c r="DC12" s="4">
        <v>43930.03</v>
      </c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189"/>
      <c r="DO12" s="4"/>
      <c r="DP12" s="4">
        <v>1764.05</v>
      </c>
      <c r="DQ12" s="4">
        <v>225351.9</v>
      </c>
      <c r="DR12" s="4"/>
      <c r="DS12" s="4"/>
      <c r="DT12" s="4">
        <v>240</v>
      </c>
      <c r="DU12" s="4"/>
      <c r="DV12" s="4"/>
      <c r="DW12" s="4"/>
      <c r="DX12" s="4"/>
      <c r="DY12" s="4"/>
      <c r="DZ12" s="4"/>
      <c r="EA12" s="4"/>
      <c r="EB12" s="4"/>
      <c r="EC12" s="4"/>
      <c r="ED12" s="4">
        <v>12601.5</v>
      </c>
      <c r="EE12" s="4"/>
      <c r="EF12" s="4"/>
      <c r="EG12" s="4"/>
      <c r="EH12" s="4">
        <f>+'FY-08, FEB-08 - Jan-09, DATA'!EH12*$V$73</f>
        <v>0</v>
      </c>
      <c r="EI12" s="4"/>
      <c r="EJ12" s="189"/>
      <c r="EK12" s="332"/>
      <c r="EL12" s="4"/>
      <c r="EM12" s="4"/>
      <c r="EN12" s="4"/>
      <c r="EO12" s="4"/>
      <c r="EP12" s="4"/>
      <c r="EQ12" s="355">
        <f>6705777</f>
        <v>6705777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89"/>
      <c r="FF12" s="4">
        <v>31827.68</v>
      </c>
      <c r="FG12" s="4"/>
      <c r="FH12" s="4"/>
      <c r="FI12" s="4"/>
      <c r="FJ12" s="79">
        <v>22707.7</v>
      </c>
      <c r="FK12" s="4"/>
      <c r="FL12" s="4"/>
      <c r="FM12" s="4">
        <v>88576.1</v>
      </c>
      <c r="FN12" s="4">
        <v>40263.65</v>
      </c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89"/>
      <c r="GA12" s="4">
        <v>3411.61</v>
      </c>
      <c r="GB12" s="4"/>
      <c r="GC12" s="4"/>
      <c r="GD12" s="4"/>
      <c r="GE12" s="4"/>
      <c r="GF12" s="4"/>
      <c r="GG12" s="3"/>
      <c r="GH12" s="4"/>
      <c r="GI12" s="4"/>
      <c r="GJ12" s="3"/>
      <c r="GK12" s="4">
        <v>158039.21</v>
      </c>
      <c r="GL12" s="4"/>
      <c r="GM12" s="4">
        <v>73620.44</v>
      </c>
      <c r="GN12" s="4"/>
      <c r="GO12" s="4"/>
      <c r="GP12" s="4">
        <v>203.7</v>
      </c>
      <c r="GQ12" s="4"/>
      <c r="GR12" s="4">
        <v>679</v>
      </c>
      <c r="GS12" s="4"/>
      <c r="GT12" s="189"/>
      <c r="GU12" s="4"/>
      <c r="GV12" s="4">
        <v>475.3</v>
      </c>
      <c r="GW12" s="4"/>
      <c r="GX12" s="4"/>
      <c r="GY12" s="4">
        <v>135.80000000000001</v>
      </c>
      <c r="GZ12" s="4"/>
      <c r="HA12" s="4"/>
      <c r="HB12" s="4"/>
      <c r="HC12" s="4"/>
      <c r="HD12" s="4"/>
      <c r="HE12" s="4"/>
      <c r="HF12" s="4"/>
      <c r="HG12" s="4"/>
      <c r="HH12" s="4">
        <v>339.5</v>
      </c>
      <c r="HI12" s="4"/>
      <c r="HJ12" s="4"/>
      <c r="HK12" s="4"/>
      <c r="HL12" s="4"/>
      <c r="HM12" s="4"/>
      <c r="HN12" s="4"/>
      <c r="HO12" s="189"/>
      <c r="HP12" s="4"/>
      <c r="HQ12" s="4"/>
      <c r="HR12" s="4"/>
      <c r="HS12" s="4"/>
      <c r="HT12" s="4"/>
      <c r="HU12" s="4"/>
      <c r="HV12" s="4"/>
      <c r="HW12" s="4">
        <v>679</v>
      </c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189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>
        <f t="shared" si="8"/>
        <v>14317478.85</v>
      </c>
    </row>
    <row r="13" spans="1:255" s="38" customFormat="1" ht="14.1" customHeight="1">
      <c r="A13" s="32" t="s">
        <v>47</v>
      </c>
      <c r="B13" s="32"/>
      <c r="C13" s="32">
        <v>203669.03</v>
      </c>
      <c r="D13" s="32">
        <v>1233652.28</v>
      </c>
      <c r="E13" s="32">
        <v>254563.82</v>
      </c>
      <c r="F13" s="32">
        <v>161536.93</v>
      </c>
      <c r="G13" s="32">
        <v>508752.51</v>
      </c>
      <c r="H13" s="32">
        <v>335095.09000000003</v>
      </c>
      <c r="I13" s="32">
        <v>270561.52</v>
      </c>
      <c r="J13" s="32">
        <v>207725.27</v>
      </c>
      <c r="K13" s="32">
        <v>226722.01</v>
      </c>
      <c r="L13" s="32">
        <v>267688.67</v>
      </c>
      <c r="M13" s="123">
        <v>417552.68</v>
      </c>
      <c r="N13" s="32">
        <v>349872.82</v>
      </c>
      <c r="O13" s="32">
        <v>251846.79</v>
      </c>
      <c r="P13" s="32">
        <v>124655.2</v>
      </c>
      <c r="Q13" s="32">
        <v>305341.90999999997</v>
      </c>
      <c r="R13" s="32">
        <v>297714.58</v>
      </c>
      <c r="S13" s="32">
        <v>220803.64</v>
      </c>
      <c r="T13" s="32">
        <v>3470455.36</v>
      </c>
      <c r="U13" s="32">
        <v>309655.45</v>
      </c>
      <c r="V13" s="32">
        <v>234646.16</v>
      </c>
      <c r="W13" s="32">
        <v>226263.28</v>
      </c>
      <c r="X13" s="32">
        <v>159306.21</v>
      </c>
      <c r="Y13" s="32">
        <v>214825.35</v>
      </c>
      <c r="Z13" s="32">
        <v>208405.87</v>
      </c>
      <c r="AA13" s="32">
        <v>255185.91</v>
      </c>
      <c r="AB13" s="32">
        <v>620533.29</v>
      </c>
      <c r="AC13" s="32">
        <v>209870.5</v>
      </c>
      <c r="AD13" s="32">
        <v>179941.78</v>
      </c>
      <c r="AE13" s="32">
        <v>128677.36</v>
      </c>
      <c r="AF13" s="123">
        <v>287754.69</v>
      </c>
      <c r="AG13" s="32">
        <v>278607.53999999998</v>
      </c>
      <c r="AH13" s="32">
        <v>145029.69</v>
      </c>
      <c r="AI13" s="32">
        <v>194959.71</v>
      </c>
      <c r="AJ13" s="32">
        <v>125754.15</v>
      </c>
      <c r="AK13" s="32">
        <v>186339.93</v>
      </c>
      <c r="AL13" s="32">
        <v>221748.44</v>
      </c>
      <c r="AM13" s="32">
        <v>137400.37</v>
      </c>
      <c r="AN13" s="32">
        <v>217990.13</v>
      </c>
      <c r="AO13" s="32">
        <v>719794.52</v>
      </c>
      <c r="AP13" s="32">
        <v>166057.49</v>
      </c>
      <c r="AQ13" s="32">
        <v>179199.1</v>
      </c>
      <c r="AR13" s="32">
        <v>214383.27</v>
      </c>
      <c r="AS13" s="32">
        <v>154678.95000000001</v>
      </c>
      <c r="AT13" s="32">
        <v>205186.08</v>
      </c>
      <c r="AU13" s="32">
        <v>174887.17</v>
      </c>
      <c r="AV13" s="32">
        <v>106241.5</v>
      </c>
      <c r="AW13" s="32">
        <v>167705.57999999999</v>
      </c>
      <c r="AX13" s="32">
        <v>199077.85</v>
      </c>
      <c r="AY13" s="32">
        <v>218351.04</v>
      </c>
      <c r="AZ13" s="32">
        <v>717791.87</v>
      </c>
      <c r="BA13" s="32">
        <v>706137.08</v>
      </c>
      <c r="BB13" s="32">
        <v>224994.08</v>
      </c>
      <c r="BC13" s="123">
        <v>184603.63</v>
      </c>
      <c r="BD13" s="32">
        <v>275003.33</v>
      </c>
      <c r="BE13" s="32">
        <v>243037.23</v>
      </c>
      <c r="BF13" s="32">
        <v>221529.24</v>
      </c>
      <c r="BG13" s="32">
        <v>181652.65</v>
      </c>
      <c r="BH13" s="32">
        <v>146840.60999999999</v>
      </c>
      <c r="BI13" s="32">
        <v>718472.64</v>
      </c>
      <c r="BJ13" s="32">
        <v>203755.47</v>
      </c>
      <c r="BK13" s="32">
        <v>196349.34</v>
      </c>
      <c r="BL13" s="32">
        <v>177124.91</v>
      </c>
      <c r="BM13" s="32">
        <v>160067.69</v>
      </c>
      <c r="BN13" s="32">
        <v>231508.04</v>
      </c>
      <c r="BO13" s="32">
        <v>278922.84000000003</v>
      </c>
      <c r="BP13" s="32">
        <v>212291.65</v>
      </c>
      <c r="BQ13" s="32">
        <v>104542.91</v>
      </c>
      <c r="BR13" s="32">
        <v>170501.33</v>
      </c>
      <c r="BS13" s="32">
        <v>160127.1</v>
      </c>
      <c r="BT13" s="32">
        <v>206449.63</v>
      </c>
      <c r="BU13" s="32">
        <v>134346.60999999999</v>
      </c>
      <c r="BV13" s="32"/>
      <c r="BW13" s="32">
        <v>175894.76</v>
      </c>
      <c r="BX13" s="32">
        <v>235208.12</v>
      </c>
      <c r="BY13" s="123">
        <v>175391.02</v>
      </c>
      <c r="BZ13" s="32">
        <v>251460.75</v>
      </c>
      <c r="CA13" s="32">
        <v>153226.4</v>
      </c>
      <c r="CB13" s="32">
        <v>176753.56</v>
      </c>
      <c r="CC13" s="32">
        <v>206697.95</v>
      </c>
      <c r="CD13" s="32">
        <v>203138.88</v>
      </c>
      <c r="CE13" s="32">
        <v>1074170.21</v>
      </c>
      <c r="CF13" s="32">
        <v>179808.17</v>
      </c>
      <c r="CG13" s="32">
        <v>188966.36</v>
      </c>
      <c r="CH13" s="32">
        <v>176918.66</v>
      </c>
      <c r="CI13" s="32">
        <v>2234920.59</v>
      </c>
      <c r="CJ13" s="32">
        <v>178297.34</v>
      </c>
      <c r="CK13" s="32">
        <v>135637.69</v>
      </c>
      <c r="CL13" s="32">
        <v>168293.81</v>
      </c>
      <c r="CM13" s="32">
        <v>163481.46</v>
      </c>
      <c r="CN13" s="32">
        <v>164327.91</v>
      </c>
      <c r="CO13" s="32">
        <v>376803.37</v>
      </c>
      <c r="CP13" s="32">
        <v>141944.37</v>
      </c>
      <c r="CQ13" s="32">
        <v>155053.9</v>
      </c>
      <c r="CR13" s="32">
        <v>160631.92000000001</v>
      </c>
      <c r="CS13" s="123">
        <v>124178.18</v>
      </c>
      <c r="CT13" s="32">
        <v>117086.23</v>
      </c>
      <c r="CU13" s="32">
        <v>132387.16</v>
      </c>
      <c r="CV13" s="32">
        <v>191184.81</v>
      </c>
      <c r="CW13" s="32">
        <v>96768.98</v>
      </c>
      <c r="CX13" s="32">
        <v>58681.24</v>
      </c>
      <c r="CY13" s="32">
        <v>145672.21</v>
      </c>
      <c r="CZ13" s="32">
        <v>160455.13</v>
      </c>
      <c r="DA13" s="32">
        <v>110029.94</v>
      </c>
      <c r="DB13" s="32">
        <v>131588.57</v>
      </c>
      <c r="DC13" s="32">
        <v>112105.68</v>
      </c>
      <c r="DD13" s="32">
        <v>128421.87</v>
      </c>
      <c r="DE13" s="32">
        <v>190735.6</v>
      </c>
      <c r="DF13" s="32">
        <v>126894.77</v>
      </c>
      <c r="DG13" s="32">
        <f>70404.41+165595.9</f>
        <v>236000.31</v>
      </c>
      <c r="DH13" s="32">
        <v>164409.21</v>
      </c>
      <c r="DI13" s="32">
        <v>149403.35999999999</v>
      </c>
      <c r="DJ13" s="32">
        <v>0</v>
      </c>
      <c r="DK13" s="32">
        <v>289097.43</v>
      </c>
      <c r="DL13" s="32">
        <v>197952.83</v>
      </c>
      <c r="DM13" s="32">
        <v>218925.4</v>
      </c>
      <c r="DN13" s="123">
        <v>200317.34</v>
      </c>
      <c r="DO13" s="32">
        <v>0</v>
      </c>
      <c r="DP13" s="32">
        <v>0</v>
      </c>
      <c r="DQ13" s="32">
        <v>105955.14</v>
      </c>
      <c r="DR13" s="32">
        <v>116751.39</v>
      </c>
      <c r="DS13" s="32">
        <v>1562616.36</v>
      </c>
      <c r="DT13" s="32">
        <v>97669.13</v>
      </c>
      <c r="DU13" s="32">
        <v>2294563.9300000002</v>
      </c>
      <c r="DV13" s="32">
        <v>122009.91</v>
      </c>
      <c r="DW13" s="32">
        <v>142418.81</v>
      </c>
      <c r="DX13" s="32">
        <v>169177.55</v>
      </c>
      <c r="DY13" s="32">
        <v>9703.0400000000009</v>
      </c>
      <c r="DZ13" s="32">
        <v>66855.740000000005</v>
      </c>
      <c r="EA13" s="32">
        <v>130922.01</v>
      </c>
      <c r="EB13" s="32">
        <v>491455.54</v>
      </c>
      <c r="EC13" s="32">
        <v>1563491.66</v>
      </c>
      <c r="ED13" s="32">
        <v>76886.710000000006</v>
      </c>
      <c r="EE13" s="32">
        <v>116304.51</v>
      </c>
      <c r="EF13" s="32">
        <v>95543.82</v>
      </c>
      <c r="EG13" s="32">
        <v>187294.07999999999</v>
      </c>
      <c r="EH13" s="32">
        <v>126815.67999999999</v>
      </c>
      <c r="EI13" s="32">
        <v>120426.16</v>
      </c>
      <c r="EJ13" s="123">
        <v>119805.17</v>
      </c>
      <c r="EK13" s="333">
        <v>93034.42</v>
      </c>
      <c r="EL13" s="32">
        <v>0</v>
      </c>
      <c r="EM13" s="32">
        <v>131724.56</v>
      </c>
      <c r="EN13" s="32">
        <v>140613.93</v>
      </c>
      <c r="EO13" s="32">
        <v>169390.89</v>
      </c>
      <c r="EP13" s="32">
        <v>78184.490000000005</v>
      </c>
      <c r="EQ13" s="32">
        <v>117925.23</v>
      </c>
      <c r="ER13" s="32">
        <v>121260.72</v>
      </c>
      <c r="ES13" s="32">
        <v>118536.89</v>
      </c>
      <c r="ET13" s="32">
        <v>378675.98</v>
      </c>
      <c r="EU13" s="32">
        <v>234983.8</v>
      </c>
      <c r="EV13" s="32">
        <v>181800.16</v>
      </c>
      <c r="EW13" s="32">
        <v>150732.84</v>
      </c>
      <c r="EX13" s="32">
        <v>161257.45000000001</v>
      </c>
      <c r="EY13" s="32">
        <v>156266.54</v>
      </c>
      <c r="EZ13" s="32">
        <v>353934.42</v>
      </c>
      <c r="FA13" s="32">
        <v>63360.160000000003</v>
      </c>
      <c r="FB13" s="32">
        <v>19919.57</v>
      </c>
      <c r="FC13" s="32">
        <v>138528.4</v>
      </c>
      <c r="FD13" s="32">
        <v>99476.53</v>
      </c>
      <c r="FE13" s="123">
        <v>168643.18</v>
      </c>
      <c r="FF13" s="32">
        <v>234489.08</v>
      </c>
      <c r="FG13" s="32">
        <v>151037.93</v>
      </c>
      <c r="FH13" s="32">
        <v>133771.82</v>
      </c>
      <c r="FI13" s="32">
        <v>154373.49</v>
      </c>
      <c r="FJ13" s="250">
        <v>221869.31</v>
      </c>
      <c r="FK13" s="32">
        <v>180009.60000000001</v>
      </c>
      <c r="FL13" s="32">
        <v>149462.26999999999</v>
      </c>
      <c r="FM13" s="32">
        <v>128582.63</v>
      </c>
      <c r="FN13" s="32">
        <v>169601.95</v>
      </c>
      <c r="FO13" s="32">
        <v>308549.11</v>
      </c>
      <c r="FP13" s="32">
        <v>295214.99</v>
      </c>
      <c r="FQ13" s="32">
        <v>123699.9</v>
      </c>
      <c r="FR13" s="32">
        <v>119392.15</v>
      </c>
      <c r="FS13" s="32">
        <v>132551.15</v>
      </c>
      <c r="FT13" s="32">
        <v>121584.6</v>
      </c>
      <c r="FU13" s="32">
        <f>'[1]10-7'!C17</f>
        <v>387503.46</v>
      </c>
      <c r="FV13" s="32">
        <v>787709.45</v>
      </c>
      <c r="FW13" s="32">
        <v>230894.29</v>
      </c>
      <c r="FX13" s="32">
        <v>302215.03000000003</v>
      </c>
      <c r="FY13" s="32">
        <v>177883.84</v>
      </c>
      <c r="FZ13" s="123">
        <v>199056.25</v>
      </c>
      <c r="GA13" s="32">
        <v>52273.68</v>
      </c>
      <c r="GB13" s="32">
        <v>422050.75</v>
      </c>
      <c r="GC13" s="32">
        <v>140817.07999999999</v>
      </c>
      <c r="GD13" s="32">
        <v>138781.35999999999</v>
      </c>
      <c r="GE13" s="32">
        <v>1837052.61</v>
      </c>
      <c r="GF13" s="32">
        <v>151871.62</v>
      </c>
      <c r="GG13" s="32">
        <v>139180.60999999999</v>
      </c>
      <c r="GH13" s="32">
        <v>167766.13</v>
      </c>
      <c r="GI13" s="32">
        <v>136083.35999999999</v>
      </c>
      <c r="GJ13" s="32">
        <v>354756.73</v>
      </c>
      <c r="GK13" s="32">
        <v>135449.07999999999</v>
      </c>
      <c r="GL13" s="32">
        <v>26548.37</v>
      </c>
      <c r="GM13" s="32">
        <v>282603.90000000002</v>
      </c>
      <c r="GN13" s="32">
        <v>200987.03</v>
      </c>
      <c r="GO13" s="32">
        <v>127106.85</v>
      </c>
      <c r="GP13" s="32">
        <v>0</v>
      </c>
      <c r="GQ13" s="32">
        <v>122931.31</v>
      </c>
      <c r="GR13" s="32">
        <v>302091.62</v>
      </c>
      <c r="GS13" s="32">
        <v>142485.94</v>
      </c>
      <c r="GT13" s="123">
        <v>167398.10999999999</v>
      </c>
      <c r="GU13" s="32">
        <v>232958.52</v>
      </c>
      <c r="GV13" s="32">
        <v>100046.15</v>
      </c>
      <c r="GW13" s="32">
        <v>56645.89</v>
      </c>
      <c r="GX13" s="32">
        <v>139769.53</v>
      </c>
      <c r="GY13" s="32">
        <v>116691.31</v>
      </c>
      <c r="GZ13" s="32">
        <v>134640.74</v>
      </c>
      <c r="HA13" s="32">
        <v>96227.4</v>
      </c>
      <c r="HB13" s="32">
        <v>301845.01</v>
      </c>
      <c r="HC13" s="32">
        <v>134013.39000000001</v>
      </c>
      <c r="HD13" s="32">
        <v>132446.5</v>
      </c>
      <c r="HE13" s="32">
        <v>90465.52</v>
      </c>
      <c r="HF13" s="32">
        <v>155510.93</v>
      </c>
      <c r="HG13" s="32">
        <v>150040.25</v>
      </c>
      <c r="HH13" s="32">
        <v>110569.27</v>
      </c>
      <c r="HI13" s="32">
        <v>121289.2</v>
      </c>
      <c r="HJ13" s="32">
        <v>1336971.6000000001</v>
      </c>
      <c r="HK13" s="32">
        <v>188368.72</v>
      </c>
      <c r="HL13" s="32">
        <v>197790.77</v>
      </c>
      <c r="HM13" s="32">
        <v>183669.56</v>
      </c>
      <c r="HN13" s="32">
        <v>74304.45</v>
      </c>
      <c r="HO13" s="123">
        <v>176323.9</v>
      </c>
      <c r="HP13" s="32">
        <v>211116.21</v>
      </c>
      <c r="HQ13" s="32">
        <v>224921.99</v>
      </c>
      <c r="HR13" s="32">
        <v>230843.78</v>
      </c>
      <c r="HS13" s="32">
        <v>6544814.9199999999</v>
      </c>
      <c r="HT13" s="32">
        <v>110450.02</v>
      </c>
      <c r="HU13" s="32">
        <v>141888.26999999999</v>
      </c>
      <c r="HV13" s="32">
        <v>105368.16</v>
      </c>
      <c r="HW13" s="32">
        <v>167777.07</v>
      </c>
      <c r="HX13" s="32">
        <v>115426.48</v>
      </c>
      <c r="HY13" s="32">
        <v>162926.96</v>
      </c>
      <c r="HZ13" s="32">
        <v>111628.77</v>
      </c>
      <c r="IA13" s="32">
        <v>128624.14</v>
      </c>
      <c r="IB13" s="32">
        <v>161633</v>
      </c>
      <c r="IC13" s="32">
        <v>124216.94</v>
      </c>
      <c r="ID13" s="32">
        <v>173935.06</v>
      </c>
      <c r="IE13" s="32">
        <v>63328.5</v>
      </c>
      <c r="IF13" s="32">
        <v>135311.25</v>
      </c>
      <c r="IG13" s="32">
        <v>191074.36</v>
      </c>
      <c r="IH13" s="32">
        <v>177401.68</v>
      </c>
      <c r="II13" s="32">
        <v>174991.98</v>
      </c>
      <c r="IJ13" s="123">
        <v>185024.84</v>
      </c>
      <c r="IK13" s="32">
        <v>109581.95</v>
      </c>
      <c r="IL13" s="32">
        <v>175613.17</v>
      </c>
      <c r="IM13" s="32">
        <v>159559.34</v>
      </c>
      <c r="IN13" s="32">
        <v>482337.56</v>
      </c>
      <c r="IO13" s="32">
        <v>212737.65</v>
      </c>
      <c r="IP13" s="32">
        <v>520106.2</v>
      </c>
      <c r="IQ13" s="32">
        <v>451697.44</v>
      </c>
      <c r="IR13" s="32">
        <v>459989.16</v>
      </c>
      <c r="IS13" s="32">
        <v>325335.06</v>
      </c>
      <c r="IT13" s="201"/>
      <c r="IU13" s="32">
        <f t="shared" si="8"/>
        <v>69694897.26000002</v>
      </c>
    </row>
    <row r="14" spans="1:255" ht="14.1" customHeight="1">
      <c r="A14" s="58" t="s">
        <v>4</v>
      </c>
      <c r="B14" s="210"/>
      <c r="C14" s="155">
        <v>18254836.280000001</v>
      </c>
      <c r="D14" s="4">
        <v>30509824.16</v>
      </c>
      <c r="E14" s="4">
        <v>38960755.060000002</v>
      </c>
      <c r="F14" s="4">
        <v>50827649.200000003</v>
      </c>
      <c r="G14" s="4">
        <v>38723111.280000001</v>
      </c>
      <c r="H14" s="4">
        <v>14859434.35</v>
      </c>
      <c r="I14" s="4">
        <v>10886900.85</v>
      </c>
      <c r="J14" s="4">
        <v>268147.14</v>
      </c>
      <c r="K14" s="4">
        <v>43521895.329999998</v>
      </c>
      <c r="L14" s="4">
        <v>15478587.539999999</v>
      </c>
      <c r="M14" s="189">
        <v>27192473.23</v>
      </c>
      <c r="N14" s="4">
        <v>30351865.16</v>
      </c>
      <c r="O14" s="4">
        <v>11617545.02</v>
      </c>
      <c r="P14" s="4">
        <v>28694688.309999999</v>
      </c>
      <c r="Q14" s="4">
        <v>7739150.6200000001</v>
      </c>
      <c r="R14" s="4">
        <v>21488598.140000001</v>
      </c>
      <c r="S14" s="4">
        <v>0</v>
      </c>
      <c r="T14" s="4">
        <v>2109402.2200000002</v>
      </c>
      <c r="U14" s="4">
        <v>2670608.36</v>
      </c>
      <c r="V14" s="4">
        <v>673682.89</v>
      </c>
      <c r="W14" s="4">
        <v>2119506.77</v>
      </c>
      <c r="X14" s="4">
        <v>1190266.32</v>
      </c>
      <c r="Y14" s="4">
        <v>957621.42</v>
      </c>
      <c r="Z14" s="4">
        <v>1287375.24</v>
      </c>
      <c r="AA14" s="4">
        <v>1588156.02</v>
      </c>
      <c r="AB14" s="4">
        <v>512366.13</v>
      </c>
      <c r="AC14" s="4">
        <v>0</v>
      </c>
      <c r="AD14" s="4">
        <v>660950.44999999995</v>
      </c>
      <c r="AE14" s="4">
        <v>318825.59000000003</v>
      </c>
      <c r="AF14" s="189">
        <v>427853.2</v>
      </c>
      <c r="AG14" s="4">
        <v>771889.05</v>
      </c>
      <c r="AH14" s="4">
        <v>903915.96</v>
      </c>
      <c r="AI14" s="4">
        <v>0</v>
      </c>
      <c r="AJ14" s="4">
        <v>152612.32999999999</v>
      </c>
      <c r="AK14" s="4">
        <v>235906.92</v>
      </c>
      <c r="AL14" s="4">
        <v>358465.67</v>
      </c>
      <c r="AM14" s="4">
        <v>463945.15</v>
      </c>
      <c r="AN14" s="4">
        <v>1104753.03</v>
      </c>
      <c r="AO14" s="4">
        <v>355530.63</v>
      </c>
      <c r="AP14" s="4">
        <v>1549348.79</v>
      </c>
      <c r="AQ14" s="4">
        <v>329961.32</v>
      </c>
      <c r="AR14" s="4">
        <v>907979.2</v>
      </c>
      <c r="AS14" s="4">
        <v>586348.07999999996</v>
      </c>
      <c r="AT14" s="4">
        <v>1610234.73</v>
      </c>
      <c r="AU14" s="4">
        <v>1260007.17</v>
      </c>
      <c r="AV14" s="4">
        <v>675839.79</v>
      </c>
      <c r="AW14" s="4">
        <v>500435.62</v>
      </c>
      <c r="AX14" s="4">
        <v>172391.4</v>
      </c>
      <c r="AY14" s="4">
        <v>380236</v>
      </c>
      <c r="AZ14" s="4">
        <v>466717.21</v>
      </c>
      <c r="BA14" s="4">
        <v>554843.74</v>
      </c>
      <c r="BB14" s="4">
        <v>427955.31</v>
      </c>
      <c r="BC14" s="189">
        <v>0</v>
      </c>
      <c r="BD14" s="4"/>
      <c r="BE14" s="4">
        <v>251432.26</v>
      </c>
      <c r="BF14" s="4">
        <v>0</v>
      </c>
      <c r="BG14" s="4">
        <v>239313.65</v>
      </c>
      <c r="BH14" s="4">
        <v>286665.08</v>
      </c>
      <c r="BI14" s="4">
        <v>302404.33</v>
      </c>
      <c r="BJ14" s="4">
        <v>412265.74</v>
      </c>
      <c r="BK14" s="4">
        <v>0</v>
      </c>
      <c r="BL14" s="4">
        <v>0</v>
      </c>
      <c r="BM14" s="4">
        <v>0</v>
      </c>
      <c r="BN14" s="4">
        <v>405674.99</v>
      </c>
      <c r="BO14" s="4">
        <v>187760.68</v>
      </c>
      <c r="BP14" s="4">
        <v>635022.73</v>
      </c>
      <c r="BQ14" s="4">
        <v>488041.85</v>
      </c>
      <c r="BR14" s="4">
        <v>0</v>
      </c>
      <c r="BS14" s="4">
        <v>0</v>
      </c>
      <c r="BT14" s="4">
        <v>146225.75</v>
      </c>
      <c r="BU14" s="4">
        <v>612339.48</v>
      </c>
      <c r="BV14" s="4">
        <v>139644.9</v>
      </c>
      <c r="BW14" s="4">
        <v>347526.01</v>
      </c>
      <c r="BX14" s="4">
        <v>206841.9</v>
      </c>
      <c r="BY14" s="189">
        <v>174509.45</v>
      </c>
      <c r="BZ14" s="4">
        <v>35639.43</v>
      </c>
      <c r="CA14" s="4">
        <v>351920.81</v>
      </c>
      <c r="CB14" s="4">
        <v>0</v>
      </c>
      <c r="CC14" s="4">
        <v>0</v>
      </c>
      <c r="CD14" s="4">
        <v>0</v>
      </c>
      <c r="CE14" s="4">
        <v>96303.57</v>
      </c>
      <c r="CF14" s="4">
        <v>0</v>
      </c>
      <c r="CG14" s="4">
        <v>0</v>
      </c>
      <c r="CH14" s="4">
        <v>174624.53</v>
      </c>
      <c r="CI14" s="4">
        <v>305272.65000000002</v>
      </c>
      <c r="CJ14" s="4">
        <v>626686.71</v>
      </c>
      <c r="CK14" s="4">
        <v>649004.93999999994</v>
      </c>
      <c r="CL14" s="4">
        <v>323716.5</v>
      </c>
      <c r="CM14" s="4">
        <v>728114.27</v>
      </c>
      <c r="CN14" s="4">
        <v>309237</v>
      </c>
      <c r="CO14" s="4">
        <v>175552.34</v>
      </c>
      <c r="CP14" s="4">
        <v>0</v>
      </c>
      <c r="CQ14" s="4">
        <v>0</v>
      </c>
      <c r="CR14" s="4"/>
      <c r="CS14" s="189">
        <v>0</v>
      </c>
      <c r="CT14" s="4">
        <v>122086.13</v>
      </c>
      <c r="CU14" s="4"/>
      <c r="CV14" s="4">
        <v>0</v>
      </c>
      <c r="CW14" s="4">
        <v>0</v>
      </c>
      <c r="CX14" s="4">
        <v>0</v>
      </c>
      <c r="CY14" s="4"/>
      <c r="CZ14" s="4">
        <v>1268.5</v>
      </c>
      <c r="DA14" s="4">
        <v>342987.83</v>
      </c>
      <c r="DB14" s="4">
        <v>940638.44</v>
      </c>
      <c r="DC14" s="4">
        <v>214699.74</v>
      </c>
      <c r="DD14" s="4">
        <v>412421.63</v>
      </c>
      <c r="DE14" s="4">
        <v>750013.58</v>
      </c>
      <c r="DF14" s="4">
        <v>1721162.03</v>
      </c>
      <c r="DG14" s="4">
        <v>307937.27</v>
      </c>
      <c r="DH14" s="4">
        <v>465546.92</v>
      </c>
      <c r="DI14" s="4">
        <v>225272.12</v>
      </c>
      <c r="DJ14" s="4">
        <v>506773.52</v>
      </c>
      <c r="DK14" s="4">
        <v>207560.95999999999</v>
      </c>
      <c r="DL14" s="4">
        <v>0</v>
      </c>
      <c r="DM14" s="4"/>
      <c r="DN14" s="189">
        <v>0</v>
      </c>
      <c r="DO14" s="4">
        <v>0</v>
      </c>
      <c r="DP14" s="4">
        <v>0</v>
      </c>
      <c r="DQ14" s="4">
        <v>0</v>
      </c>
      <c r="DR14" s="4">
        <v>0</v>
      </c>
      <c r="DS14" s="4">
        <v>327728.25</v>
      </c>
      <c r="DT14" s="4">
        <v>134245.04</v>
      </c>
      <c r="DU14" s="4">
        <v>223658.14</v>
      </c>
      <c r="DV14" s="4">
        <v>115905.3</v>
      </c>
      <c r="DW14" s="4">
        <v>152321.17000000001</v>
      </c>
      <c r="DX14" s="4">
        <v>233457.27</v>
      </c>
      <c r="DY14" s="4">
        <v>296680.92</v>
      </c>
      <c r="DZ14" s="4">
        <v>238795.2</v>
      </c>
      <c r="EA14" s="4">
        <v>263559.28999999998</v>
      </c>
      <c r="EB14" s="4">
        <v>461926.66</v>
      </c>
      <c r="EC14" s="4">
        <v>0</v>
      </c>
      <c r="ED14" s="4">
        <v>0</v>
      </c>
      <c r="EE14" s="4">
        <v>0</v>
      </c>
      <c r="EF14" s="4"/>
      <c r="EG14" s="4">
        <f>+'FY-08, FEB-08 - Jan-09, DATA'!EG14*$V$73</f>
        <v>0</v>
      </c>
      <c r="EH14" s="4">
        <f>+'FY-08, FEB-08 - Jan-09, DATA'!EH14*$V$73</f>
        <v>0</v>
      </c>
      <c r="EI14" s="4">
        <v>0</v>
      </c>
      <c r="EJ14" s="189">
        <v>0</v>
      </c>
      <c r="EK14" s="332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189">
        <v>0</v>
      </c>
      <c r="FF14" s="4">
        <v>0</v>
      </c>
      <c r="FG14" s="4">
        <v>0</v>
      </c>
      <c r="FH14" s="4">
        <v>0</v>
      </c>
      <c r="FI14" s="4">
        <v>0</v>
      </c>
      <c r="FJ14" s="79">
        <v>0</v>
      </c>
      <c r="FK14" s="4">
        <v>0</v>
      </c>
      <c r="FL14" s="4">
        <v>243387.4</v>
      </c>
      <c r="FM14" s="4">
        <v>112389.51</v>
      </c>
      <c r="FN14" s="4">
        <v>65699.02</v>
      </c>
      <c r="FO14" s="4">
        <v>69712.81</v>
      </c>
      <c r="FP14" s="4">
        <v>84760.55</v>
      </c>
      <c r="FQ14" s="4">
        <v>343609.36</v>
      </c>
      <c r="FR14" s="4">
        <v>264970</v>
      </c>
      <c r="FS14" s="4">
        <v>0</v>
      </c>
      <c r="FT14" s="4">
        <v>0</v>
      </c>
      <c r="FU14" s="4">
        <f>'[1]10-7'!C18</f>
        <v>474579.05</v>
      </c>
      <c r="FV14" s="4">
        <v>282158.76</v>
      </c>
      <c r="FW14" s="4">
        <v>309077.95</v>
      </c>
      <c r="FX14" s="4">
        <v>177333.98</v>
      </c>
      <c r="FY14" s="4">
        <v>979884.99</v>
      </c>
      <c r="FZ14" s="189">
        <v>406018.12</v>
      </c>
      <c r="GA14" s="4">
        <v>1000064.93</v>
      </c>
      <c r="GB14" s="4">
        <v>955345.06</v>
      </c>
      <c r="GC14" s="4">
        <v>612974.71</v>
      </c>
      <c r="GD14" s="4">
        <v>783050.4</v>
      </c>
      <c r="GE14" s="4">
        <v>1107713.7</v>
      </c>
      <c r="GF14" s="4">
        <v>1408689.24</v>
      </c>
      <c r="GG14" s="4">
        <v>662404.05000000005</v>
      </c>
      <c r="GH14" s="4">
        <v>881825.26</v>
      </c>
      <c r="GI14" s="4">
        <v>1457375.33</v>
      </c>
      <c r="GJ14" s="4">
        <v>800383.45</v>
      </c>
      <c r="GK14" s="4">
        <v>973433</v>
      </c>
      <c r="GL14" s="4">
        <v>991666.38</v>
      </c>
      <c r="GM14" s="4">
        <v>1291852.95</v>
      </c>
      <c r="GN14" s="387">
        <v>888369.38</v>
      </c>
      <c r="GO14" s="4">
        <v>581148.30000000005</v>
      </c>
      <c r="GP14" s="4">
        <v>1258105.42</v>
      </c>
      <c r="GQ14" s="4">
        <v>1165060.6499999999</v>
      </c>
      <c r="GR14" s="4">
        <v>1062478.6599999999</v>
      </c>
      <c r="GS14" s="4">
        <v>1106385.83</v>
      </c>
      <c r="GT14" s="189">
        <v>1000804.78</v>
      </c>
      <c r="GU14" s="4">
        <v>521578.84</v>
      </c>
      <c r="GV14" s="4">
        <v>2763013.96</v>
      </c>
      <c r="GW14" s="4">
        <v>0</v>
      </c>
      <c r="GX14" s="4">
        <v>1113538.3999999999</v>
      </c>
      <c r="GY14" s="4">
        <v>894129</v>
      </c>
      <c r="GZ14" s="4">
        <v>891341.11</v>
      </c>
      <c r="HA14" s="4">
        <v>1001194.96</v>
      </c>
      <c r="HB14" s="4">
        <v>1224649.6299999999</v>
      </c>
      <c r="HC14" s="4">
        <v>1605357.42</v>
      </c>
      <c r="HD14" s="4">
        <v>0</v>
      </c>
      <c r="HE14" s="4">
        <v>981172.92</v>
      </c>
      <c r="HF14" s="4">
        <v>1382212.19</v>
      </c>
      <c r="HG14" s="4">
        <v>1968573.84</v>
      </c>
      <c r="HH14" s="4">
        <v>1241362.49</v>
      </c>
      <c r="HI14" s="4">
        <v>1916345.52</v>
      </c>
      <c r="HJ14" s="4">
        <v>1658489.19</v>
      </c>
      <c r="HK14" s="4">
        <v>2112809.19</v>
      </c>
      <c r="HL14" s="4">
        <v>3117093.18</v>
      </c>
      <c r="HM14" s="4">
        <v>2687027.87</v>
      </c>
      <c r="HN14" s="4">
        <v>4269038.78</v>
      </c>
      <c r="HO14" s="189">
        <v>2644122.7999999998</v>
      </c>
      <c r="HP14" s="4">
        <v>6614536.5599999996</v>
      </c>
      <c r="HQ14" s="4">
        <v>5050741.3899999997</v>
      </c>
      <c r="HR14" s="4">
        <v>1309282.77</v>
      </c>
      <c r="HS14" s="4">
        <v>5564666.6900000004</v>
      </c>
      <c r="HT14" s="4">
        <v>4763640.58</v>
      </c>
      <c r="HU14" s="4">
        <v>3927568.17</v>
      </c>
      <c r="HV14" s="4">
        <v>30899156.940000001</v>
      </c>
      <c r="HW14" s="4">
        <v>0</v>
      </c>
      <c r="HX14" s="4">
        <v>6479642.2199999997</v>
      </c>
      <c r="HY14" s="4">
        <v>9128607.1899999995</v>
      </c>
      <c r="HZ14" s="4">
        <v>15185022.689999999</v>
      </c>
      <c r="IA14" s="4">
        <v>4356035.75</v>
      </c>
      <c r="IB14" s="4">
        <v>33104850.370000001</v>
      </c>
      <c r="IC14" s="4">
        <v>31156863.98</v>
      </c>
      <c r="ID14" s="4">
        <v>9465015.9900000002</v>
      </c>
      <c r="IE14" s="4">
        <v>9111614.3599999994</v>
      </c>
      <c r="IF14" s="4">
        <v>8403597</v>
      </c>
      <c r="IG14" s="4">
        <v>309741.17</v>
      </c>
      <c r="IH14" s="4">
        <v>65583479.060000002</v>
      </c>
      <c r="II14" s="4">
        <v>10462993.390000001</v>
      </c>
      <c r="IJ14" s="189">
        <v>7289494.8099999996</v>
      </c>
      <c r="IK14" s="4">
        <v>7989293.3200000003</v>
      </c>
      <c r="IL14" s="4">
        <v>12291099.75</v>
      </c>
      <c r="IM14" s="4">
        <v>11520775.85</v>
      </c>
      <c r="IN14" s="4">
        <v>20405021.629999999</v>
      </c>
      <c r="IO14" s="4">
        <v>10439151.09</v>
      </c>
      <c r="IP14" s="4">
        <v>13894514.880000001</v>
      </c>
      <c r="IQ14" s="4">
        <v>17498073.420000002</v>
      </c>
      <c r="IR14" s="4">
        <v>34360882.18</v>
      </c>
      <c r="IS14" s="4">
        <v>29948738.489999998</v>
      </c>
      <c r="IT14" s="200"/>
      <c r="IU14" s="4">
        <f t="shared" si="8"/>
        <v>919249646.79999948</v>
      </c>
    </row>
    <row r="15" spans="1:255" ht="14.1" customHeight="1" thickBot="1">
      <c r="A15" s="58" t="s">
        <v>53</v>
      </c>
      <c r="B15" s="210"/>
      <c r="C15" s="155">
        <v>246.82</v>
      </c>
      <c r="D15" s="4">
        <v>22766.95</v>
      </c>
      <c r="E15" s="4">
        <v>112</v>
      </c>
      <c r="F15" s="4">
        <v>1349.42</v>
      </c>
      <c r="G15" s="4">
        <v>237.98</v>
      </c>
      <c r="H15" s="4">
        <v>82.75</v>
      </c>
      <c r="I15" s="4">
        <v>1233.4000000000001</v>
      </c>
      <c r="J15" s="4"/>
      <c r="K15" s="4"/>
      <c r="L15" s="4"/>
      <c r="M15" s="189">
        <v>1758.62</v>
      </c>
      <c r="N15" s="4">
        <v>59.89</v>
      </c>
      <c r="O15" s="4">
        <v>432.55</v>
      </c>
      <c r="P15" s="4">
        <v>582.92999999999995</v>
      </c>
      <c r="Q15" s="4">
        <v>350.24</v>
      </c>
      <c r="R15" s="4">
        <v>934.31</v>
      </c>
      <c r="S15" s="4"/>
      <c r="T15" s="5">
        <v>0</v>
      </c>
      <c r="U15" s="4">
        <v>5665.45</v>
      </c>
      <c r="V15" s="4">
        <v>78.56</v>
      </c>
      <c r="W15" s="4">
        <v>811.06</v>
      </c>
      <c r="X15" s="4">
        <v>1340.47</v>
      </c>
      <c r="Y15" s="4">
        <v>648.07000000000005</v>
      </c>
      <c r="Z15" s="4">
        <v>202.25</v>
      </c>
      <c r="AA15" s="4">
        <v>520.30999999999995</v>
      </c>
      <c r="AB15" s="4">
        <v>4444.82</v>
      </c>
      <c r="AC15" s="4">
        <v>635.85</v>
      </c>
      <c r="AD15" s="4"/>
      <c r="AE15" s="4">
        <v>2069.98</v>
      </c>
      <c r="AF15" s="189">
        <v>1569.08</v>
      </c>
      <c r="AG15" s="4">
        <v>50.18</v>
      </c>
      <c r="AH15" s="4">
        <v>0</v>
      </c>
      <c r="AI15" s="4">
        <v>2410.34</v>
      </c>
      <c r="AJ15" s="4">
        <v>534.88</v>
      </c>
      <c r="AK15" s="4"/>
      <c r="AL15" s="4">
        <v>451.29</v>
      </c>
      <c r="AM15" s="4">
        <v>371.77</v>
      </c>
      <c r="AN15" s="4">
        <v>0</v>
      </c>
      <c r="AO15" s="4">
        <v>681.78</v>
      </c>
      <c r="AP15" s="4">
        <v>192.7</v>
      </c>
      <c r="AQ15" s="4">
        <v>480.99</v>
      </c>
      <c r="AR15" s="4">
        <v>4901.83</v>
      </c>
      <c r="AS15" s="4">
        <v>1440.95</v>
      </c>
      <c r="AT15" s="4">
        <v>4065.1</v>
      </c>
      <c r="AU15" s="4">
        <v>69.41</v>
      </c>
      <c r="AV15" s="4">
        <v>56.18</v>
      </c>
      <c r="AW15" s="4">
        <v>0</v>
      </c>
      <c r="AX15" s="4">
        <v>3604.48</v>
      </c>
      <c r="AY15" s="4">
        <v>204.05</v>
      </c>
      <c r="AZ15" s="4">
        <v>4143.1499999999996</v>
      </c>
      <c r="BA15" s="4">
        <v>618.55999999999995</v>
      </c>
      <c r="BB15" s="4">
        <v>1394.91</v>
      </c>
      <c r="BC15" s="189">
        <v>232.11</v>
      </c>
      <c r="BD15" s="4">
        <v>802.29</v>
      </c>
      <c r="BE15" s="4"/>
      <c r="BF15" s="4">
        <v>2393.3000000000002</v>
      </c>
      <c r="BG15" s="4">
        <v>50.33</v>
      </c>
      <c r="BH15" s="4">
        <v>1343.38</v>
      </c>
      <c r="BI15" s="4">
        <v>243.56</v>
      </c>
      <c r="BJ15" s="4">
        <v>230.79</v>
      </c>
      <c r="BK15" s="4">
        <v>153.32</v>
      </c>
      <c r="BL15" s="4">
        <v>4548.37</v>
      </c>
      <c r="BM15" s="4">
        <v>212.04</v>
      </c>
      <c r="BN15" s="4">
        <v>9328.86</v>
      </c>
      <c r="BO15" s="4">
        <v>778.23</v>
      </c>
      <c r="BP15" s="4">
        <v>309.69</v>
      </c>
      <c r="BQ15" s="4">
        <v>9421.67</v>
      </c>
      <c r="BR15" s="4">
        <v>4120.37</v>
      </c>
      <c r="BS15" s="4">
        <v>374.53</v>
      </c>
      <c r="BT15" s="4">
        <v>2443.75</v>
      </c>
      <c r="BU15" s="4">
        <v>741.13</v>
      </c>
      <c r="BV15" s="4">
        <v>249.74</v>
      </c>
      <c r="BW15" s="4">
        <v>2459.25</v>
      </c>
      <c r="BX15" s="4">
        <v>859.18</v>
      </c>
      <c r="BY15" s="189">
        <v>343.09</v>
      </c>
      <c r="BZ15" s="4">
        <v>1169.26</v>
      </c>
      <c r="CA15" s="4">
        <v>644.29999999999995</v>
      </c>
      <c r="CB15" s="4">
        <v>0</v>
      </c>
      <c r="CC15" s="4">
        <v>986.04</v>
      </c>
      <c r="CD15" s="4">
        <v>196.96</v>
      </c>
      <c r="CE15" s="4">
        <v>0</v>
      </c>
      <c r="CF15" s="4">
        <v>5297.76</v>
      </c>
      <c r="CG15" s="4">
        <v>1166.9100000000001</v>
      </c>
      <c r="CH15" s="4">
        <v>0</v>
      </c>
      <c r="CI15" s="4">
        <v>95.04</v>
      </c>
      <c r="CJ15" s="4">
        <v>908.26</v>
      </c>
      <c r="CK15" s="4">
        <v>1709.9</v>
      </c>
      <c r="CL15" s="4">
        <v>0</v>
      </c>
      <c r="CM15" s="4">
        <v>1739.27</v>
      </c>
      <c r="CN15" s="4">
        <v>748.82</v>
      </c>
      <c r="CO15" s="4">
        <v>142.86000000000001</v>
      </c>
      <c r="CP15" s="4">
        <v>0</v>
      </c>
      <c r="CQ15" s="4">
        <v>315.72000000000003</v>
      </c>
      <c r="CR15" s="4"/>
      <c r="CS15" s="189">
        <v>678.29</v>
      </c>
      <c r="CT15" s="4">
        <v>1286.58</v>
      </c>
      <c r="CU15" s="4"/>
      <c r="CV15" s="4">
        <v>43.26</v>
      </c>
      <c r="CW15" s="4">
        <v>249.74</v>
      </c>
      <c r="CX15" s="4">
        <v>0</v>
      </c>
      <c r="CY15" s="4"/>
      <c r="CZ15" s="4">
        <v>231.38</v>
      </c>
      <c r="DA15" s="4">
        <v>569.01</v>
      </c>
      <c r="DB15" s="4">
        <v>1948.19</v>
      </c>
      <c r="DC15" s="4">
        <v>272.97000000000003</v>
      </c>
      <c r="DD15" s="4">
        <v>2398.54</v>
      </c>
      <c r="DE15" s="4">
        <v>400.04</v>
      </c>
      <c r="DF15" s="4">
        <v>4698.6499999999996</v>
      </c>
      <c r="DG15" s="4">
        <v>40.74</v>
      </c>
      <c r="DH15" s="4">
        <v>1275.9100000000001</v>
      </c>
      <c r="DI15" s="4">
        <v>889.43</v>
      </c>
      <c r="DJ15" s="4">
        <v>283.33999999999997</v>
      </c>
      <c r="DK15" s="4">
        <v>83.1</v>
      </c>
      <c r="DL15" s="4">
        <v>28.26</v>
      </c>
      <c r="DM15" s="4"/>
      <c r="DN15" s="189">
        <v>113.27</v>
      </c>
      <c r="DO15" s="4">
        <v>681.49</v>
      </c>
      <c r="DP15" s="4">
        <v>800.76</v>
      </c>
      <c r="DQ15" s="4">
        <v>1363.3</v>
      </c>
      <c r="DR15" s="4">
        <v>189.69</v>
      </c>
      <c r="DS15" s="4">
        <v>139.66</v>
      </c>
      <c r="DT15" s="4">
        <v>198.49</v>
      </c>
      <c r="DU15" s="4">
        <v>197.8</v>
      </c>
      <c r="DV15" s="4">
        <v>121.88</v>
      </c>
      <c r="DW15" s="4">
        <v>2009.35</v>
      </c>
      <c r="DX15" s="4">
        <v>2304.12</v>
      </c>
      <c r="DY15" s="4">
        <v>879.97</v>
      </c>
      <c r="DZ15" s="4">
        <v>166.28</v>
      </c>
      <c r="EA15" s="4">
        <v>0</v>
      </c>
      <c r="EB15" s="4">
        <v>398.59</v>
      </c>
      <c r="EC15" s="4">
        <v>815.81</v>
      </c>
      <c r="ED15" s="4">
        <v>1275.32</v>
      </c>
      <c r="EE15" s="4">
        <v>2079.2399999999998</v>
      </c>
      <c r="EF15" s="4">
        <v>290.26</v>
      </c>
      <c r="EG15" s="4">
        <v>9289.52</v>
      </c>
      <c r="EH15" s="4">
        <v>980.41</v>
      </c>
      <c r="EI15" s="4">
        <v>0</v>
      </c>
      <c r="EJ15" s="189">
        <v>555.34</v>
      </c>
      <c r="EK15" s="332">
        <v>0</v>
      </c>
      <c r="EL15" s="4">
        <v>85.69</v>
      </c>
      <c r="EM15" s="4">
        <v>0</v>
      </c>
      <c r="EN15" s="4">
        <v>230.82</v>
      </c>
      <c r="EO15" s="4">
        <v>0</v>
      </c>
      <c r="EP15" s="4">
        <v>0</v>
      </c>
      <c r="EQ15" s="4">
        <v>59.98</v>
      </c>
      <c r="ER15" s="4">
        <v>823.69</v>
      </c>
      <c r="ES15" s="4">
        <v>0</v>
      </c>
      <c r="ET15" s="4">
        <v>0</v>
      </c>
      <c r="EU15" s="4">
        <v>415.93</v>
      </c>
      <c r="EV15" s="4">
        <v>415.37</v>
      </c>
      <c r="EW15" s="4">
        <v>468.91</v>
      </c>
      <c r="EX15" s="4">
        <v>7885.91</v>
      </c>
      <c r="EY15" s="4">
        <v>4233.76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189">
        <v>0</v>
      </c>
      <c r="FF15" s="4">
        <v>0</v>
      </c>
      <c r="FG15" s="4">
        <v>0</v>
      </c>
      <c r="FH15" s="4">
        <v>0</v>
      </c>
      <c r="FI15" s="4">
        <v>0</v>
      </c>
      <c r="FJ15" s="79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f>'[1]10-7'!C19</f>
        <v>0</v>
      </c>
      <c r="FV15" s="4">
        <v>0</v>
      </c>
      <c r="FW15" s="4">
        <v>0</v>
      </c>
      <c r="FX15" s="4">
        <v>54.45</v>
      </c>
      <c r="FY15" s="4">
        <v>3266</v>
      </c>
      <c r="FZ15" s="189">
        <v>120.24</v>
      </c>
      <c r="GA15" s="4">
        <v>0</v>
      </c>
      <c r="GB15" s="4">
        <v>557.23</v>
      </c>
      <c r="GC15" s="4">
        <v>51.97</v>
      </c>
      <c r="GD15" s="4">
        <v>305.04000000000002</v>
      </c>
      <c r="GE15" s="4">
        <v>118.97</v>
      </c>
      <c r="GF15" s="4"/>
      <c r="GG15" s="4">
        <v>252.4</v>
      </c>
      <c r="GH15" s="4">
        <v>349.62</v>
      </c>
      <c r="GI15" s="4">
        <v>0</v>
      </c>
      <c r="GJ15" s="4">
        <v>1201.99</v>
      </c>
      <c r="GK15" s="4">
        <v>0</v>
      </c>
      <c r="GL15" s="4">
        <v>167.39</v>
      </c>
      <c r="GM15" s="4">
        <v>957.8</v>
      </c>
      <c r="GN15" s="4">
        <v>1770.79</v>
      </c>
      <c r="GO15" s="4">
        <v>207.19</v>
      </c>
      <c r="GP15" s="4">
        <v>114.53</v>
      </c>
      <c r="GQ15" s="4">
        <v>577.07000000000005</v>
      </c>
      <c r="GR15" s="4">
        <v>0</v>
      </c>
      <c r="GS15" s="4"/>
      <c r="GT15" s="189">
        <v>0</v>
      </c>
      <c r="GU15" s="4">
        <v>0</v>
      </c>
      <c r="GV15" s="4">
        <v>0</v>
      </c>
      <c r="GW15" s="4">
        <v>0</v>
      </c>
      <c r="GX15" s="4">
        <v>0</v>
      </c>
      <c r="GY15" s="4">
        <v>46.35</v>
      </c>
      <c r="GZ15" s="4">
        <v>0</v>
      </c>
      <c r="HA15" s="4">
        <v>0</v>
      </c>
      <c r="HB15" s="4">
        <v>1210.6099999999999</v>
      </c>
      <c r="HC15" s="4">
        <v>1295.3699999999999</v>
      </c>
      <c r="HD15" s="4">
        <v>0</v>
      </c>
      <c r="HE15" s="4">
        <v>2935.86</v>
      </c>
      <c r="HF15" s="4">
        <v>1851.27</v>
      </c>
      <c r="HG15" s="4">
        <v>29.04</v>
      </c>
      <c r="HH15" s="4">
        <v>502.79</v>
      </c>
      <c r="HI15" s="4">
        <v>2034.63</v>
      </c>
      <c r="HJ15" s="4">
        <v>154.44</v>
      </c>
      <c r="HK15" s="4">
        <v>172.18</v>
      </c>
      <c r="HL15" s="4">
        <v>200.55</v>
      </c>
      <c r="HM15" s="4">
        <v>124.48</v>
      </c>
      <c r="HN15" s="4">
        <v>0</v>
      </c>
      <c r="HO15" s="189">
        <v>0</v>
      </c>
      <c r="HP15" s="4">
        <v>213</v>
      </c>
      <c r="HQ15" s="4">
        <v>0</v>
      </c>
      <c r="HR15" s="4">
        <v>0</v>
      </c>
      <c r="HS15" s="4">
        <v>0</v>
      </c>
      <c r="HT15" s="4">
        <v>382.22</v>
      </c>
      <c r="HU15" s="4">
        <v>1089.29</v>
      </c>
      <c r="HV15" s="4">
        <v>242.22</v>
      </c>
      <c r="HW15" s="4">
        <v>0</v>
      </c>
      <c r="HX15" s="4">
        <v>0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189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109.33</v>
      </c>
      <c r="IQ15" s="4">
        <v>303.57</v>
      </c>
      <c r="IR15" s="4">
        <v>253.96</v>
      </c>
      <c r="IS15" s="4">
        <v>0</v>
      </c>
      <c r="IT15" s="200"/>
      <c r="IU15" s="4">
        <f t="shared" si="8"/>
        <v>208638.26999999996</v>
      </c>
    </row>
    <row r="16" spans="1:255" s="376" customFormat="1" ht="14.1" customHeight="1" thickBot="1">
      <c r="A16" s="87" t="s">
        <v>82</v>
      </c>
      <c r="B16" s="343"/>
      <c r="C16" s="87"/>
      <c r="D16" s="87">
        <v>25193.63</v>
      </c>
      <c r="E16" s="87">
        <v>447.9</v>
      </c>
      <c r="F16" s="87"/>
      <c r="G16" s="87">
        <v>65380.79</v>
      </c>
      <c r="H16" s="87">
        <v>846.65</v>
      </c>
      <c r="I16" s="87"/>
      <c r="J16" s="87"/>
      <c r="K16" s="87"/>
      <c r="L16" s="87">
        <v>122373.05</v>
      </c>
      <c r="M16" s="344">
        <v>308724.53999999998</v>
      </c>
      <c r="N16" s="87"/>
      <c r="O16" s="87">
        <v>4962.29</v>
      </c>
      <c r="P16" s="87"/>
      <c r="Q16" s="87">
        <v>5698884.9199999999</v>
      </c>
      <c r="R16" s="87">
        <v>82670</v>
      </c>
      <c r="S16" s="87">
        <v>2494278.75</v>
      </c>
      <c r="T16" s="87">
        <v>271575.07</v>
      </c>
      <c r="U16" s="87"/>
      <c r="V16" s="89"/>
      <c r="W16" s="89">
        <v>245502.95</v>
      </c>
      <c r="X16" s="87">
        <v>125071.18</v>
      </c>
      <c r="Y16" s="87">
        <v>47745.38</v>
      </c>
      <c r="Z16" s="87">
        <v>1047643.66</v>
      </c>
      <c r="AA16" s="87"/>
      <c r="AB16" s="87">
        <v>10912045.189999999</v>
      </c>
      <c r="AC16" s="87">
        <v>3698974.55</v>
      </c>
      <c r="AD16" s="89"/>
      <c r="AE16" s="87">
        <v>356455.15</v>
      </c>
      <c r="AF16" s="344">
        <v>196172.51</v>
      </c>
      <c r="AG16" s="87">
        <v>973997.33</v>
      </c>
      <c r="AH16" s="87"/>
      <c r="AI16" s="87">
        <v>920892.52</v>
      </c>
      <c r="AJ16" s="87"/>
      <c r="AK16" s="87">
        <v>7367712</v>
      </c>
      <c r="AL16" s="87">
        <v>0</v>
      </c>
      <c r="AM16" s="87">
        <v>568265</v>
      </c>
      <c r="AN16" s="87">
        <v>6114858</v>
      </c>
      <c r="AO16" s="87">
        <v>360133.04</v>
      </c>
      <c r="AP16" s="87">
        <v>0</v>
      </c>
      <c r="AQ16" s="87">
        <v>16611.57</v>
      </c>
      <c r="AR16" s="87">
        <v>206534.69</v>
      </c>
      <c r="AS16" s="87">
        <v>31192.560000000001</v>
      </c>
      <c r="AT16" s="87"/>
      <c r="AU16" s="87">
        <v>1360904.41</v>
      </c>
      <c r="AV16" s="87">
        <v>168265.8</v>
      </c>
      <c r="AW16" s="87">
        <v>3975292.88</v>
      </c>
      <c r="AX16" s="87">
        <v>155888.14000000001</v>
      </c>
      <c r="AY16" s="87"/>
      <c r="AZ16" s="87">
        <v>171825.34</v>
      </c>
      <c r="BA16" s="87">
        <v>1349823.95</v>
      </c>
      <c r="BB16" s="87">
        <v>6228242.5099999998</v>
      </c>
      <c r="BC16" s="344">
        <v>28486.080000000002</v>
      </c>
      <c r="BD16" s="87"/>
      <c r="BE16" s="87"/>
      <c r="BF16" s="87">
        <v>0</v>
      </c>
      <c r="BG16" s="87">
        <v>0</v>
      </c>
      <c r="BH16" s="87">
        <v>6307634.2199999997</v>
      </c>
      <c r="BI16" s="87">
        <v>72423.72</v>
      </c>
      <c r="BJ16" s="87"/>
      <c r="BK16" s="87">
        <v>4611489</v>
      </c>
      <c r="BL16" s="87">
        <v>3150</v>
      </c>
      <c r="BM16" s="87"/>
      <c r="BN16" s="87">
        <v>1911.51</v>
      </c>
      <c r="BO16" s="87">
        <v>0</v>
      </c>
      <c r="BP16" s="87">
        <v>6256.61</v>
      </c>
      <c r="BQ16" s="87">
        <v>1383291.18</v>
      </c>
      <c r="BR16" s="87">
        <v>7238360.0599999996</v>
      </c>
      <c r="BS16" s="87">
        <v>18108.41</v>
      </c>
      <c r="BT16" s="87">
        <v>396387.13</v>
      </c>
      <c r="BU16" s="87">
        <v>6634.27</v>
      </c>
      <c r="BV16" s="87">
        <v>156352.12</v>
      </c>
      <c r="BW16" s="87">
        <v>0</v>
      </c>
      <c r="BX16" s="87">
        <v>0</v>
      </c>
      <c r="BY16" s="344">
        <v>122982.64</v>
      </c>
      <c r="BZ16" s="87">
        <v>35165.800000000003</v>
      </c>
      <c r="CA16" s="87">
        <v>36200.32</v>
      </c>
      <c r="CB16" s="87">
        <v>0</v>
      </c>
      <c r="CC16" s="87">
        <v>31171.73</v>
      </c>
      <c r="CD16" s="87">
        <v>8762128.7200000007</v>
      </c>
      <c r="CE16" s="87">
        <v>3902712.3</v>
      </c>
      <c r="CF16" s="87">
        <v>3251320.96</v>
      </c>
      <c r="CG16" s="87">
        <v>291013.59999999998</v>
      </c>
      <c r="CH16" s="87">
        <v>198</v>
      </c>
      <c r="CI16" s="87">
        <v>214011.37</v>
      </c>
      <c r="CJ16" s="87"/>
      <c r="CK16" s="87"/>
      <c r="CL16" s="87"/>
      <c r="CM16" s="87">
        <v>1696451.37</v>
      </c>
      <c r="CN16" s="87">
        <v>324808.26</v>
      </c>
      <c r="CO16" s="87">
        <v>6027.73</v>
      </c>
      <c r="CP16" s="87">
        <v>6903.76</v>
      </c>
      <c r="CQ16" s="87">
        <v>562865.88</v>
      </c>
      <c r="CR16" s="87">
        <v>7731821.8099999996</v>
      </c>
      <c r="CS16" s="344">
        <v>713105.82</v>
      </c>
      <c r="CT16" s="87">
        <v>1115225.19</v>
      </c>
      <c r="CU16" s="87">
        <v>2719033.55</v>
      </c>
      <c r="CV16" s="87">
        <v>0</v>
      </c>
      <c r="CW16" s="87">
        <v>7333210.9800000004</v>
      </c>
      <c r="CX16" s="87">
        <v>489383.27</v>
      </c>
      <c r="CY16" s="87"/>
      <c r="CZ16" s="87"/>
      <c r="DA16" s="87">
        <v>6828021.71</v>
      </c>
      <c r="DB16" s="87">
        <v>3469848.09</v>
      </c>
      <c r="DC16" s="87">
        <v>0</v>
      </c>
      <c r="DD16" s="87">
        <v>0</v>
      </c>
      <c r="DE16" s="87">
        <v>35000</v>
      </c>
      <c r="DF16" s="87">
        <v>5000</v>
      </c>
      <c r="DG16" s="87">
        <f>10243805.51+213963.82</f>
        <v>10457769.33</v>
      </c>
      <c r="DH16" s="87">
        <v>806160</v>
      </c>
      <c r="DI16" s="87">
        <v>0</v>
      </c>
      <c r="DJ16" s="87"/>
      <c r="DK16" s="87">
        <v>148629.92000000001</v>
      </c>
      <c r="DL16" s="87">
        <v>0</v>
      </c>
      <c r="DM16" s="87"/>
      <c r="DN16" s="344">
        <v>0</v>
      </c>
      <c r="DO16" s="87">
        <v>0</v>
      </c>
      <c r="DP16" s="87">
        <v>0</v>
      </c>
      <c r="DQ16" s="87">
        <v>256858.57</v>
      </c>
      <c r="DR16" s="87">
        <v>5984.61</v>
      </c>
      <c r="DS16" s="87"/>
      <c r="DT16" s="87"/>
      <c r="DU16" s="87"/>
      <c r="DV16" s="87">
        <v>3676803.56</v>
      </c>
      <c r="DW16" s="87">
        <v>9553916.4600000009</v>
      </c>
      <c r="DX16" s="87">
        <v>0</v>
      </c>
      <c r="DY16" s="87">
        <v>0</v>
      </c>
      <c r="DZ16" s="87">
        <v>4743.45</v>
      </c>
      <c r="EA16" s="87">
        <v>75291.88</v>
      </c>
      <c r="EB16" s="87">
        <v>4060807.05</v>
      </c>
      <c r="EC16" s="87">
        <v>4635.38</v>
      </c>
      <c r="ED16" s="87">
        <v>1724425.54</v>
      </c>
      <c r="EE16" s="87">
        <v>170328.69</v>
      </c>
      <c r="EF16" s="87">
        <v>0</v>
      </c>
      <c r="EG16" s="87">
        <v>163003.38</v>
      </c>
      <c r="EH16" s="87">
        <v>0</v>
      </c>
      <c r="EI16" s="87">
        <v>841272.02</v>
      </c>
      <c r="EJ16" s="344">
        <v>123553.16</v>
      </c>
      <c r="EK16" s="368">
        <v>9623059.8800000008</v>
      </c>
      <c r="EL16" s="87">
        <v>13730957.380000001</v>
      </c>
      <c r="EM16" s="87">
        <v>1559925.31</v>
      </c>
      <c r="EN16" s="87">
        <v>0</v>
      </c>
      <c r="EO16" s="87">
        <v>0</v>
      </c>
      <c r="EP16" s="87">
        <v>41339.58</v>
      </c>
      <c r="EQ16" s="355">
        <f>66633052</f>
        <v>66633052</v>
      </c>
      <c r="ER16" s="87">
        <v>3003.15</v>
      </c>
      <c r="ES16" s="87">
        <v>111759.18</v>
      </c>
      <c r="ET16" s="87">
        <v>0</v>
      </c>
      <c r="EU16" s="87">
        <v>224015.94</v>
      </c>
      <c r="EV16" s="87">
        <v>0</v>
      </c>
      <c r="EW16" s="87">
        <v>0</v>
      </c>
      <c r="EX16" s="87">
        <v>0</v>
      </c>
      <c r="EY16" s="87">
        <v>706730.18</v>
      </c>
      <c r="EZ16" s="87">
        <v>2591.6</v>
      </c>
      <c r="FA16" s="87">
        <v>0</v>
      </c>
      <c r="FB16" s="87">
        <v>152278.35</v>
      </c>
      <c r="FC16" s="87">
        <v>0</v>
      </c>
      <c r="FD16" s="87">
        <v>11589.6</v>
      </c>
      <c r="FE16" s="344">
        <v>0</v>
      </c>
      <c r="FF16" s="87">
        <v>0</v>
      </c>
      <c r="FG16" s="87">
        <v>0</v>
      </c>
      <c r="FH16" s="87">
        <v>13103811.880000001</v>
      </c>
      <c r="FI16" s="87">
        <v>0</v>
      </c>
      <c r="FJ16" s="369">
        <v>0</v>
      </c>
      <c r="FK16" s="87">
        <v>347616.38</v>
      </c>
      <c r="FL16" s="87">
        <v>2519245.85</v>
      </c>
      <c r="FM16" s="355">
        <v>109117874</v>
      </c>
      <c r="FN16" s="87">
        <v>1194970.58</v>
      </c>
      <c r="FO16" s="87">
        <v>225970.76</v>
      </c>
      <c r="FP16" s="87">
        <v>827.95</v>
      </c>
      <c r="FQ16" s="87">
        <v>83320.17</v>
      </c>
      <c r="FR16" s="87">
        <v>36597.21</v>
      </c>
      <c r="FS16" s="87">
        <v>0</v>
      </c>
      <c r="FT16" s="87">
        <v>967858.48</v>
      </c>
      <c r="FU16" s="87">
        <f>'[1]10-7'!C20</f>
        <v>25628.32</v>
      </c>
      <c r="FV16" s="87">
        <v>0</v>
      </c>
      <c r="FW16" s="87">
        <v>0</v>
      </c>
      <c r="FX16" s="87">
        <v>173704.72</v>
      </c>
      <c r="FY16" s="87">
        <v>291048.61000000004</v>
      </c>
      <c r="FZ16" s="344">
        <v>0</v>
      </c>
      <c r="GA16" s="87">
        <v>100271.48</v>
      </c>
      <c r="GB16" s="87">
        <v>2470321.25</v>
      </c>
      <c r="GC16" s="87">
        <v>657098.94999999995</v>
      </c>
      <c r="GD16" s="87">
        <v>0</v>
      </c>
      <c r="GE16" s="87">
        <v>193954.46</v>
      </c>
      <c r="GF16" s="87">
        <v>1281941.2</v>
      </c>
      <c r="GG16" s="355">
        <v>84285041</v>
      </c>
      <c r="GH16" s="87">
        <v>0</v>
      </c>
      <c r="GI16" s="87">
        <v>13914834.99</v>
      </c>
      <c r="GJ16" s="87">
        <v>213545.48</v>
      </c>
      <c r="GK16" s="87">
        <v>0</v>
      </c>
      <c r="GL16" s="87">
        <v>12734.15</v>
      </c>
      <c r="GM16" s="87">
        <v>352557.37</v>
      </c>
      <c r="GN16" s="87">
        <v>283329.27</v>
      </c>
      <c r="GO16" s="87">
        <v>4337022.6900000004</v>
      </c>
      <c r="GP16" s="87">
        <v>32575.73</v>
      </c>
      <c r="GQ16" s="87">
        <v>0</v>
      </c>
      <c r="GR16" s="87">
        <v>0</v>
      </c>
      <c r="GS16" s="87"/>
      <c r="GT16" s="344">
        <v>136357.21</v>
      </c>
      <c r="GU16" s="87">
        <v>11969.72</v>
      </c>
      <c r="GV16" s="87">
        <v>6770.7</v>
      </c>
      <c r="GW16" s="87">
        <v>436289.65</v>
      </c>
      <c r="GX16" s="87">
        <v>684751.78</v>
      </c>
      <c r="GY16" s="87">
        <v>0</v>
      </c>
      <c r="GZ16" s="87">
        <v>135302.39999999999</v>
      </c>
      <c r="HA16" s="87">
        <v>432759.92</v>
      </c>
      <c r="HB16" s="87">
        <v>167443</v>
      </c>
      <c r="HC16" s="87">
        <v>8206361.5300000003</v>
      </c>
      <c r="HD16" s="87">
        <v>6054664.5499999998</v>
      </c>
      <c r="HE16" s="87">
        <v>0</v>
      </c>
      <c r="HF16" s="87">
        <v>71954.75</v>
      </c>
      <c r="HG16" s="87">
        <v>133630.26</v>
      </c>
      <c r="HH16" s="87">
        <v>2824784.63</v>
      </c>
      <c r="HI16" s="87">
        <v>18611.75</v>
      </c>
      <c r="HJ16" s="87">
        <v>144047.6</v>
      </c>
      <c r="HK16" s="87">
        <v>9445128.0399999991</v>
      </c>
      <c r="HL16" s="87">
        <v>0</v>
      </c>
      <c r="HM16" s="87">
        <v>0</v>
      </c>
      <c r="HN16" s="87">
        <v>10369.969999999999</v>
      </c>
      <c r="HO16" s="344">
        <v>182902.27</v>
      </c>
      <c r="HP16" s="87">
        <v>0</v>
      </c>
      <c r="HQ16" s="87">
        <v>0</v>
      </c>
      <c r="HR16" s="87">
        <v>1796890.39</v>
      </c>
      <c r="HS16" s="87">
        <v>7522248.3300000001</v>
      </c>
      <c r="HT16" s="87">
        <v>12675757.49</v>
      </c>
      <c r="HU16" s="87">
        <v>11622.89</v>
      </c>
      <c r="HV16" s="87">
        <v>766297.28</v>
      </c>
      <c r="HW16" s="87">
        <v>837215</v>
      </c>
      <c r="HX16" s="87"/>
      <c r="HY16" s="87"/>
      <c r="HZ16" s="87">
        <v>8300.02</v>
      </c>
      <c r="IA16" s="87">
        <v>14142.31</v>
      </c>
      <c r="IB16" s="87">
        <v>22595.21</v>
      </c>
      <c r="IC16" s="87"/>
      <c r="ID16" s="87"/>
      <c r="IE16" s="87">
        <v>24994.720000000001</v>
      </c>
      <c r="IF16" s="87">
        <v>0</v>
      </c>
      <c r="IG16" s="87">
        <v>11362.51</v>
      </c>
      <c r="IH16" s="87"/>
      <c r="II16" s="87">
        <v>1047520.24</v>
      </c>
      <c r="IJ16" s="344">
        <f>8245333.19-1284.87</f>
        <v>8244048.3200000003</v>
      </c>
      <c r="IK16" s="87">
        <v>0</v>
      </c>
      <c r="IL16" s="87">
        <v>515375.32</v>
      </c>
      <c r="IM16" s="87">
        <v>0</v>
      </c>
      <c r="IN16" s="87">
        <v>0</v>
      </c>
      <c r="IO16" s="87">
        <v>0</v>
      </c>
      <c r="IP16" s="87">
        <v>5464925.8899999997</v>
      </c>
      <c r="IQ16" s="87"/>
      <c r="IR16" s="87">
        <v>0</v>
      </c>
      <c r="IS16" s="87">
        <v>0</v>
      </c>
      <c r="IT16" s="375"/>
      <c r="IU16" s="87">
        <f t="shared" si="8"/>
        <v>554755068.79999983</v>
      </c>
    </row>
    <row r="17" spans="1:255" s="38" customFormat="1" ht="14.1" customHeight="1">
      <c r="A17" s="32" t="s">
        <v>30</v>
      </c>
      <c r="B17" s="32"/>
      <c r="C17" s="155"/>
      <c r="D17" s="32"/>
      <c r="E17" s="32"/>
      <c r="F17" s="32"/>
      <c r="G17" s="32"/>
      <c r="H17" s="32"/>
      <c r="I17" s="32"/>
      <c r="J17" s="32"/>
      <c r="K17" s="32"/>
      <c r="L17" s="32"/>
      <c r="M17" s="123"/>
      <c r="N17" s="32"/>
      <c r="O17" s="32"/>
      <c r="P17" s="32"/>
      <c r="Q17" s="32"/>
      <c r="R17" s="32"/>
      <c r="S17" s="32">
        <v>407984.25</v>
      </c>
      <c r="T17" s="35">
        <f>3124.17+1660.36</f>
        <v>4784.53</v>
      </c>
      <c r="U17" s="32"/>
      <c r="V17" s="32"/>
      <c r="W17" s="32">
        <v>38675.15</v>
      </c>
      <c r="X17" s="32"/>
      <c r="Y17" s="32">
        <v>50.87</v>
      </c>
      <c r="Z17" s="32"/>
      <c r="AA17" s="32"/>
      <c r="AB17" s="32">
        <v>2869.49</v>
      </c>
      <c r="AC17" s="35">
        <v>695</v>
      </c>
      <c r="AD17" s="32">
        <f>917.34+54685.96+601.92</f>
        <v>56205.219999999994</v>
      </c>
      <c r="AE17" s="32"/>
      <c r="AF17" s="123"/>
      <c r="AG17" s="32">
        <v>4808.49</v>
      </c>
      <c r="AH17" s="32"/>
      <c r="AI17" s="32">
        <v>11738.36</v>
      </c>
      <c r="AJ17" s="32"/>
      <c r="AK17" s="32"/>
      <c r="AL17" s="32"/>
      <c r="AM17" s="32"/>
      <c r="AN17" s="35">
        <v>516549.19</v>
      </c>
      <c r="AO17" s="32">
        <v>1661</v>
      </c>
      <c r="AP17" s="32">
        <v>566.58000000000004</v>
      </c>
      <c r="AQ17" s="32"/>
      <c r="AR17" s="32">
        <v>1815.24</v>
      </c>
      <c r="AS17" s="32">
        <v>12594.9</v>
      </c>
      <c r="AT17" s="32">
        <v>1768</v>
      </c>
      <c r="AU17" s="32">
        <v>399</v>
      </c>
      <c r="AV17" s="32">
        <v>375</v>
      </c>
      <c r="AW17" s="32"/>
      <c r="AX17" s="32">
        <f>125+367.96+23717</f>
        <v>24209.96</v>
      </c>
      <c r="AY17" s="32"/>
      <c r="AZ17" s="32">
        <f>103.57+360</f>
        <v>463.57</v>
      </c>
      <c r="BA17" s="32">
        <v>398.39</v>
      </c>
      <c r="BB17" s="32">
        <v>2010</v>
      </c>
      <c r="BC17" s="123">
        <f>1646+1126.29+1317.27+3417.16</f>
        <v>7506.7199999999993</v>
      </c>
      <c r="BD17" s="32">
        <v>95</v>
      </c>
      <c r="BE17" s="32">
        <v>11824.27</v>
      </c>
      <c r="BF17" s="32">
        <v>1151.48</v>
      </c>
      <c r="BG17" s="32">
        <f>11186.6+381.42+425</f>
        <v>11993.02</v>
      </c>
      <c r="BH17" s="32">
        <f>3540+510192.35</f>
        <v>513732.35</v>
      </c>
      <c r="BI17" s="32">
        <v>3461.45</v>
      </c>
      <c r="BJ17" s="32">
        <v>450</v>
      </c>
      <c r="BK17" s="35">
        <v>197.95</v>
      </c>
      <c r="BL17" s="32">
        <v>1680</v>
      </c>
      <c r="BM17" s="32"/>
      <c r="BN17" s="32">
        <v>950.05</v>
      </c>
      <c r="BO17" s="32"/>
      <c r="BP17" s="32"/>
      <c r="BQ17" s="32">
        <v>104.5</v>
      </c>
      <c r="BR17" s="32"/>
      <c r="BS17" s="32">
        <f>1144.78+8689+2838.95+95</f>
        <v>12767.73</v>
      </c>
      <c r="BT17" s="32">
        <v>670</v>
      </c>
      <c r="BU17" s="32">
        <v>741.68</v>
      </c>
      <c r="BV17" s="32">
        <v>1099.25</v>
      </c>
      <c r="BW17" s="32"/>
      <c r="BX17" s="32">
        <f>900+867030.9</f>
        <v>867930.9</v>
      </c>
      <c r="BY17" s="123">
        <f>1005+1589.95</f>
        <v>2594.9499999999998</v>
      </c>
      <c r="BZ17" s="32">
        <v>450</v>
      </c>
      <c r="CA17" s="32"/>
      <c r="CB17" s="32"/>
      <c r="CC17" s="32">
        <v>3799.8</v>
      </c>
      <c r="CD17" s="32"/>
      <c r="CE17" s="35">
        <v>25377.65</v>
      </c>
      <c r="CF17" s="35">
        <v>575</v>
      </c>
      <c r="CG17" s="35">
        <v>1694.74</v>
      </c>
      <c r="CH17" s="32"/>
      <c r="CI17" s="32"/>
      <c r="CJ17" s="32"/>
      <c r="CK17" s="32">
        <v>532.95000000000005</v>
      </c>
      <c r="CL17" s="32">
        <v>44.06</v>
      </c>
      <c r="CM17" s="32"/>
      <c r="CN17" s="32"/>
      <c r="CO17" s="32">
        <v>77.97</v>
      </c>
      <c r="CP17" s="32">
        <f>790+2838.95+1888.3</f>
        <v>5517.25</v>
      </c>
      <c r="CQ17" s="32">
        <f>170+903753.71+275.92</f>
        <v>904199.63</v>
      </c>
      <c r="CR17" s="32">
        <v>1086.5</v>
      </c>
      <c r="CS17" s="123">
        <v>240.05</v>
      </c>
      <c r="CT17" s="32">
        <v>1811</v>
      </c>
      <c r="CU17" s="32">
        <v>0</v>
      </c>
      <c r="CV17" s="32">
        <v>148.22</v>
      </c>
      <c r="CW17" s="32">
        <v>76.45</v>
      </c>
      <c r="CX17" s="32"/>
      <c r="CY17" s="32">
        <v>870.15</v>
      </c>
      <c r="CZ17" s="32">
        <f>523.5+314.18</f>
        <v>837.68000000000006</v>
      </c>
      <c r="DA17" s="35">
        <f>275.92</f>
        <v>275.92</v>
      </c>
      <c r="DB17" s="32">
        <v>522.54999999999995</v>
      </c>
      <c r="DC17" s="32">
        <v>159</v>
      </c>
      <c r="DD17" s="32">
        <v>6525.17</v>
      </c>
      <c r="DE17" s="32">
        <v>12</v>
      </c>
      <c r="DF17" s="32">
        <v>71.5</v>
      </c>
      <c r="DG17" s="32"/>
      <c r="DH17" s="32"/>
      <c r="DI17" s="32"/>
      <c r="DJ17" s="32"/>
      <c r="DK17" s="32"/>
      <c r="DL17" s="32"/>
      <c r="DM17" s="32">
        <v>866.82</v>
      </c>
      <c r="DN17" s="123">
        <f>29.97+689</f>
        <v>718.97</v>
      </c>
      <c r="DO17" s="32">
        <v>874.76</v>
      </c>
      <c r="DP17" s="32"/>
      <c r="DQ17" s="32">
        <v>133.9</v>
      </c>
      <c r="DR17" s="32">
        <v>48.7</v>
      </c>
      <c r="DS17" s="32">
        <v>135.85</v>
      </c>
      <c r="DT17" s="32">
        <v>0.8</v>
      </c>
      <c r="DU17" s="32">
        <f>3941.08+188.17</f>
        <v>4129.25</v>
      </c>
      <c r="DV17" s="35"/>
      <c r="DW17" s="32"/>
      <c r="DX17" s="32">
        <v>93.54</v>
      </c>
      <c r="DY17" s="32"/>
      <c r="DZ17" s="32"/>
      <c r="EA17" s="32">
        <v>14452.79</v>
      </c>
      <c r="EB17" s="32">
        <v>1472991.93</v>
      </c>
      <c r="EC17" s="32"/>
      <c r="ED17" s="32">
        <v>3725.82</v>
      </c>
      <c r="EE17" s="32">
        <v>66</v>
      </c>
      <c r="EF17" s="32">
        <v>463.17</v>
      </c>
      <c r="EG17" s="33"/>
      <c r="EH17" s="32"/>
      <c r="EI17" s="32">
        <f>7070822.76+105.69</f>
        <v>7070928.4500000002</v>
      </c>
      <c r="EJ17" s="123"/>
      <c r="EK17" s="333"/>
      <c r="EL17" s="32"/>
      <c r="EM17" s="32"/>
      <c r="EN17" s="32">
        <v>998.7</v>
      </c>
      <c r="EO17" s="32">
        <v>104.6</v>
      </c>
      <c r="EP17" s="32"/>
      <c r="EQ17" s="35"/>
      <c r="ER17" s="32">
        <v>3687.31</v>
      </c>
      <c r="ES17" s="32">
        <v>2095.58</v>
      </c>
      <c r="ET17" s="32">
        <v>50198.43</v>
      </c>
      <c r="EU17" s="32">
        <v>14777.12</v>
      </c>
      <c r="EV17" s="32">
        <f>780802.55+1345.39</f>
        <v>782147.94000000006</v>
      </c>
      <c r="EW17" s="32">
        <v>703.5</v>
      </c>
      <c r="EX17" s="32">
        <v>815</v>
      </c>
      <c r="EY17" s="32">
        <v>176</v>
      </c>
      <c r="EZ17" s="32">
        <v>145</v>
      </c>
      <c r="FA17" s="32">
        <v>224</v>
      </c>
      <c r="FB17" s="35">
        <v>685.7</v>
      </c>
      <c r="FC17" s="32">
        <v>17.36</v>
      </c>
      <c r="FD17" s="32">
        <v>23494</v>
      </c>
      <c r="FE17" s="123">
        <v>490</v>
      </c>
      <c r="FF17" s="32"/>
      <c r="FG17" s="32">
        <f>169+66.4</f>
        <v>235.4</v>
      </c>
      <c r="FH17" s="32">
        <v>85</v>
      </c>
      <c r="FI17" s="32">
        <v>80073.8</v>
      </c>
      <c r="FJ17" s="79">
        <v>144</v>
      </c>
      <c r="FK17" s="32">
        <f>572+652.21</f>
        <v>1224.21</v>
      </c>
      <c r="FL17" s="32">
        <v>4295.46</v>
      </c>
      <c r="FM17" s="35">
        <v>143.91</v>
      </c>
      <c r="FN17" s="32">
        <f>2771.45+147018.35</f>
        <v>149789.80000000002</v>
      </c>
      <c r="FO17" s="32"/>
      <c r="FP17" s="32"/>
      <c r="FQ17" s="32">
        <v>107.8</v>
      </c>
      <c r="FR17" s="32"/>
      <c r="FS17" s="32">
        <v>3936.65</v>
      </c>
      <c r="FT17" s="32"/>
      <c r="FU17" s="32"/>
      <c r="FV17" s="32">
        <v>455.73</v>
      </c>
      <c r="FW17" s="32"/>
      <c r="FX17" s="32">
        <v>139883.5</v>
      </c>
      <c r="FY17" s="32">
        <v>107.8</v>
      </c>
      <c r="FZ17" s="123"/>
      <c r="GA17" s="32"/>
      <c r="GB17" s="32">
        <v>621.29999999999995</v>
      </c>
      <c r="GC17" s="32">
        <v>4740.5</v>
      </c>
      <c r="GD17" s="32">
        <v>24.5</v>
      </c>
      <c r="GE17" s="32">
        <v>12954.24</v>
      </c>
      <c r="GF17" s="32">
        <v>1192</v>
      </c>
      <c r="GG17" s="32">
        <v>574</v>
      </c>
      <c r="GH17" s="35"/>
      <c r="GI17" s="32">
        <v>1080032.8899999999</v>
      </c>
      <c r="GJ17" s="32">
        <v>10626</v>
      </c>
      <c r="GK17" s="32"/>
      <c r="GL17" s="32"/>
      <c r="GM17" s="32">
        <v>83.05</v>
      </c>
      <c r="GN17" s="32">
        <v>4421</v>
      </c>
      <c r="GO17" s="32">
        <v>320</v>
      </c>
      <c r="GP17" s="32">
        <f>240+342.16</f>
        <v>582.16000000000008</v>
      </c>
      <c r="GQ17" s="32">
        <v>380.42</v>
      </c>
      <c r="GR17" s="32">
        <f>160532+83.05+31.19</f>
        <v>160646.24</v>
      </c>
      <c r="GS17" s="32">
        <f>97.35+1296.45</f>
        <v>1393.8</v>
      </c>
      <c r="GT17" s="123">
        <v>789.9</v>
      </c>
      <c r="GU17" s="32">
        <v>44.55</v>
      </c>
      <c r="GV17" s="32"/>
      <c r="GW17" s="32">
        <v>499</v>
      </c>
      <c r="GX17" s="32"/>
      <c r="GY17" s="32"/>
      <c r="GZ17" s="32">
        <f>189+484598.51</f>
        <v>484787.51</v>
      </c>
      <c r="HA17" s="32">
        <v>80.849999999999994</v>
      </c>
      <c r="HB17" s="32"/>
      <c r="HC17" s="32"/>
      <c r="HD17" s="32"/>
      <c r="HE17" s="32"/>
      <c r="HF17" s="32">
        <v>70</v>
      </c>
      <c r="HG17" s="32">
        <v>1156.3599999999999</v>
      </c>
      <c r="HH17" s="32">
        <v>60</v>
      </c>
      <c r="HI17" s="32">
        <v>280</v>
      </c>
      <c r="HJ17" s="32">
        <f>163380+1418.31</f>
        <v>164798.31</v>
      </c>
      <c r="HK17" s="32">
        <v>4043.75</v>
      </c>
      <c r="HL17" s="32">
        <v>64.900000000000006</v>
      </c>
      <c r="HM17" s="32"/>
      <c r="HN17" s="32">
        <v>234.49</v>
      </c>
      <c r="HO17" s="123">
        <v>1220.6099999999999</v>
      </c>
      <c r="HP17" s="32">
        <v>643.45000000000005</v>
      </c>
      <c r="HQ17" s="32"/>
      <c r="HR17" s="32">
        <v>6567.46</v>
      </c>
      <c r="HS17" s="32">
        <v>1696.6</v>
      </c>
      <c r="HT17" s="32">
        <v>237.6</v>
      </c>
      <c r="HU17" s="32">
        <v>458.7</v>
      </c>
      <c r="HV17" s="32"/>
      <c r="HW17" s="32"/>
      <c r="HX17" s="32"/>
      <c r="HY17" s="32"/>
      <c r="HZ17" s="32"/>
      <c r="IA17" s="32"/>
      <c r="IB17" s="32"/>
      <c r="IC17" s="32">
        <v>155.59</v>
      </c>
      <c r="ID17" s="32">
        <f>535+2300+360</f>
        <v>3195</v>
      </c>
      <c r="IE17" s="32">
        <v>476.79</v>
      </c>
      <c r="IF17" s="32">
        <v>378</v>
      </c>
      <c r="IG17" s="32"/>
      <c r="IH17" s="32">
        <v>507.4</v>
      </c>
      <c r="II17" s="32">
        <f>225+66801.12+5500</f>
        <v>72526.12</v>
      </c>
      <c r="IJ17" s="123">
        <f>70+700.4</f>
        <v>770.4</v>
      </c>
      <c r="IK17" s="32">
        <v>269.2</v>
      </c>
      <c r="IL17" s="32"/>
      <c r="IM17" s="32"/>
      <c r="IN17" s="32">
        <f>299.21+155.1</f>
        <v>454.30999999999995</v>
      </c>
      <c r="IO17" s="32"/>
      <c r="IP17" s="32">
        <f>280+1716.47</f>
        <v>1996.47</v>
      </c>
      <c r="IQ17" s="32">
        <v>500</v>
      </c>
      <c r="IR17" s="32"/>
      <c r="IS17" s="32"/>
      <c r="IT17" s="32"/>
      <c r="IU17" s="32"/>
    </row>
    <row r="18" spans="1:255" s="38" customFormat="1" ht="14.1" customHeight="1">
      <c r="A18" s="32" t="s">
        <v>37</v>
      </c>
      <c r="B18" s="32"/>
      <c r="C18" s="155">
        <v>101461.89</v>
      </c>
      <c r="D18" s="32">
        <v>43915.86</v>
      </c>
      <c r="E18" s="32">
        <v>32763.58</v>
      </c>
      <c r="F18" s="32">
        <f>48540.62+133.7</f>
        <v>48674.32</v>
      </c>
      <c r="G18" s="32">
        <v>45672.01</v>
      </c>
      <c r="H18" s="32">
        <v>41907.51</v>
      </c>
      <c r="I18" s="32">
        <v>41128.120000000003</v>
      </c>
      <c r="J18" s="32">
        <v>43119.76</v>
      </c>
      <c r="K18" s="32">
        <f>46522.43+142.95</f>
        <v>46665.38</v>
      </c>
      <c r="L18" s="32">
        <f>44401.82</f>
        <v>44401.82</v>
      </c>
      <c r="M18" s="123">
        <v>40135.94</v>
      </c>
      <c r="N18" s="32">
        <v>71083.48</v>
      </c>
      <c r="O18" s="32">
        <f>49359.86+97.2</f>
        <v>49457.06</v>
      </c>
      <c r="P18" s="32">
        <f>47912.41+237.2</f>
        <v>48149.61</v>
      </c>
      <c r="Q18" s="32">
        <f>40747.54+229.35</f>
        <v>40976.89</v>
      </c>
      <c r="R18" s="32">
        <v>40988.910000000003</v>
      </c>
      <c r="S18" s="32">
        <f>40060.26+312.55</f>
        <v>40372.810000000005</v>
      </c>
      <c r="T18" s="32">
        <v>101817.56</v>
      </c>
      <c r="U18" s="32">
        <v>44172.47</v>
      </c>
      <c r="V18" s="32">
        <v>39587.449999999997</v>
      </c>
      <c r="W18" s="32"/>
      <c r="X18" s="32">
        <v>39077.14</v>
      </c>
      <c r="Y18" s="32">
        <f>46922.62+62</f>
        <v>46984.62</v>
      </c>
      <c r="Z18" s="32">
        <v>33810.42</v>
      </c>
      <c r="AA18" s="32">
        <v>40445.160000000003</v>
      </c>
      <c r="AB18" s="32">
        <v>40595.410000000003</v>
      </c>
      <c r="AC18" s="32">
        <v>39491.919999999998</v>
      </c>
      <c r="AD18" s="32">
        <v>45057.77</v>
      </c>
      <c r="AE18" s="32">
        <v>43615.63</v>
      </c>
      <c r="AF18" s="123">
        <v>41739.39</v>
      </c>
      <c r="AG18" s="32">
        <v>36377.949999999997</v>
      </c>
      <c r="AH18" s="32">
        <v>3018.98</v>
      </c>
      <c r="AI18" s="32">
        <v>978.54</v>
      </c>
      <c r="AJ18" s="32">
        <v>563</v>
      </c>
      <c r="AK18" s="32">
        <v>120</v>
      </c>
      <c r="AL18" s="32">
        <v>131.80000000000001</v>
      </c>
      <c r="AM18" s="32">
        <v>34332.160000000003</v>
      </c>
      <c r="AN18" s="32">
        <v>48183.28</v>
      </c>
      <c r="AO18" s="32">
        <f>44940.1+40</f>
        <v>44980.1</v>
      </c>
      <c r="AP18" s="32">
        <v>41472.870000000003</v>
      </c>
      <c r="AQ18" s="32">
        <v>67183.23</v>
      </c>
      <c r="AR18" s="32">
        <v>42165.22</v>
      </c>
      <c r="AS18" s="32">
        <v>44308.9</v>
      </c>
      <c r="AT18" s="32">
        <v>42324.85</v>
      </c>
      <c r="AU18" s="32">
        <f>37376.39+215.75</f>
        <v>37592.14</v>
      </c>
      <c r="AV18" s="32">
        <v>46533.42</v>
      </c>
      <c r="AW18" s="32">
        <f>37699.96+377.2</f>
        <v>38077.159999999996</v>
      </c>
      <c r="AX18" s="32">
        <v>49636.59</v>
      </c>
      <c r="AY18" s="32">
        <v>42505.57</v>
      </c>
      <c r="AZ18" s="32">
        <v>29256.32</v>
      </c>
      <c r="BA18" s="32">
        <v>48734.11</v>
      </c>
      <c r="BB18" s="32">
        <v>38148.74</v>
      </c>
      <c r="BC18" s="123">
        <v>45948.66</v>
      </c>
      <c r="BD18" s="32">
        <v>40297.410000000003</v>
      </c>
      <c r="BE18" s="32">
        <v>42079.39</v>
      </c>
      <c r="BF18" s="32">
        <f>37297.22+106.8</f>
        <v>37404.020000000004</v>
      </c>
      <c r="BG18" s="32">
        <f>44683.92+317.75</f>
        <v>45001.67</v>
      </c>
      <c r="BH18" s="32">
        <v>44046.83</v>
      </c>
      <c r="BI18" s="32">
        <v>45664.79</v>
      </c>
      <c r="BJ18" s="32">
        <v>31473.119999999999</v>
      </c>
      <c r="BK18" s="32">
        <v>51702.87</v>
      </c>
      <c r="BL18" s="32">
        <v>39138.949999999997</v>
      </c>
      <c r="BM18" s="32">
        <v>39703.93</v>
      </c>
      <c r="BN18" s="32">
        <v>65173.15</v>
      </c>
      <c r="BO18" s="32">
        <v>30879.1</v>
      </c>
      <c r="BP18" s="32">
        <v>32535.35</v>
      </c>
      <c r="BQ18" s="32">
        <v>33347.78</v>
      </c>
      <c r="BR18" s="32">
        <v>41535.599999999999</v>
      </c>
      <c r="BS18" s="32">
        <v>43672.34</v>
      </c>
      <c r="BT18" s="32">
        <v>36894.870000000003</v>
      </c>
      <c r="BU18" s="32">
        <f>35793.7+292.2</f>
        <v>36085.899999999994</v>
      </c>
      <c r="BV18" s="32">
        <v>35628.58</v>
      </c>
      <c r="BW18" s="32">
        <v>44651.94</v>
      </c>
      <c r="BX18" s="32">
        <v>42492.98</v>
      </c>
      <c r="BY18" s="123">
        <v>32091.09</v>
      </c>
      <c r="BZ18" s="32">
        <v>39565.67</v>
      </c>
      <c r="CA18" s="32">
        <v>35017.24</v>
      </c>
      <c r="CB18" s="32">
        <v>42294.66</v>
      </c>
      <c r="CC18" s="32">
        <v>38705.35</v>
      </c>
      <c r="CD18" s="32">
        <f>34672.63+280.3</f>
        <v>34952.93</v>
      </c>
      <c r="CE18" s="32">
        <v>345.26</v>
      </c>
      <c r="CF18" s="32">
        <v>58344.29</v>
      </c>
      <c r="CG18" s="32">
        <f>33609.09+141.5</f>
        <v>33750.589999999997</v>
      </c>
      <c r="CH18" s="32">
        <v>34032.93</v>
      </c>
      <c r="CI18" s="32">
        <v>27707.86</v>
      </c>
      <c r="CJ18" s="32">
        <v>16991.88</v>
      </c>
      <c r="CK18" s="32">
        <v>16800.68</v>
      </c>
      <c r="CL18" s="32">
        <v>16769.36</v>
      </c>
      <c r="CM18" s="32">
        <v>19820.810000000001</v>
      </c>
      <c r="CN18" s="32">
        <v>116</v>
      </c>
      <c r="CO18" s="32">
        <v>167.3</v>
      </c>
      <c r="CP18" s="32">
        <v>269.14999999999998</v>
      </c>
      <c r="CQ18" s="32">
        <v>54.25</v>
      </c>
      <c r="CR18" s="32">
        <v>1685.9</v>
      </c>
      <c r="CS18" s="123">
        <v>0</v>
      </c>
      <c r="CT18" s="32">
        <v>104.91</v>
      </c>
      <c r="CU18" s="32">
        <v>8978.33</v>
      </c>
      <c r="CV18" s="32"/>
      <c r="CW18" s="32">
        <v>6054.73</v>
      </c>
      <c r="CX18" s="32">
        <v>16858.25</v>
      </c>
      <c r="CY18" s="32">
        <v>7050.22</v>
      </c>
      <c r="CZ18" s="32">
        <v>13.75</v>
      </c>
      <c r="DA18" s="32"/>
      <c r="DB18" s="32">
        <v>3156.11</v>
      </c>
      <c r="DC18" s="32">
        <v>8637.14</v>
      </c>
      <c r="DD18" s="32">
        <v>4162.6400000000003</v>
      </c>
      <c r="DE18" s="32"/>
      <c r="DF18" s="32">
        <v>28997.24</v>
      </c>
      <c r="DG18" s="32">
        <v>4543.6499999999996</v>
      </c>
      <c r="DH18" s="32"/>
      <c r="DI18" s="32">
        <v>0</v>
      </c>
      <c r="DJ18" s="32"/>
      <c r="DK18" s="32">
        <v>240.7</v>
      </c>
      <c r="DL18" s="32">
        <v>52028.12</v>
      </c>
      <c r="DM18" s="32"/>
      <c r="DN18" s="123"/>
      <c r="DO18" s="32"/>
      <c r="DP18" s="32">
        <v>2819.04</v>
      </c>
      <c r="DQ18" s="32"/>
      <c r="DR18" s="32"/>
      <c r="DS18" s="32"/>
      <c r="DT18" s="32"/>
      <c r="DU18" s="32">
        <v>175.5</v>
      </c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>
        <v>1452.8855000000001</v>
      </c>
      <c r="EH18" s="32">
        <f>+'FY-08, FEB-08 - Jan-09, DATA'!EH18*$V$73</f>
        <v>0</v>
      </c>
      <c r="EI18" s="32"/>
      <c r="EJ18" s="197"/>
      <c r="EK18" s="333"/>
      <c r="EL18" s="32"/>
      <c r="EM18" s="32"/>
      <c r="EN18" s="32">
        <v>1216.5</v>
      </c>
      <c r="EO18" s="32">
        <v>431.35</v>
      </c>
      <c r="EP18" s="32">
        <v>569.69000000000005</v>
      </c>
      <c r="EQ18" s="32">
        <v>11078.32</v>
      </c>
      <c r="ER18" s="32">
        <v>57559.88</v>
      </c>
      <c r="ES18" s="32">
        <v>55243.62</v>
      </c>
      <c r="ET18" s="32">
        <v>46066.28</v>
      </c>
      <c r="EU18" s="32">
        <v>42863.839999999997</v>
      </c>
      <c r="EV18" s="32">
        <v>41831.25</v>
      </c>
      <c r="EW18" s="32">
        <v>46900.58</v>
      </c>
      <c r="EX18" s="32">
        <v>44767.34</v>
      </c>
      <c r="EY18" s="32">
        <v>48778.15</v>
      </c>
      <c r="EZ18" s="32">
        <v>42663.96</v>
      </c>
      <c r="FA18" s="32">
        <v>41922.99</v>
      </c>
      <c r="FB18" s="33">
        <v>44677.41</v>
      </c>
      <c r="FC18" s="32">
        <v>40595.370000000003</v>
      </c>
      <c r="FD18" s="32">
        <v>39565.339999999997</v>
      </c>
      <c r="FE18" s="123">
        <v>40182.78</v>
      </c>
      <c r="FF18" s="32">
        <v>42263.11</v>
      </c>
      <c r="FG18" s="32">
        <v>42389.26</v>
      </c>
      <c r="FH18" s="32">
        <v>40419.18</v>
      </c>
      <c r="FI18" s="32">
        <v>40098.99</v>
      </c>
      <c r="FJ18" s="79">
        <v>39211.480000000003</v>
      </c>
      <c r="FK18" s="32">
        <v>36680.49</v>
      </c>
      <c r="FL18" s="32">
        <v>39938.080000000002</v>
      </c>
      <c r="FM18" s="32">
        <v>60000.6</v>
      </c>
      <c r="FN18" s="32">
        <v>35633.699999999997</v>
      </c>
      <c r="FO18" s="32">
        <v>3664.55</v>
      </c>
      <c r="FP18" s="32">
        <v>33005.86</v>
      </c>
      <c r="FQ18" s="32">
        <v>37701.78</v>
      </c>
      <c r="FR18" s="32">
        <v>34100.379999999997</v>
      </c>
      <c r="FS18" s="32">
        <v>19767.62</v>
      </c>
      <c r="FT18" s="32">
        <v>36127.550000000003</v>
      </c>
      <c r="FU18" s="32">
        <v>41829.370000000003</v>
      </c>
      <c r="FV18" s="32">
        <v>42999.86</v>
      </c>
      <c r="FW18" s="32">
        <v>38263.43</v>
      </c>
      <c r="FX18" s="32">
        <v>56773.55</v>
      </c>
      <c r="FY18" s="32">
        <v>47937.86</v>
      </c>
      <c r="FZ18" s="123">
        <v>36277.449999999997</v>
      </c>
      <c r="GA18" s="32">
        <v>42593.43</v>
      </c>
      <c r="GB18" s="32">
        <v>40546.879999999997</v>
      </c>
      <c r="GC18" s="32">
        <v>40248.61</v>
      </c>
      <c r="GD18" s="32">
        <v>46552.86</v>
      </c>
      <c r="GE18" s="32">
        <v>46037.18</v>
      </c>
      <c r="GF18" s="32">
        <v>38064.769999999997</v>
      </c>
      <c r="GG18" s="32">
        <v>38391.910000000003</v>
      </c>
      <c r="GH18" s="32">
        <v>32364.23</v>
      </c>
      <c r="GI18" s="32">
        <v>42866.96</v>
      </c>
      <c r="GJ18" s="32">
        <v>69462.100000000006</v>
      </c>
      <c r="GK18" s="32">
        <v>33848.35</v>
      </c>
      <c r="GL18" s="32">
        <v>38558.97</v>
      </c>
      <c r="GM18" s="32">
        <v>37285.42</v>
      </c>
      <c r="GN18" s="32">
        <v>45532.160000000003</v>
      </c>
      <c r="GO18" s="32">
        <v>40663.99</v>
      </c>
      <c r="GP18" s="32">
        <v>39067.49</v>
      </c>
      <c r="GQ18" s="32">
        <v>37012.85</v>
      </c>
      <c r="GR18" s="32">
        <v>40346.949999999997</v>
      </c>
      <c r="GS18" s="32">
        <v>82644.070000000007</v>
      </c>
      <c r="GT18" s="123">
        <v>38015.39</v>
      </c>
      <c r="GU18" s="32">
        <v>45641.05</v>
      </c>
      <c r="GV18" s="32">
        <v>41968.24</v>
      </c>
      <c r="GW18" s="32">
        <v>43661.53</v>
      </c>
      <c r="GX18" s="32">
        <v>40240.61</v>
      </c>
      <c r="GY18" s="32">
        <v>49998.91</v>
      </c>
      <c r="GZ18" s="32">
        <v>36892.22</v>
      </c>
      <c r="HA18" s="32">
        <v>5514.74</v>
      </c>
      <c r="HB18" s="32">
        <v>766</v>
      </c>
      <c r="HC18" s="32">
        <v>207.75</v>
      </c>
      <c r="HD18" s="32">
        <v>301.85000000000002</v>
      </c>
      <c r="HE18" s="32">
        <v>29784.65</v>
      </c>
      <c r="HF18" s="32">
        <v>45442.21</v>
      </c>
      <c r="HG18" s="32">
        <v>42719.91</v>
      </c>
      <c r="HH18" s="32">
        <v>38988.400000000001</v>
      </c>
      <c r="HI18" s="32">
        <v>40236.120000000003</v>
      </c>
      <c r="HJ18" s="32">
        <v>38299.56</v>
      </c>
      <c r="HK18" s="32">
        <v>39435.599999999999</v>
      </c>
      <c r="HL18" s="32">
        <v>38702.300000000003</v>
      </c>
      <c r="HM18" s="32">
        <v>36473.69</v>
      </c>
      <c r="HN18" s="32">
        <f>37263.18+173.45</f>
        <v>37436.629999999997</v>
      </c>
      <c r="HO18" s="123">
        <f>38094.4+187.3</f>
        <v>38281.700000000004</v>
      </c>
      <c r="HP18" s="32">
        <f>36774.14+117.1</f>
        <v>36891.24</v>
      </c>
      <c r="HQ18" s="32">
        <v>37383.85</v>
      </c>
      <c r="HR18" s="32">
        <v>33354.74</v>
      </c>
      <c r="HS18" s="32">
        <v>32872.01</v>
      </c>
      <c r="HT18" s="32">
        <v>1960.35</v>
      </c>
      <c r="HU18" s="32">
        <v>330.8</v>
      </c>
      <c r="HV18" s="32">
        <v>34668.639999999999</v>
      </c>
      <c r="HW18" s="32">
        <v>106.25</v>
      </c>
      <c r="HX18" s="32">
        <v>184</v>
      </c>
      <c r="HY18" s="32">
        <v>285</v>
      </c>
      <c r="HZ18" s="32">
        <v>80</v>
      </c>
      <c r="IA18" s="32">
        <v>222.85</v>
      </c>
      <c r="IB18" s="32">
        <v>985.55</v>
      </c>
      <c r="IC18" s="32">
        <v>25371.47</v>
      </c>
      <c r="ID18" s="32">
        <v>84921.07</v>
      </c>
      <c r="IE18" s="32">
        <f>41808.74+291.5</f>
        <v>42100.24</v>
      </c>
      <c r="IF18" s="32">
        <f>36060.76+120.2</f>
        <v>36180.959999999999</v>
      </c>
      <c r="IG18" s="32">
        <v>41671.69</v>
      </c>
      <c r="IH18" s="32">
        <v>38991.78</v>
      </c>
      <c r="II18" s="32">
        <v>27293.34</v>
      </c>
      <c r="IJ18" s="123">
        <v>20861.7</v>
      </c>
      <c r="IK18" s="32">
        <v>23700.43</v>
      </c>
      <c r="IL18" s="32">
        <v>3701.35</v>
      </c>
      <c r="IM18" s="32">
        <v>22230.16</v>
      </c>
      <c r="IN18" s="32">
        <v>41037.15</v>
      </c>
      <c r="IO18" s="32">
        <v>38838.839999999997</v>
      </c>
      <c r="IP18" s="32">
        <v>39024.879999999997</v>
      </c>
      <c r="IQ18" s="32">
        <v>39175.14</v>
      </c>
      <c r="IR18" s="32">
        <v>42012.99</v>
      </c>
      <c r="IS18" s="32">
        <v>37297.300000000003</v>
      </c>
      <c r="IT18" s="32"/>
      <c r="IU18" s="32">
        <f>SUM(C18:IT18)</f>
        <v>7410843.2755000014</v>
      </c>
    </row>
    <row r="19" spans="1:255" s="38" customFormat="1" ht="14.1" customHeight="1">
      <c r="A19" s="32" t="s">
        <v>29</v>
      </c>
      <c r="B19" s="32"/>
      <c r="C19" s="156"/>
      <c r="D19" s="37"/>
      <c r="E19" s="37"/>
      <c r="F19" s="37"/>
      <c r="G19" s="37"/>
      <c r="H19" s="37">
        <v>24150.37</v>
      </c>
      <c r="I19" s="37"/>
      <c r="J19" s="37">
        <v>698926.51</v>
      </c>
      <c r="K19" s="37"/>
      <c r="L19" s="37"/>
      <c r="M19" s="195"/>
      <c r="N19" s="37"/>
      <c r="O19" s="37"/>
      <c r="P19" s="37">
        <v>373093.91</v>
      </c>
      <c r="Q19" s="37"/>
      <c r="R19" s="37"/>
      <c r="S19" s="32">
        <f>102480.05+1343713.99</f>
        <v>1446194.04</v>
      </c>
      <c r="T19" s="37"/>
      <c r="U19" s="37"/>
      <c r="V19" s="37"/>
      <c r="W19" s="37"/>
      <c r="X19" s="37">
        <f>4050.12+23148.58</f>
        <v>27198.7</v>
      </c>
      <c r="Y19" s="37"/>
      <c r="Z19" s="37"/>
      <c r="AA19" s="37"/>
      <c r="AB19" s="37"/>
      <c r="AC19" s="37"/>
      <c r="AD19" s="37"/>
      <c r="AE19" s="37"/>
      <c r="AF19" s="195"/>
      <c r="AG19" s="37">
        <v>3547462.5</v>
      </c>
      <c r="AH19" s="37"/>
      <c r="AI19" s="37"/>
      <c r="AJ19" s="37"/>
      <c r="AK19" s="37"/>
      <c r="AL19" s="37"/>
      <c r="AM19" s="37">
        <f>305705.12+7024.54</f>
        <v>312729.65999999997</v>
      </c>
      <c r="AN19" s="37"/>
      <c r="AO19" s="37"/>
      <c r="AP19" s="37"/>
      <c r="AQ19" s="37"/>
      <c r="AR19" s="37">
        <f>42345.32+880.9</f>
        <v>43226.22</v>
      </c>
      <c r="AS19" s="37"/>
      <c r="AT19" s="37"/>
      <c r="AU19" s="37"/>
      <c r="AV19" s="37"/>
      <c r="AW19" s="37"/>
      <c r="AX19" s="37">
        <f>477796.85+250000+3.22</f>
        <v>727800.07</v>
      </c>
      <c r="AY19" s="37"/>
      <c r="AZ19" s="37"/>
      <c r="BA19" s="37">
        <v>2433712.94</v>
      </c>
      <c r="BB19" s="37">
        <f>407340.75+139769.1</f>
        <v>547109.85</v>
      </c>
      <c r="BC19" s="195"/>
      <c r="BD19" s="37"/>
      <c r="BE19" s="37"/>
      <c r="BF19" s="37"/>
      <c r="BG19" s="37">
        <f>113747.96+12134.55</f>
        <v>125882.51000000001</v>
      </c>
      <c r="BH19" s="37"/>
      <c r="BI19" s="37"/>
      <c r="BJ19" s="37">
        <f>201812.37+138571.04</f>
        <v>340383.41000000003</v>
      </c>
      <c r="BK19" s="37"/>
      <c r="BL19" s="37">
        <f>264401.72+40975</f>
        <v>305376.71999999997</v>
      </c>
      <c r="BM19" s="37"/>
      <c r="BN19" s="37">
        <v>8.42</v>
      </c>
      <c r="BO19" s="37"/>
      <c r="BP19" s="37"/>
      <c r="BQ19" s="37">
        <f>105253.29+2119</f>
        <v>107372.29</v>
      </c>
      <c r="BR19" s="37"/>
      <c r="BS19" s="37"/>
      <c r="BT19" s="37"/>
      <c r="BU19" s="37"/>
      <c r="BV19" s="37">
        <f>172160.52+46617.44</f>
        <v>218777.96</v>
      </c>
      <c r="BW19" s="37"/>
      <c r="BX19" s="37"/>
      <c r="BY19" s="195">
        <v>1136073.21</v>
      </c>
      <c r="BZ19" s="37"/>
      <c r="CA19" s="37">
        <v>307678.92</v>
      </c>
      <c r="CB19" s="37"/>
      <c r="CC19" s="37"/>
      <c r="CD19" s="37"/>
      <c r="CE19" s="37"/>
      <c r="CF19" s="37"/>
      <c r="CG19" s="37"/>
      <c r="CH19" s="37">
        <v>536018.15</v>
      </c>
      <c r="CI19" s="37"/>
      <c r="CJ19" s="37">
        <f>124524.04+28822.58</f>
        <v>153346.62</v>
      </c>
      <c r="CK19" s="37"/>
      <c r="CL19" s="37"/>
      <c r="CM19" s="37"/>
      <c r="CN19" s="37"/>
      <c r="CO19" s="37"/>
      <c r="CP19" s="37">
        <f>83847.85+113700.33+1488031.2</f>
        <v>1685579.38</v>
      </c>
      <c r="CQ19" s="37"/>
      <c r="CR19" s="37"/>
      <c r="CS19" s="195"/>
      <c r="CT19" s="37">
        <f>323164.51+22830.05</f>
        <v>345994.56</v>
      </c>
      <c r="CU19" s="37"/>
      <c r="CV19" s="37"/>
      <c r="CW19" s="37"/>
      <c r="CX19" s="37"/>
      <c r="CY19" s="37">
        <f>366629.98+63250.31</f>
        <v>429880.29</v>
      </c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>
        <f>1307738.86+300056.6</f>
        <v>1607795.46</v>
      </c>
      <c r="DN19" s="195">
        <f>1638667.71+1168981.47+133347.84</f>
        <v>2940997.0199999996</v>
      </c>
      <c r="DO19" s="37">
        <v>81468.75</v>
      </c>
      <c r="DP19" s="37"/>
      <c r="DQ19" s="37"/>
      <c r="DR19" s="37">
        <f>22080+2412934.88+453318.78</f>
        <v>2888333.66</v>
      </c>
      <c r="DS19" s="37"/>
      <c r="DT19" s="37"/>
      <c r="DU19" s="37"/>
      <c r="DV19" s="37"/>
      <c r="DW19" s="37">
        <f>358714.72+271041.52</f>
        <v>629756.24</v>
      </c>
      <c r="DX19" s="37">
        <v>2447779.17</v>
      </c>
      <c r="DY19" s="37"/>
      <c r="DZ19" s="37"/>
      <c r="EA19" s="37"/>
      <c r="EB19" s="37">
        <f>170564.64+4383.82</f>
        <v>174948.46000000002</v>
      </c>
      <c r="EC19" s="37"/>
      <c r="ED19" s="37"/>
      <c r="EE19" s="37"/>
      <c r="EF19" s="201"/>
      <c r="EG19" s="201"/>
      <c r="EH19" s="37"/>
      <c r="EI19" s="37">
        <f>13703.83+140841.65+194965.91+135913.69+634875.52+479954.23</f>
        <v>1600254.83</v>
      </c>
      <c r="EJ19" s="500"/>
      <c r="EK19" s="351"/>
      <c r="EL19" s="37">
        <f>606472.2+401093.61</f>
        <v>1007565.8099999999</v>
      </c>
      <c r="EM19" s="37"/>
      <c r="EN19" s="37">
        <v>3074.2</v>
      </c>
      <c r="EO19" s="37"/>
      <c r="EP19" s="37"/>
      <c r="EQ19" s="37">
        <f>829425.53+21755.3</f>
        <v>851180.83000000007</v>
      </c>
      <c r="ER19" s="37"/>
      <c r="ES19" s="37"/>
      <c r="ET19" s="37"/>
      <c r="EU19" s="37"/>
      <c r="EV19" s="37"/>
      <c r="EW19" s="37">
        <v>1924505.74</v>
      </c>
      <c r="EX19" s="37"/>
      <c r="EY19" s="37">
        <v>177771.81</v>
      </c>
      <c r="EZ19" s="37"/>
      <c r="FA19" s="37">
        <f>111501.33+360265.41+195603.6</f>
        <v>667370.34</v>
      </c>
      <c r="FB19" s="201"/>
      <c r="FC19" s="37"/>
      <c r="FD19" s="37"/>
      <c r="FE19" s="195">
        <v>734759.06</v>
      </c>
      <c r="FF19" s="37"/>
      <c r="FG19" s="37"/>
      <c r="FH19" s="37"/>
      <c r="FI19" s="37"/>
      <c r="FJ19" s="80">
        <v>186323.15</v>
      </c>
      <c r="FK19" s="37">
        <v>158224.84</v>
      </c>
      <c r="FL19" s="37"/>
      <c r="FM19" s="37"/>
      <c r="FN19" s="37"/>
      <c r="FO19" s="32">
        <f>2376926.13+235162.98</f>
        <v>2612089.11</v>
      </c>
      <c r="FP19" s="37"/>
      <c r="FQ19" s="37"/>
      <c r="FR19" s="37"/>
      <c r="FS19" s="37"/>
      <c r="FT19" s="37">
        <f>2908511.14-407.4</f>
        <v>2908103.74</v>
      </c>
      <c r="FU19" s="37"/>
      <c r="FV19" s="37"/>
      <c r="FW19" s="37"/>
      <c r="FX19" s="37"/>
      <c r="FY19" s="37">
        <v>368340.17</v>
      </c>
      <c r="FZ19" s="195"/>
      <c r="GA19" s="37"/>
      <c r="GB19" s="37"/>
      <c r="GC19" s="37">
        <f>1466940.64+487.75</f>
        <v>1467428.39</v>
      </c>
      <c r="GD19" s="37"/>
      <c r="GE19" s="37"/>
      <c r="GF19" s="37"/>
      <c r="GG19" s="37"/>
      <c r="GH19" s="37">
        <v>2266866.9</v>
      </c>
      <c r="GI19" s="37"/>
      <c r="GJ19" s="37"/>
      <c r="GK19" s="37"/>
      <c r="GL19" s="37"/>
      <c r="GM19" s="37">
        <v>2015951.7</v>
      </c>
      <c r="GN19" s="37"/>
      <c r="GO19" s="37"/>
      <c r="GP19" s="37"/>
      <c r="GQ19" s="37"/>
      <c r="GR19" s="37">
        <v>332455.74</v>
      </c>
      <c r="GS19" s="37"/>
      <c r="GT19" s="195"/>
      <c r="GU19" s="37"/>
      <c r="GV19" s="37">
        <v>4616933.8099999996</v>
      </c>
      <c r="GW19" s="37"/>
      <c r="GX19" s="37">
        <v>132567.51</v>
      </c>
      <c r="GY19" s="37"/>
      <c r="GZ19" s="37"/>
      <c r="HA19" s="37"/>
      <c r="HB19" s="37"/>
      <c r="HC19" s="37"/>
      <c r="HD19" s="37"/>
      <c r="HE19" s="37"/>
      <c r="HF19" s="37">
        <f>2046023.08+380801.99</f>
        <v>2426825.0700000003</v>
      </c>
      <c r="HG19" s="37"/>
      <c r="HH19" s="37"/>
      <c r="HI19" s="37"/>
      <c r="HJ19" s="37">
        <v>127168.84</v>
      </c>
      <c r="HK19" s="37"/>
      <c r="HL19" s="37"/>
      <c r="HM19" s="37"/>
      <c r="HN19" s="37"/>
      <c r="HO19" s="195">
        <f>530524.25+290616.86</f>
        <v>821141.11</v>
      </c>
      <c r="HP19" s="37">
        <v>124631.02</v>
      </c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>
        <v>6664562.6600000001</v>
      </c>
      <c r="IC19" s="37"/>
      <c r="ID19" s="37"/>
      <c r="IE19" s="37"/>
      <c r="IF19" s="37"/>
      <c r="IG19" s="37">
        <f>1793138.4+285681.02</f>
        <v>2078819.42</v>
      </c>
      <c r="IH19" s="37"/>
      <c r="II19" s="37"/>
      <c r="IJ19" s="195"/>
      <c r="IK19" s="37"/>
      <c r="IL19" s="37">
        <f>2192482.42+886242.06</f>
        <v>3078724.48</v>
      </c>
      <c r="IM19" s="37">
        <v>3703.48</v>
      </c>
      <c r="IN19" s="37"/>
      <c r="IO19" s="37"/>
      <c r="IP19" s="37">
        <v>519406.91</v>
      </c>
      <c r="IQ19" s="37"/>
      <c r="IR19" s="37"/>
      <c r="IS19" s="37"/>
      <c r="IT19" s="37"/>
      <c r="IU19" s="32"/>
    </row>
    <row r="20" spans="1:255" s="152" customFormat="1" ht="14.1" customHeight="1">
      <c r="A20" s="155" t="s">
        <v>31</v>
      </c>
      <c r="B20" s="155"/>
      <c r="C20" s="155"/>
      <c r="D20" s="155"/>
      <c r="E20" s="155"/>
      <c r="F20" s="155"/>
      <c r="G20" s="155"/>
      <c r="H20" s="155">
        <v>2600000</v>
      </c>
      <c r="I20" s="155">
        <v>140600000</v>
      </c>
      <c r="J20" s="155">
        <v>250000</v>
      </c>
      <c r="K20" s="155"/>
      <c r="L20" s="155">
        <v>52000000</v>
      </c>
      <c r="M20" s="238">
        <v>41800000</v>
      </c>
      <c r="N20" s="155"/>
      <c r="O20" s="155"/>
      <c r="P20" s="155"/>
      <c r="Q20" s="155"/>
      <c r="R20" s="155"/>
      <c r="S20" s="155">
        <v>2400000</v>
      </c>
      <c r="T20" s="155">
        <v>57900000</v>
      </c>
      <c r="U20" s="155"/>
      <c r="V20" s="158">
        <v>450000</v>
      </c>
      <c r="W20" s="158">
        <v>350000</v>
      </c>
      <c r="X20" s="155">
        <v>1300000</v>
      </c>
      <c r="Y20" s="155">
        <v>600000</v>
      </c>
      <c r="Z20" s="155">
        <v>0</v>
      </c>
      <c r="AA20" s="155">
        <v>16600000</v>
      </c>
      <c r="AB20" s="155">
        <v>0</v>
      </c>
      <c r="AC20" s="155">
        <v>0</v>
      </c>
      <c r="AD20" s="156"/>
      <c r="AE20" s="155"/>
      <c r="AF20" s="238">
        <v>67000000</v>
      </c>
      <c r="AG20" s="155"/>
      <c r="AH20" s="155">
        <v>700000</v>
      </c>
      <c r="AI20" s="155"/>
      <c r="AJ20" s="155">
        <v>1100000</v>
      </c>
      <c r="AK20" s="155"/>
      <c r="AL20" s="155">
        <v>2600000</v>
      </c>
      <c r="AM20" s="155"/>
      <c r="AN20" s="155"/>
      <c r="AO20" s="155"/>
      <c r="AP20" s="155"/>
      <c r="AQ20" s="155">
        <v>2600000</v>
      </c>
      <c r="AR20" s="155"/>
      <c r="AS20" s="155">
        <v>2900000</v>
      </c>
      <c r="AT20" s="155"/>
      <c r="AU20" s="155">
        <v>200000</v>
      </c>
      <c r="AV20" s="155">
        <v>15600000</v>
      </c>
      <c r="AW20" s="155"/>
      <c r="AX20" s="155">
        <v>300000</v>
      </c>
      <c r="AY20" s="155">
        <v>500000</v>
      </c>
      <c r="AZ20" s="155"/>
      <c r="BA20" s="155"/>
      <c r="BB20" s="155"/>
      <c r="BC20" s="238">
        <v>68700000</v>
      </c>
      <c r="BD20" s="155">
        <v>700000</v>
      </c>
      <c r="BE20" s="155">
        <v>4200000</v>
      </c>
      <c r="BF20" s="155">
        <v>5000000</v>
      </c>
      <c r="BG20" s="155"/>
      <c r="BH20" s="155"/>
      <c r="BI20" s="155"/>
      <c r="BJ20" s="155">
        <v>500000</v>
      </c>
      <c r="BK20" s="155"/>
      <c r="BL20" s="155">
        <v>700000</v>
      </c>
      <c r="BM20" s="155">
        <v>1400000</v>
      </c>
      <c r="BN20" s="155">
        <v>3400000</v>
      </c>
      <c r="BO20" s="155">
        <v>4600000</v>
      </c>
      <c r="BP20" s="155">
        <v>2600000</v>
      </c>
      <c r="BQ20" s="155"/>
      <c r="BR20" s="155">
        <v>8200000</v>
      </c>
      <c r="BS20" s="155">
        <v>1000000</v>
      </c>
      <c r="BT20" s="155">
        <v>400000</v>
      </c>
      <c r="BU20" s="155">
        <v>100000</v>
      </c>
      <c r="BV20" s="155"/>
      <c r="BW20" s="155">
        <v>800000</v>
      </c>
      <c r="BX20" s="155">
        <v>100000</v>
      </c>
      <c r="BY20" s="238">
        <v>70500000</v>
      </c>
      <c r="BZ20" s="155">
        <v>1600000</v>
      </c>
      <c r="CA20" s="155">
        <v>400000</v>
      </c>
      <c r="CB20" s="155">
        <v>9600000</v>
      </c>
      <c r="CC20" s="155">
        <v>100000</v>
      </c>
      <c r="CD20" s="155"/>
      <c r="CE20" s="155"/>
      <c r="CF20" s="155"/>
      <c r="CG20" s="155">
        <v>1400000</v>
      </c>
      <c r="CH20" s="155">
        <v>5300000</v>
      </c>
      <c r="CI20" s="155">
        <v>600000</v>
      </c>
      <c r="CJ20" s="155"/>
      <c r="CK20" s="155">
        <v>700000</v>
      </c>
      <c r="CL20" s="155">
        <v>350000</v>
      </c>
      <c r="CM20" s="155">
        <v>16000000</v>
      </c>
      <c r="CN20" s="155">
        <v>750000</v>
      </c>
      <c r="CO20" s="155">
        <v>800000</v>
      </c>
      <c r="CP20" s="155">
        <v>250000</v>
      </c>
      <c r="CQ20" s="155"/>
      <c r="CR20" s="155"/>
      <c r="CS20" s="238">
        <v>64900000</v>
      </c>
      <c r="CT20" s="155">
        <v>850000</v>
      </c>
      <c r="CU20" s="155">
        <v>100000</v>
      </c>
      <c r="CV20" s="155">
        <v>1600000</v>
      </c>
      <c r="CW20" s="155"/>
      <c r="CX20" s="155">
        <v>1900000</v>
      </c>
      <c r="CY20" s="155">
        <v>1200000</v>
      </c>
      <c r="CZ20" s="155">
        <v>1150000</v>
      </c>
      <c r="DA20" s="155"/>
      <c r="DB20" s="155">
        <v>2650000</v>
      </c>
      <c r="DC20" s="155">
        <v>950000</v>
      </c>
      <c r="DD20" s="155">
        <v>14800000</v>
      </c>
      <c r="DE20" s="155">
        <v>1400000</v>
      </c>
      <c r="DF20" s="155"/>
      <c r="DG20" s="155"/>
      <c r="DH20" s="155"/>
      <c r="DI20" s="155">
        <v>200000</v>
      </c>
      <c r="DJ20" s="155">
        <v>300000</v>
      </c>
      <c r="DK20" s="155">
        <v>1800000</v>
      </c>
      <c r="DL20" s="155">
        <v>150000</v>
      </c>
      <c r="DM20" s="155"/>
      <c r="DN20" s="238">
        <v>65000000</v>
      </c>
      <c r="DO20" s="155">
        <v>500000</v>
      </c>
      <c r="DP20" s="155">
        <v>7350000</v>
      </c>
      <c r="DQ20" s="155">
        <v>1050000</v>
      </c>
      <c r="DR20" s="155">
        <v>1350000</v>
      </c>
      <c r="DS20" s="155">
        <v>1200000</v>
      </c>
      <c r="DT20" s="155">
        <v>2800000</v>
      </c>
      <c r="DU20" s="155">
        <v>2800000</v>
      </c>
      <c r="DV20" s="155"/>
      <c r="DW20" s="155"/>
      <c r="DX20" s="155">
        <v>1950000</v>
      </c>
      <c r="DY20" s="155"/>
      <c r="DZ20" s="155">
        <v>4100000</v>
      </c>
      <c r="EA20" s="155">
        <v>150000</v>
      </c>
      <c r="EB20" s="155"/>
      <c r="EC20" s="155">
        <v>1650000</v>
      </c>
      <c r="ED20" s="155"/>
      <c r="EE20" s="155">
        <v>2350000</v>
      </c>
      <c r="EF20" s="158"/>
      <c r="EG20" s="158">
        <v>100000</v>
      </c>
      <c r="EH20" s="155">
        <v>1800000</v>
      </c>
      <c r="EI20" s="155"/>
      <c r="EJ20" s="252">
        <v>65350000</v>
      </c>
      <c r="EK20" s="336"/>
      <c r="EL20" s="155"/>
      <c r="EM20" s="155">
        <v>1900000</v>
      </c>
      <c r="EN20" s="155">
        <v>450000</v>
      </c>
      <c r="EO20" s="155">
        <v>2100000</v>
      </c>
      <c r="EP20" s="155">
        <v>4100000</v>
      </c>
      <c r="EQ20" s="155"/>
      <c r="ER20" s="155">
        <v>2750000</v>
      </c>
      <c r="ES20" s="155">
        <v>250000</v>
      </c>
      <c r="ET20" s="155">
        <v>950000</v>
      </c>
      <c r="EU20" s="155">
        <v>3550000</v>
      </c>
      <c r="EV20" s="155">
        <v>2400000</v>
      </c>
      <c r="EW20" s="155"/>
      <c r="EX20" s="155">
        <v>100000</v>
      </c>
      <c r="EY20" s="155"/>
      <c r="EZ20" s="155">
        <v>1300000</v>
      </c>
      <c r="FA20" s="155"/>
      <c r="FB20" s="158">
        <v>1500000</v>
      </c>
      <c r="FC20" s="155">
        <v>300000</v>
      </c>
      <c r="FD20" s="155">
        <v>1500000</v>
      </c>
      <c r="FE20" s="238"/>
      <c r="FF20" s="155">
        <v>1200000</v>
      </c>
      <c r="FG20" s="155">
        <v>600000</v>
      </c>
      <c r="FH20" s="155"/>
      <c r="FI20" s="155">
        <v>4500000</v>
      </c>
      <c r="FJ20" s="345">
        <v>350000</v>
      </c>
      <c r="FK20" s="155">
        <v>1800000</v>
      </c>
      <c r="FL20" s="155"/>
      <c r="FM20" s="155"/>
      <c r="FN20" s="155">
        <v>4300000</v>
      </c>
      <c r="FO20" s="155">
        <v>33250000</v>
      </c>
      <c r="FP20" s="155"/>
      <c r="FQ20" s="155">
        <v>350000</v>
      </c>
      <c r="FR20" s="155">
        <v>3900000</v>
      </c>
      <c r="FS20" s="155">
        <v>3400000</v>
      </c>
      <c r="FT20" s="155">
        <v>16250000</v>
      </c>
      <c r="FU20" s="155">
        <v>350000</v>
      </c>
      <c r="FV20" s="155">
        <v>300000</v>
      </c>
      <c r="FW20" s="155">
        <v>100000</v>
      </c>
      <c r="FX20" s="155">
        <v>3000000</v>
      </c>
      <c r="FY20" s="155"/>
      <c r="FZ20" s="238"/>
      <c r="GA20" s="155">
        <v>6850000</v>
      </c>
      <c r="GB20" s="155"/>
      <c r="GC20" s="155"/>
      <c r="GD20" s="155">
        <v>1900000</v>
      </c>
      <c r="GE20" s="155"/>
      <c r="GF20" s="155"/>
      <c r="GG20" s="155"/>
      <c r="GH20" s="155"/>
      <c r="GI20" s="155"/>
      <c r="GJ20" s="155">
        <v>150000</v>
      </c>
      <c r="GK20" s="155">
        <v>22700000</v>
      </c>
      <c r="GL20" s="155">
        <v>1750000</v>
      </c>
      <c r="GM20" s="155"/>
      <c r="GN20" s="155">
        <v>400000</v>
      </c>
      <c r="GO20" s="155"/>
      <c r="GP20" s="155">
        <v>14500000</v>
      </c>
      <c r="GQ20" s="155">
        <v>600000</v>
      </c>
      <c r="GR20" s="155"/>
      <c r="GS20" s="155">
        <v>900000</v>
      </c>
      <c r="GT20" s="238">
        <v>13400000</v>
      </c>
      <c r="GU20" s="155">
        <v>1950000</v>
      </c>
      <c r="GV20" s="155"/>
      <c r="GW20" s="155">
        <v>2700000</v>
      </c>
      <c r="GX20" s="155"/>
      <c r="GY20" s="155"/>
      <c r="GZ20" s="155">
        <v>7750000</v>
      </c>
      <c r="HA20" s="155"/>
      <c r="HB20" s="155">
        <v>250000</v>
      </c>
      <c r="HC20" s="155"/>
      <c r="HD20" s="155"/>
      <c r="HE20" s="155"/>
      <c r="HF20" s="155"/>
      <c r="HG20" s="155"/>
      <c r="HH20" s="155">
        <v>11150000</v>
      </c>
      <c r="HI20" s="155">
        <v>3700000</v>
      </c>
      <c r="HJ20" s="155"/>
      <c r="HK20" s="155"/>
      <c r="HL20" s="155"/>
      <c r="HM20" s="155">
        <v>600000</v>
      </c>
      <c r="HN20" s="155"/>
      <c r="HO20" s="238">
        <v>17050000</v>
      </c>
      <c r="HP20" s="155"/>
      <c r="HQ20" s="155"/>
      <c r="HR20" s="155"/>
      <c r="HS20" s="155"/>
      <c r="HT20" s="155"/>
      <c r="HU20" s="155"/>
      <c r="HV20" s="155"/>
      <c r="HW20" s="155">
        <v>1000000</v>
      </c>
      <c r="HX20" s="155"/>
      <c r="HY20" s="155"/>
      <c r="HZ20" s="155"/>
      <c r="IA20" s="155">
        <v>300000</v>
      </c>
      <c r="IB20" s="155"/>
      <c r="IC20" s="155"/>
      <c r="ID20" s="155"/>
      <c r="IE20" s="155"/>
      <c r="IF20" s="155"/>
      <c r="IG20" s="155"/>
      <c r="IH20" s="155"/>
      <c r="II20" s="155"/>
      <c r="IJ20" s="238">
        <v>25700000</v>
      </c>
      <c r="IK20" s="155"/>
      <c r="IL20" s="155"/>
      <c r="IM20" s="155">
        <v>900000</v>
      </c>
      <c r="IN20" s="155"/>
      <c r="IO20" s="155"/>
      <c r="IP20" s="155"/>
      <c r="IQ20" s="155"/>
      <c r="IR20" s="155"/>
      <c r="IS20" s="155"/>
      <c r="IT20" s="155"/>
      <c r="IU20" s="155"/>
    </row>
    <row r="21" spans="1:255" s="152" customFormat="1" ht="14.1" customHeight="1">
      <c r="A21" s="155" t="s">
        <v>141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238"/>
      <c r="N21" s="155"/>
      <c r="O21" s="155"/>
      <c r="P21" s="155"/>
      <c r="Q21" s="155"/>
      <c r="R21" s="155"/>
      <c r="S21" s="155"/>
      <c r="T21" s="155"/>
      <c r="U21" s="155"/>
      <c r="V21" s="158"/>
      <c r="W21" s="158"/>
      <c r="X21" s="155"/>
      <c r="Y21" s="155"/>
      <c r="Z21" s="155"/>
      <c r="AA21" s="155"/>
      <c r="AB21" s="155"/>
      <c r="AC21" s="155"/>
      <c r="AD21" s="159"/>
      <c r="AE21" s="155"/>
      <c r="AF21" s="238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238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238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373" t="s">
        <v>142</v>
      </c>
      <c r="CP21" s="155">
        <v>0</v>
      </c>
      <c r="CQ21" s="155">
        <v>0</v>
      </c>
      <c r="CR21" s="155"/>
      <c r="CS21" s="238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>
        <v>25000000</v>
      </c>
      <c r="DN21" s="238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>
        <v>20000000</v>
      </c>
      <c r="EE21" s="155"/>
      <c r="EF21" s="155"/>
      <c r="EG21" s="158"/>
      <c r="EH21" s="155"/>
      <c r="EI21" s="155"/>
      <c r="EJ21" s="252"/>
      <c r="EK21" s="336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>
        <v>15500000</v>
      </c>
      <c r="EZ21" s="155"/>
      <c r="FA21" s="155"/>
      <c r="FB21" s="155"/>
      <c r="FC21" s="155"/>
      <c r="FD21" s="155"/>
      <c r="FE21" s="238">
        <v>66700000</v>
      </c>
      <c r="FF21" s="155"/>
      <c r="FG21" s="155"/>
      <c r="FH21" s="155"/>
      <c r="FI21" s="155"/>
      <c r="FJ21" s="34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238">
        <v>59700000</v>
      </c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238">
        <v>55000000</v>
      </c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238">
        <v>40900000</v>
      </c>
      <c r="HP21" s="155"/>
      <c r="HQ21" s="155"/>
      <c r="HR21" s="155">
        <v>6400000</v>
      </c>
      <c r="HS21" s="155"/>
      <c r="HT21" s="155"/>
      <c r="HU21" s="155"/>
      <c r="HV21" s="155"/>
      <c r="HW21" s="155"/>
      <c r="HX21" s="155"/>
      <c r="HY21" s="155">
        <v>9350000</v>
      </c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238">
        <v>25000000</v>
      </c>
      <c r="IK21" s="155"/>
      <c r="IL21" s="155"/>
      <c r="IM21" s="155">
        <v>79200000</v>
      </c>
      <c r="IN21" s="155"/>
      <c r="IO21" s="155"/>
      <c r="IP21" s="155"/>
      <c r="IQ21" s="155"/>
      <c r="IR21" s="155"/>
      <c r="IS21" s="155"/>
      <c r="IT21" s="155"/>
      <c r="IU21" s="155"/>
    </row>
    <row r="22" spans="1:255" s="38" customFormat="1" ht="14.1" customHeight="1">
      <c r="A22" s="32" t="s">
        <v>57</v>
      </c>
      <c r="B22" s="32"/>
      <c r="C22" s="155"/>
      <c r="D22" s="32"/>
      <c r="E22" s="32"/>
      <c r="F22" s="32"/>
      <c r="G22" s="32"/>
      <c r="H22" s="32"/>
      <c r="I22" s="32"/>
      <c r="J22" s="32"/>
      <c r="K22" s="32"/>
      <c r="L22" s="32">
        <v>15000000</v>
      </c>
      <c r="M22" s="123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5"/>
      <c r="AE22" s="32"/>
      <c r="AF22" s="123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>
        <v>30000000</v>
      </c>
      <c r="BC22" s="123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>
        <v>10000000</v>
      </c>
      <c r="BW22" s="32"/>
      <c r="BX22" s="32"/>
      <c r="BY22" s="123"/>
      <c r="BZ22" s="32"/>
      <c r="CA22" s="32"/>
      <c r="CB22" s="32"/>
      <c r="CC22" s="32"/>
      <c r="CD22" s="32"/>
      <c r="CE22" s="32">
        <v>8000000</v>
      </c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>
        <v>30000000</v>
      </c>
      <c r="CR22" s="32"/>
      <c r="CS22" s="123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>
        <v>7970000</v>
      </c>
      <c r="DN22" s="123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123"/>
      <c r="EK22" s="333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123"/>
      <c r="FF22" s="32"/>
      <c r="FG22" s="32"/>
      <c r="FH22" s="32"/>
      <c r="FI22" s="32"/>
      <c r="FJ22" s="79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123">
        <v>5000000</v>
      </c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123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123">
        <v>5000000</v>
      </c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123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</row>
    <row r="23" spans="1:255" s="38" customFormat="1" ht="14.1" customHeight="1">
      <c r="A23" s="32" t="s">
        <v>35</v>
      </c>
      <c r="B23" s="32"/>
      <c r="C23" s="155"/>
      <c r="D23" s="32"/>
      <c r="E23" s="32"/>
      <c r="F23" s="32"/>
      <c r="G23" s="32"/>
      <c r="H23" s="32"/>
      <c r="I23" s="32"/>
      <c r="J23" s="32"/>
      <c r="K23" s="32"/>
      <c r="L23" s="32">
        <v>10000000</v>
      </c>
      <c r="M23" s="123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123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123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>
        <v>12000000</v>
      </c>
      <c r="BW23" s="32"/>
      <c r="BX23" s="32"/>
      <c r="BY23" s="123"/>
      <c r="BZ23" s="32"/>
      <c r="CA23" s="32"/>
      <c r="CB23" s="32"/>
      <c r="CC23" s="32"/>
      <c r="CD23" s="32"/>
      <c r="CE23" s="32">
        <v>8000000</v>
      </c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>
        <v>17000000</v>
      </c>
      <c r="CR23" s="32"/>
      <c r="CS23" s="123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>
        <v>3080000</v>
      </c>
      <c r="DN23" s="123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123"/>
      <c r="EK23" s="333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123"/>
      <c r="FF23" s="32"/>
      <c r="FG23" s="32"/>
      <c r="FH23" s="32"/>
      <c r="FI23" s="32"/>
      <c r="FJ23" s="79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>
        <v>5000000</v>
      </c>
      <c r="FZ23" s="123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123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123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123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</row>
    <row r="24" spans="1:255" s="38" customFormat="1" ht="14.1" customHeight="1">
      <c r="A24" s="32" t="s">
        <v>32</v>
      </c>
      <c r="B24" s="32"/>
      <c r="C24" s="155"/>
      <c r="D24" s="32"/>
      <c r="E24" s="32"/>
      <c r="F24" s="32"/>
      <c r="G24" s="32"/>
      <c r="H24" s="32"/>
      <c r="I24" s="32"/>
      <c r="J24" s="32"/>
      <c r="K24" s="32"/>
      <c r="L24" s="32">
        <v>10000000</v>
      </c>
      <c r="M24" s="123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>
        <f>1725235.85+930477.25+150926.95</f>
        <v>2806640.0500000003</v>
      </c>
      <c r="AD24" s="32"/>
      <c r="AE24" s="32"/>
      <c r="AF24" s="123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>
        <v>5000000</v>
      </c>
      <c r="BC24" s="123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>
        <v>15000000</v>
      </c>
      <c r="BW24" s="32"/>
      <c r="BX24" s="32"/>
      <c r="BY24" s="123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>
        <v>18000000</v>
      </c>
      <c r="CR24" s="32"/>
      <c r="CS24" s="123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>
        <v>3100000</v>
      </c>
      <c r="DN24" s="123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123"/>
      <c r="EK24" s="333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123"/>
      <c r="FF24" s="32"/>
      <c r="FG24" s="32"/>
      <c r="FH24" s="32"/>
      <c r="FI24" s="32"/>
      <c r="FJ24" s="79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123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123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>
        <v>5000000</v>
      </c>
      <c r="HO24" s="123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123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</row>
    <row r="25" spans="1:255" s="38" customFormat="1" ht="14.1" customHeight="1">
      <c r="A25" s="32" t="s">
        <v>33</v>
      </c>
      <c r="B25" s="32"/>
      <c r="C25" s="155"/>
      <c r="D25" s="32"/>
      <c r="E25" s="32"/>
      <c r="F25" s="32"/>
      <c r="G25" s="32"/>
      <c r="H25" s="32"/>
      <c r="I25" s="32"/>
      <c r="J25" s="32"/>
      <c r="K25" s="32"/>
      <c r="L25" s="32">
        <v>10000000</v>
      </c>
      <c r="M25" s="123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123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>
        <v>30000000</v>
      </c>
      <c r="BC25" s="123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>
        <v>13000000</v>
      </c>
      <c r="BW25" s="32"/>
      <c r="BX25" s="32"/>
      <c r="BY25" s="123"/>
      <c r="BZ25" s="32"/>
      <c r="CA25" s="32"/>
      <c r="CB25" s="32"/>
      <c r="CC25" s="32"/>
      <c r="CD25" s="32"/>
      <c r="CE25" s="32">
        <v>8000000</v>
      </c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>
        <v>17000000</v>
      </c>
      <c r="CR25" s="32"/>
      <c r="CS25" s="123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>
        <v>3180000</v>
      </c>
      <c r="DN25" s="123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123"/>
      <c r="EK25" s="333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123"/>
      <c r="FF25" s="32"/>
      <c r="FG25" s="32"/>
      <c r="FH25" s="32"/>
      <c r="FI25" s="32"/>
      <c r="FJ25" s="79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123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123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123">
        <v>5000000</v>
      </c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123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</row>
    <row r="26" spans="1:255" s="38" customFormat="1" ht="14.1" customHeight="1">
      <c r="A26" s="33" t="s">
        <v>34</v>
      </c>
      <c r="B26" s="53"/>
      <c r="C26" s="157"/>
      <c r="D26" s="33"/>
      <c r="E26" s="33"/>
      <c r="F26" s="33"/>
      <c r="G26" s="33"/>
      <c r="H26" s="33"/>
      <c r="I26" s="33"/>
      <c r="J26" s="33"/>
      <c r="K26" s="33"/>
      <c r="L26" s="33">
        <v>15000000</v>
      </c>
      <c r="M26" s="197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>
        <v>581806.02</v>
      </c>
      <c r="AD26" s="33"/>
      <c r="AE26" s="33"/>
      <c r="AF26" s="197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197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>
        <v>20000000</v>
      </c>
      <c r="BW26" s="33"/>
      <c r="BX26" s="33"/>
      <c r="BY26" s="197"/>
      <c r="BZ26" s="33"/>
      <c r="CA26" s="33"/>
      <c r="CB26" s="33"/>
      <c r="CC26" s="33"/>
      <c r="CD26" s="33"/>
      <c r="CE26" s="33">
        <v>10000000</v>
      </c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>
        <v>38000000</v>
      </c>
      <c r="CR26" s="33"/>
      <c r="CS26" s="197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>
        <v>2670000</v>
      </c>
      <c r="DN26" s="197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197"/>
      <c r="EK26" s="334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197"/>
      <c r="FF26" s="33"/>
      <c r="FG26" s="33"/>
      <c r="FH26" s="33"/>
      <c r="FI26" s="33"/>
      <c r="FJ26" s="79"/>
      <c r="FK26" s="33"/>
      <c r="FL26" s="202"/>
      <c r="FM26" s="33"/>
      <c r="FN26" s="33"/>
      <c r="FO26" s="33"/>
      <c r="FP26" s="33">
        <v>5000000</v>
      </c>
      <c r="FQ26" s="33"/>
      <c r="FR26" s="33"/>
      <c r="FS26" s="33"/>
      <c r="FT26" s="33"/>
      <c r="FU26" s="33"/>
      <c r="FV26" s="33"/>
      <c r="FW26" s="33"/>
      <c r="FX26" s="33"/>
      <c r="FY26" s="33">
        <v>5000000</v>
      </c>
      <c r="FZ26" s="22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22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202"/>
      <c r="HN26" s="33"/>
      <c r="HO26" s="197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202"/>
      <c r="IG26" s="33"/>
      <c r="IH26" s="33"/>
      <c r="II26" s="33"/>
      <c r="IJ26" s="197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2"/>
    </row>
    <row r="27" spans="1:255" s="42" customFormat="1" ht="13.5" customHeight="1" thickBot="1">
      <c r="A27" s="43" t="s">
        <v>8</v>
      </c>
      <c r="B27" s="43"/>
      <c r="C27" s="43">
        <f t="shared" ref="C27:BN27" si="9">SUM(C8:C26)</f>
        <v>18566011.800000001</v>
      </c>
      <c r="D27" s="43">
        <f t="shared" si="9"/>
        <v>31861634.719999999</v>
      </c>
      <c r="E27" s="43">
        <f t="shared" si="9"/>
        <v>39253438.049999997</v>
      </c>
      <c r="F27" s="43">
        <f t="shared" si="9"/>
        <v>51077592.640000008</v>
      </c>
      <c r="G27" s="43">
        <f t="shared" si="9"/>
        <v>39445264.349999994</v>
      </c>
      <c r="H27" s="43">
        <f t="shared" si="9"/>
        <v>18033891.729999997</v>
      </c>
      <c r="I27" s="43">
        <f t="shared" si="9"/>
        <v>151931073.56</v>
      </c>
      <c r="J27" s="43">
        <f t="shared" si="9"/>
        <v>1648074.71</v>
      </c>
      <c r="K27" s="43">
        <f t="shared" si="9"/>
        <v>43857707.950000003</v>
      </c>
      <c r="L27" s="43">
        <f t="shared" si="9"/>
        <v>127925259.84</v>
      </c>
      <c r="M27" s="65">
        <f t="shared" si="9"/>
        <v>69818655.849999994</v>
      </c>
      <c r="N27" s="43">
        <f t="shared" si="9"/>
        <v>34639369.339999996</v>
      </c>
      <c r="O27" s="43">
        <f t="shared" si="9"/>
        <v>11985817.130000001</v>
      </c>
      <c r="P27" s="43">
        <f t="shared" si="9"/>
        <v>29300268.419999998</v>
      </c>
      <c r="Q27" s="43">
        <f t="shared" si="9"/>
        <v>13792091.800000001</v>
      </c>
      <c r="R27" s="43">
        <f t="shared" si="9"/>
        <v>21920246.759999998</v>
      </c>
      <c r="S27" s="43">
        <f t="shared" si="9"/>
        <v>7026637.6099999994</v>
      </c>
      <c r="T27" s="43">
        <f t="shared" si="9"/>
        <v>63859031.740000002</v>
      </c>
      <c r="U27" s="43">
        <f t="shared" si="9"/>
        <v>3040533.95</v>
      </c>
      <c r="V27" s="43">
        <f t="shared" si="9"/>
        <v>1418817.29</v>
      </c>
      <c r="W27" s="43">
        <f t="shared" si="9"/>
        <v>3036839.68</v>
      </c>
      <c r="X27" s="43">
        <f t="shared" si="9"/>
        <v>2863732.4099999997</v>
      </c>
      <c r="Y27" s="43">
        <f t="shared" si="9"/>
        <v>1875214.6500000001</v>
      </c>
      <c r="Z27" s="43">
        <f t="shared" si="9"/>
        <v>2676768.9899999998</v>
      </c>
      <c r="AA27" s="43">
        <f t="shared" si="9"/>
        <v>19287420.010000002</v>
      </c>
      <c r="AB27" s="43">
        <f t="shared" si="9"/>
        <v>12133185.060000001</v>
      </c>
      <c r="AC27" s="43">
        <f t="shared" si="9"/>
        <v>7421026.4299999997</v>
      </c>
      <c r="AD27" s="43">
        <f t="shared" si="9"/>
        <v>1119962.6599999999</v>
      </c>
      <c r="AE27" s="43">
        <f t="shared" si="9"/>
        <v>920539.9</v>
      </c>
      <c r="AF27" s="65">
        <f t="shared" si="9"/>
        <v>68082801.370000005</v>
      </c>
      <c r="AG27" s="43">
        <f t="shared" si="9"/>
        <v>5620165.8200000003</v>
      </c>
      <c r="AH27" s="43">
        <f t="shared" si="9"/>
        <v>2635390.3199999998</v>
      </c>
      <c r="AI27" s="43">
        <f t="shared" si="9"/>
        <v>1130979.4700000002</v>
      </c>
      <c r="AJ27" s="43">
        <f t="shared" si="9"/>
        <v>1379784.46</v>
      </c>
      <c r="AK27" s="43">
        <f t="shared" si="9"/>
        <v>7790078.8499999996</v>
      </c>
      <c r="AL27" s="43">
        <f t="shared" si="9"/>
        <v>3180797.2</v>
      </c>
      <c r="AM27" s="43">
        <f t="shared" si="9"/>
        <v>1525745.2999999998</v>
      </c>
      <c r="AN27" s="43">
        <f t="shared" si="9"/>
        <v>8014823.2100000009</v>
      </c>
      <c r="AO27" s="43">
        <f t="shared" si="9"/>
        <v>1765903.6900000002</v>
      </c>
      <c r="AP27" s="43">
        <f t="shared" si="9"/>
        <v>1774396.2400000002</v>
      </c>
      <c r="AQ27" s="43">
        <f t="shared" si="9"/>
        <v>3206083.07</v>
      </c>
      <c r="AR27" s="43">
        <f t="shared" si="9"/>
        <v>1686676.68</v>
      </c>
      <c r="AS27" s="43">
        <f t="shared" si="9"/>
        <v>3786596.71</v>
      </c>
      <c r="AT27" s="43">
        <f t="shared" si="9"/>
        <v>2075602.2300000002</v>
      </c>
      <c r="AU27" s="43">
        <f t="shared" si="9"/>
        <v>3091290.39</v>
      </c>
      <c r="AV27" s="43">
        <f t="shared" si="9"/>
        <v>16620166.6</v>
      </c>
      <c r="AW27" s="43">
        <f t="shared" si="9"/>
        <v>4745239.04</v>
      </c>
      <c r="AX27" s="43">
        <f t="shared" si="9"/>
        <v>1743944.46</v>
      </c>
      <c r="AY27" s="43">
        <f t="shared" si="9"/>
        <v>1382204.77</v>
      </c>
      <c r="AZ27" s="43">
        <f t="shared" si="9"/>
        <v>1457354.9800000002</v>
      </c>
      <c r="BA27" s="43">
        <f t="shared" si="9"/>
        <v>5103401.0399999991</v>
      </c>
      <c r="BB27" s="43">
        <f t="shared" si="9"/>
        <v>72496075.390000001</v>
      </c>
      <c r="BC27" s="65">
        <f t="shared" si="9"/>
        <v>68976367.379999995</v>
      </c>
      <c r="BD27" s="43">
        <f t="shared" si="9"/>
        <v>1113166.6299999999</v>
      </c>
      <c r="BE27" s="43">
        <f t="shared" si="9"/>
        <v>4768594.76</v>
      </c>
      <c r="BF27" s="43">
        <f t="shared" si="9"/>
        <v>5320599.4000000004</v>
      </c>
      <c r="BG27" s="43">
        <f t="shared" si="9"/>
        <v>611874.03</v>
      </c>
      <c r="BH27" s="43">
        <f t="shared" si="9"/>
        <v>7310972.6999999993</v>
      </c>
      <c r="BI27" s="43">
        <f t="shared" si="9"/>
        <v>1202263.03</v>
      </c>
      <c r="BJ27" s="43">
        <f t="shared" si="9"/>
        <v>1519285.6600000001</v>
      </c>
      <c r="BK27" s="43">
        <f t="shared" si="9"/>
        <v>4866865.75</v>
      </c>
      <c r="BL27" s="43">
        <f t="shared" si="9"/>
        <v>1238401.95</v>
      </c>
      <c r="BM27" s="43">
        <f t="shared" si="9"/>
        <v>1599983.66</v>
      </c>
      <c r="BN27" s="43">
        <f t="shared" si="9"/>
        <v>4170282.24</v>
      </c>
      <c r="BO27" s="43">
        <f t="shared" ref="BO27:DZ27" si="10">SUM(BO8:BO26)</f>
        <v>5162833.78</v>
      </c>
      <c r="BP27" s="43">
        <f t="shared" si="10"/>
        <v>3507472.98</v>
      </c>
      <c r="BQ27" s="43">
        <f t="shared" si="10"/>
        <v>2208192.34</v>
      </c>
      <c r="BR27" s="43">
        <f t="shared" si="10"/>
        <v>15674948.049999999</v>
      </c>
      <c r="BS27" s="43">
        <f t="shared" si="10"/>
        <v>1540241</v>
      </c>
      <c r="BT27" s="43">
        <f t="shared" si="10"/>
        <v>1195089.5</v>
      </c>
      <c r="BU27" s="43">
        <f t="shared" si="10"/>
        <v>1195421.5699999996</v>
      </c>
      <c r="BV27" s="43">
        <f t="shared" si="10"/>
        <v>70562009.680000007</v>
      </c>
      <c r="BW27" s="43">
        <f t="shared" si="10"/>
        <v>1384616.72</v>
      </c>
      <c r="BX27" s="43">
        <f t="shared" si="10"/>
        <v>1495425.07</v>
      </c>
      <c r="BY27" s="65">
        <f t="shared" si="10"/>
        <v>72147236.260000005</v>
      </c>
      <c r="BZ27" s="43">
        <f t="shared" si="10"/>
        <v>2022836.71</v>
      </c>
      <c r="CA27" s="43">
        <f t="shared" si="10"/>
        <v>1320639.3599999999</v>
      </c>
      <c r="CB27" s="43">
        <f t="shared" si="10"/>
        <v>9834200.8900000006</v>
      </c>
      <c r="CC27" s="43">
        <f t="shared" si="10"/>
        <v>465636.82999999996</v>
      </c>
      <c r="CD27" s="43">
        <f t="shared" si="10"/>
        <v>9003318.4199999999</v>
      </c>
      <c r="CE27" s="43">
        <f t="shared" si="10"/>
        <v>39109824.450000003</v>
      </c>
      <c r="CF27" s="43">
        <f t="shared" si="10"/>
        <v>3514868.29</v>
      </c>
      <c r="CG27" s="43">
        <f t="shared" si="10"/>
        <v>1960696.5499999998</v>
      </c>
      <c r="CH27" s="43">
        <f t="shared" si="10"/>
        <v>6401113.7200000007</v>
      </c>
      <c r="CI27" s="43">
        <f t="shared" si="10"/>
        <v>3408106.92</v>
      </c>
      <c r="CJ27" s="43">
        <f t="shared" si="10"/>
        <v>2749081.99</v>
      </c>
      <c r="CK27" s="43">
        <f t="shared" si="10"/>
        <v>1517601.58</v>
      </c>
      <c r="CL27" s="43">
        <f t="shared" si="10"/>
        <v>894752.07000000007</v>
      </c>
      <c r="CM27" s="43">
        <f t="shared" si="10"/>
        <v>18619724.300000001</v>
      </c>
      <c r="CN27" s="43">
        <f t="shared" si="10"/>
        <v>1549237.99</v>
      </c>
      <c r="CO27" s="43">
        <f t="shared" si="10"/>
        <v>1540152.9</v>
      </c>
      <c r="CP27" s="43">
        <f t="shared" si="10"/>
        <v>2189743.46</v>
      </c>
      <c r="CQ27" s="43">
        <f t="shared" si="10"/>
        <v>121818195.98999999</v>
      </c>
      <c r="CR27" s="43">
        <f t="shared" si="10"/>
        <v>7940252.4800000004</v>
      </c>
      <c r="CS27" s="65">
        <f t="shared" si="10"/>
        <v>65738724.759999998</v>
      </c>
      <c r="CT27" s="43">
        <f t="shared" si="10"/>
        <v>2660618.46</v>
      </c>
      <c r="CU27" s="43">
        <f t="shared" si="10"/>
        <v>3129195.2199999997</v>
      </c>
      <c r="CV27" s="43">
        <f t="shared" si="10"/>
        <v>2127197.56</v>
      </c>
      <c r="CW27" s="43">
        <f t="shared" si="10"/>
        <v>7461536.4200000009</v>
      </c>
      <c r="CX27" s="43">
        <f t="shared" si="10"/>
        <v>2464922.7599999998</v>
      </c>
      <c r="CY27" s="43">
        <f t="shared" si="10"/>
        <v>2151675.2999999998</v>
      </c>
      <c r="CZ27" s="43">
        <f t="shared" si="10"/>
        <v>1410163.02</v>
      </c>
      <c r="DA27" s="43">
        <f t="shared" si="10"/>
        <v>7528808.4500000002</v>
      </c>
      <c r="DB27" s="43">
        <f t="shared" si="10"/>
        <v>7259417.8899999997</v>
      </c>
      <c r="DC27" s="43">
        <f t="shared" si="10"/>
        <v>1329804.56</v>
      </c>
      <c r="DD27" s="43">
        <f t="shared" si="10"/>
        <v>15379525.300000001</v>
      </c>
      <c r="DE27" s="43">
        <f t="shared" si="10"/>
        <v>2376162.4</v>
      </c>
      <c r="DF27" s="43">
        <f t="shared" si="10"/>
        <v>2046817.88</v>
      </c>
      <c r="DG27" s="43">
        <f t="shared" si="10"/>
        <v>11006291.300000001</v>
      </c>
      <c r="DH27" s="43">
        <f t="shared" si="10"/>
        <v>1463504.17</v>
      </c>
      <c r="DI27" s="43">
        <f t="shared" si="10"/>
        <v>575564.90999999992</v>
      </c>
      <c r="DJ27" s="43">
        <f t="shared" si="10"/>
        <v>832513.79</v>
      </c>
      <c r="DK27" s="43">
        <f t="shared" si="10"/>
        <v>2534788.48</v>
      </c>
      <c r="DL27" s="43">
        <f t="shared" si="10"/>
        <v>400619.62</v>
      </c>
      <c r="DM27" s="43">
        <f t="shared" si="10"/>
        <v>46827587.68</v>
      </c>
      <c r="DN27" s="65">
        <f t="shared" si="10"/>
        <v>73780877.480000004</v>
      </c>
      <c r="DO27" s="43">
        <f t="shared" si="10"/>
        <v>912568.31</v>
      </c>
      <c r="DP27" s="43">
        <f t="shared" si="10"/>
        <v>7434578.2599999998</v>
      </c>
      <c r="DQ27" s="43">
        <f t="shared" si="10"/>
        <v>1639662.81</v>
      </c>
      <c r="DR27" s="43">
        <f t="shared" si="10"/>
        <v>4383127.62</v>
      </c>
      <c r="DS27" s="43">
        <f t="shared" si="10"/>
        <v>3127564.9800000004</v>
      </c>
      <c r="DT27" s="43">
        <f t="shared" si="10"/>
        <v>3040995.33</v>
      </c>
      <c r="DU27" s="43">
        <f t="shared" si="10"/>
        <v>5340694.41</v>
      </c>
      <c r="DV27" s="43">
        <f t="shared" si="10"/>
        <v>3914840.65</v>
      </c>
      <c r="DW27" s="43">
        <f t="shared" si="10"/>
        <v>10708174.250000002</v>
      </c>
      <c r="DX27" s="43">
        <f t="shared" si="10"/>
        <v>5179674.2300000004</v>
      </c>
      <c r="DY27" s="43">
        <f t="shared" si="10"/>
        <v>327133.87999999995</v>
      </c>
      <c r="DZ27" s="43">
        <f t="shared" si="10"/>
        <v>4410560.67</v>
      </c>
      <c r="EA27" s="43">
        <f t="shared" ref="EA27:GL27" si="11">SUM(EA8:EA26)</f>
        <v>985772.99000000011</v>
      </c>
      <c r="EB27" s="43">
        <f t="shared" si="11"/>
        <v>6761488.4299999997</v>
      </c>
      <c r="EC27" s="43">
        <f t="shared" si="11"/>
        <v>3279986.75</v>
      </c>
      <c r="ED27" s="43">
        <f t="shared" si="11"/>
        <v>21862083.489999998</v>
      </c>
      <c r="EE27" s="43">
        <f t="shared" si="11"/>
        <v>2690603.69</v>
      </c>
      <c r="EF27" s="43">
        <f t="shared" si="11"/>
        <v>50102001.210000001</v>
      </c>
      <c r="EG27" s="43">
        <f t="shared" si="11"/>
        <v>491848.07549999992</v>
      </c>
      <c r="EH27" s="43">
        <f t="shared" si="11"/>
        <v>1936234.55</v>
      </c>
      <c r="EI27" s="43">
        <f t="shared" si="11"/>
        <v>9689120.1099999994</v>
      </c>
      <c r="EJ27" s="65">
        <f t="shared" si="11"/>
        <v>65843344.630000003</v>
      </c>
      <c r="EK27" s="335">
        <f t="shared" si="11"/>
        <v>9716094.3000000007</v>
      </c>
      <c r="EL27" s="43">
        <f t="shared" si="11"/>
        <v>14738710.670000002</v>
      </c>
      <c r="EM27" s="43">
        <f t="shared" si="11"/>
        <v>3596891.06</v>
      </c>
      <c r="EN27" s="43">
        <f t="shared" si="11"/>
        <v>597712.48</v>
      </c>
      <c r="EO27" s="43">
        <f t="shared" si="11"/>
        <v>2333848.7200000002</v>
      </c>
      <c r="EP27" s="43">
        <f t="shared" si="11"/>
        <v>4220093.76</v>
      </c>
      <c r="EQ27" s="43">
        <f t="shared" si="11"/>
        <v>74346344.289999992</v>
      </c>
      <c r="ER27" s="43">
        <f t="shared" si="11"/>
        <v>2968552.6</v>
      </c>
      <c r="ES27" s="43">
        <f t="shared" si="11"/>
        <v>558439.03</v>
      </c>
      <c r="ET27" s="43">
        <f t="shared" si="11"/>
        <v>1477205.56</v>
      </c>
      <c r="EU27" s="43">
        <f t="shared" si="11"/>
        <v>4067056.63</v>
      </c>
      <c r="EV27" s="43">
        <f t="shared" si="11"/>
        <v>3475120.68</v>
      </c>
      <c r="EW27" s="43">
        <f t="shared" si="11"/>
        <v>2134799.5299999998</v>
      </c>
      <c r="EX27" s="43">
        <f t="shared" si="11"/>
        <v>352449.35</v>
      </c>
      <c r="EY27" s="43">
        <f t="shared" si="11"/>
        <v>16656189.07</v>
      </c>
      <c r="EZ27" s="43">
        <f t="shared" si="11"/>
        <v>2060935.13</v>
      </c>
      <c r="FA27" s="43">
        <f t="shared" si="11"/>
        <v>804815.37</v>
      </c>
      <c r="FB27" s="43">
        <f t="shared" si="11"/>
        <v>16717561.029999999</v>
      </c>
      <c r="FC27" s="43">
        <f t="shared" si="11"/>
        <v>575874.93999999994</v>
      </c>
      <c r="FD27" s="43">
        <f t="shared" si="11"/>
        <v>1710078.19</v>
      </c>
      <c r="FE27" s="65">
        <f t="shared" si="11"/>
        <v>67740126.849999994</v>
      </c>
      <c r="FF27" s="43">
        <f t="shared" si="11"/>
        <v>1509143.76</v>
      </c>
      <c r="FG27" s="43">
        <f t="shared" si="11"/>
        <v>825631.87</v>
      </c>
      <c r="FH27" s="43">
        <f t="shared" si="11"/>
        <v>13284989.6</v>
      </c>
      <c r="FI27" s="43">
        <f t="shared" si="11"/>
        <v>4778606.21</v>
      </c>
      <c r="FJ27" s="346">
        <f t="shared" si="11"/>
        <v>820255.64</v>
      </c>
      <c r="FK27" s="43">
        <f t="shared" si="11"/>
        <v>2550027.2199999997</v>
      </c>
      <c r="FL27" s="43">
        <f t="shared" si="11"/>
        <v>2974819.89</v>
      </c>
      <c r="FM27" s="43">
        <f t="shared" si="11"/>
        <v>123618681.23999999</v>
      </c>
      <c r="FN27" s="43">
        <f t="shared" si="11"/>
        <v>5968725.2300000004</v>
      </c>
      <c r="FO27" s="43">
        <f t="shared" si="11"/>
        <v>36507268.109999999</v>
      </c>
      <c r="FP27" s="43">
        <f t="shared" si="11"/>
        <v>5445716.5</v>
      </c>
      <c r="FQ27" s="43">
        <f t="shared" si="11"/>
        <v>943286.53</v>
      </c>
      <c r="FR27" s="43">
        <f t="shared" si="11"/>
        <v>4374125.93</v>
      </c>
      <c r="FS27" s="43">
        <f t="shared" si="11"/>
        <v>3560809.18</v>
      </c>
      <c r="FT27" s="43">
        <f t="shared" si="11"/>
        <v>20552939.629999999</v>
      </c>
      <c r="FU27" s="43">
        <f t="shared" si="11"/>
        <v>1307263.68</v>
      </c>
      <c r="FV27" s="43">
        <f t="shared" si="11"/>
        <v>4729209.0900000008</v>
      </c>
      <c r="FW27" s="43">
        <f t="shared" si="11"/>
        <v>684143.33000000007</v>
      </c>
      <c r="FX27" s="43">
        <f t="shared" si="11"/>
        <v>3860647.4000000004</v>
      </c>
      <c r="FY27" s="43">
        <f t="shared" si="11"/>
        <v>11885495.960000001</v>
      </c>
      <c r="FZ27" s="65">
        <f t="shared" si="11"/>
        <v>69421025.909999996</v>
      </c>
      <c r="GA27" s="43">
        <f t="shared" si="11"/>
        <v>8079295.46</v>
      </c>
      <c r="GB27" s="43">
        <f t="shared" si="11"/>
        <v>3895929.96</v>
      </c>
      <c r="GC27" s="43">
        <f t="shared" si="11"/>
        <v>2965376.38</v>
      </c>
      <c r="GD27" s="43">
        <f t="shared" si="11"/>
        <v>2869583.16</v>
      </c>
      <c r="GE27" s="43">
        <f t="shared" si="11"/>
        <v>3247187.1700000009</v>
      </c>
      <c r="GF27" s="43">
        <f t="shared" si="11"/>
        <v>2884229.96</v>
      </c>
      <c r="GG27" s="43">
        <f t="shared" si="11"/>
        <v>91199310.959999993</v>
      </c>
      <c r="GH27" s="43">
        <f t="shared" si="11"/>
        <v>3352345.44</v>
      </c>
      <c r="GI27" s="43">
        <f t="shared" si="11"/>
        <v>16643972.600000001</v>
      </c>
      <c r="GJ27" s="43">
        <f t="shared" si="11"/>
        <v>21766114.449999999</v>
      </c>
      <c r="GK27" s="43">
        <f t="shared" si="11"/>
        <v>24130207.140000001</v>
      </c>
      <c r="GL27" s="43">
        <f t="shared" si="11"/>
        <v>3067042.25</v>
      </c>
      <c r="GM27" s="43">
        <f t="shared" ref="GM27:IT27" si="12">SUM(GM8:GM26)</f>
        <v>4083576.4</v>
      </c>
      <c r="GN27" s="43">
        <f t="shared" si="12"/>
        <v>2382567.21</v>
      </c>
      <c r="GO27" s="43">
        <f t="shared" si="12"/>
        <v>5279607.6100000003</v>
      </c>
      <c r="GP27" s="43">
        <f t="shared" si="12"/>
        <v>15835377.82</v>
      </c>
      <c r="GQ27" s="43">
        <f t="shared" si="12"/>
        <v>2260123.09</v>
      </c>
      <c r="GR27" s="43">
        <f t="shared" si="12"/>
        <v>2079055.0199999998</v>
      </c>
      <c r="GS27" s="43">
        <f t="shared" si="12"/>
        <v>2257750.39</v>
      </c>
      <c r="GT27" s="65">
        <f t="shared" si="12"/>
        <v>69805202.319999993</v>
      </c>
      <c r="GU27" s="43">
        <f t="shared" si="12"/>
        <v>2836761.88</v>
      </c>
      <c r="GV27" s="43">
        <f t="shared" si="12"/>
        <v>7682219.6600000001</v>
      </c>
      <c r="GW27" s="43">
        <f t="shared" si="12"/>
        <v>3257507.59</v>
      </c>
      <c r="GX27" s="43">
        <f t="shared" si="12"/>
        <v>2423144.04</v>
      </c>
      <c r="GY27" s="43">
        <f t="shared" si="12"/>
        <v>1097123.72</v>
      </c>
      <c r="GZ27" s="43">
        <f t="shared" si="12"/>
        <v>9516756.7799999993</v>
      </c>
      <c r="HA27" s="43">
        <f t="shared" si="12"/>
        <v>1535777.8699999999</v>
      </c>
      <c r="HB27" s="43">
        <f t="shared" si="12"/>
        <v>1945914.25</v>
      </c>
      <c r="HC27" s="43">
        <f t="shared" si="12"/>
        <v>9968853.9600000009</v>
      </c>
      <c r="HD27" s="43">
        <f t="shared" si="12"/>
        <v>6187412.8999999994</v>
      </c>
      <c r="HE27" s="43">
        <f t="shared" si="12"/>
        <v>1116420.04</v>
      </c>
      <c r="HF27" s="43">
        <f t="shared" si="12"/>
        <v>4626768.01</v>
      </c>
      <c r="HG27" s="43">
        <f t="shared" si="12"/>
        <v>2518926.8000000003</v>
      </c>
      <c r="HH27" s="43">
        <f t="shared" si="12"/>
        <v>15414845.73</v>
      </c>
      <c r="HI27" s="43">
        <f t="shared" si="12"/>
        <v>5857754.8600000003</v>
      </c>
      <c r="HJ27" s="43">
        <f t="shared" si="12"/>
        <v>3637564.42</v>
      </c>
      <c r="HK27" s="43">
        <f t="shared" si="12"/>
        <v>11807529.42</v>
      </c>
      <c r="HL27" s="43">
        <f t="shared" si="12"/>
        <v>3466327.05</v>
      </c>
      <c r="HM27" s="43">
        <f t="shared" si="12"/>
        <v>4048711.45</v>
      </c>
      <c r="HN27" s="43">
        <f t="shared" si="12"/>
        <v>9394586.6500000004</v>
      </c>
      <c r="HO27" s="65">
        <f t="shared" si="12"/>
        <v>71836053.560000002</v>
      </c>
      <c r="HP27" s="43">
        <f t="shared" si="12"/>
        <v>6993974.5899999999</v>
      </c>
      <c r="HQ27" s="43">
        <f t="shared" si="12"/>
        <v>5447122.6799999997</v>
      </c>
      <c r="HR27" s="43">
        <f t="shared" si="12"/>
        <v>9812876.0199999996</v>
      </c>
      <c r="HS27" s="43">
        <f t="shared" si="12"/>
        <v>19737461.720000003</v>
      </c>
      <c r="HT27" s="43">
        <f t="shared" si="12"/>
        <v>17567508.720000003</v>
      </c>
      <c r="HU27" s="43">
        <f t="shared" si="12"/>
        <v>4082958.12</v>
      </c>
      <c r="HV27" s="43">
        <f t="shared" si="12"/>
        <v>31862791.100000001</v>
      </c>
      <c r="HW27" s="43">
        <f t="shared" si="12"/>
        <v>2005777.32</v>
      </c>
      <c r="HX27" s="43">
        <f t="shared" si="12"/>
        <v>6595252.7000000002</v>
      </c>
      <c r="HY27" s="43">
        <f t="shared" si="12"/>
        <v>18641819.149999999</v>
      </c>
      <c r="HZ27" s="43">
        <f t="shared" si="12"/>
        <v>15326421.699999999</v>
      </c>
      <c r="IA27" s="43">
        <f t="shared" si="12"/>
        <v>4799026.4999999991</v>
      </c>
      <c r="IB27" s="43">
        <f t="shared" si="12"/>
        <v>39954626.790000007</v>
      </c>
      <c r="IC27" s="43">
        <f t="shared" si="12"/>
        <v>31745967.43</v>
      </c>
      <c r="ID27" s="43">
        <f t="shared" si="12"/>
        <v>9905929.3200000003</v>
      </c>
      <c r="IE27" s="43">
        <f t="shared" si="12"/>
        <v>9247695.9499999993</v>
      </c>
      <c r="IF27" s="43">
        <f t="shared" si="12"/>
        <v>8751045.4000000004</v>
      </c>
      <c r="IG27" s="43">
        <f t="shared" si="12"/>
        <v>2661411.0199999996</v>
      </c>
      <c r="IH27" s="43">
        <f t="shared" si="12"/>
        <v>65819479.620000005</v>
      </c>
      <c r="II27" s="43">
        <f t="shared" si="12"/>
        <v>11983993.33</v>
      </c>
      <c r="IJ27" s="65">
        <f t="shared" si="12"/>
        <v>66451454.340000004</v>
      </c>
      <c r="IK27" s="43">
        <f t="shared" si="12"/>
        <v>8122844.9000000004</v>
      </c>
      <c r="IL27" s="43">
        <f t="shared" si="12"/>
        <v>16119477.65</v>
      </c>
      <c r="IM27" s="43">
        <f t="shared" si="12"/>
        <v>91841098.719999999</v>
      </c>
      <c r="IN27" s="43">
        <f t="shared" si="12"/>
        <v>20946394.929999996</v>
      </c>
      <c r="IO27" s="43">
        <f t="shared" si="12"/>
        <v>10751850.52</v>
      </c>
      <c r="IP27" s="43">
        <f t="shared" si="12"/>
        <v>20500161.59</v>
      </c>
      <c r="IQ27" s="43">
        <f t="shared" si="12"/>
        <v>17992404.690000001</v>
      </c>
      <c r="IR27" s="43">
        <f>SUM(IR8:IR26)</f>
        <v>34893241.120000005</v>
      </c>
      <c r="IS27" s="43">
        <f>SUM(IS8:IS26)</f>
        <v>30311370.849999998</v>
      </c>
      <c r="IT27" s="43">
        <f t="shared" si="12"/>
        <v>0</v>
      </c>
      <c r="IU27" s="43">
        <f>SUM(IU8:IV26)</f>
        <v>1701244920.2554991</v>
      </c>
    </row>
    <row r="28" spans="1:255" ht="14.1" customHeight="1" thickTop="1">
      <c r="A28" s="14"/>
      <c r="B28" s="14"/>
      <c r="C28" s="152"/>
      <c r="M28" s="213"/>
      <c r="AF28" s="213"/>
      <c r="BC28" s="213"/>
      <c r="BY28" s="213"/>
      <c r="CS28" s="213"/>
      <c r="CZ28" s="8"/>
      <c r="DN28" s="213"/>
      <c r="DR28" s="8"/>
      <c r="EB28" s="8"/>
      <c r="EH28" s="124"/>
      <c r="EJ28" s="213"/>
      <c r="EK28" s="140"/>
      <c r="EQ28" s="8"/>
      <c r="FD28" s="8"/>
      <c r="FE28" s="213"/>
      <c r="FJ28" s="71"/>
      <c r="FL28" s="212"/>
      <c r="FZ28" s="224"/>
      <c r="GT28" s="213"/>
      <c r="HK28" s="140"/>
      <c r="HL28" s="140"/>
      <c r="HM28" s="212"/>
      <c r="HO28" s="213"/>
      <c r="IF28" s="212"/>
      <c r="IJ28" s="213"/>
      <c r="IT28" s="8"/>
    </row>
    <row r="29" spans="1:255" ht="14.1" customHeight="1">
      <c r="A29" s="20" t="s">
        <v>9</v>
      </c>
      <c r="B29" s="20"/>
      <c r="C29" s="158"/>
      <c r="D29" s="3"/>
      <c r="E29" s="3"/>
      <c r="F29" s="3"/>
      <c r="G29" s="3"/>
      <c r="H29" s="3"/>
      <c r="I29" s="3"/>
      <c r="J29" s="3"/>
      <c r="K29" s="3"/>
      <c r="L29" s="3"/>
      <c r="M29" s="19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1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191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191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191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191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191"/>
      <c r="EK29" s="7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191"/>
      <c r="FF29" s="3"/>
      <c r="FG29" s="3"/>
      <c r="FH29" s="3"/>
      <c r="FI29" s="3"/>
      <c r="FJ29" s="79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91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191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191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191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ht="14.1" customHeight="1">
      <c r="A30" s="4" t="s">
        <v>13</v>
      </c>
      <c r="B30" s="12"/>
      <c r="C30" s="155"/>
      <c r="D30" s="4"/>
      <c r="E30" s="4"/>
      <c r="F30" s="4"/>
      <c r="G30" s="4"/>
      <c r="H30" s="4"/>
      <c r="I30" s="4"/>
      <c r="J30" s="4"/>
      <c r="K30" s="4"/>
      <c r="L30" s="4"/>
      <c r="M30" s="189"/>
      <c r="N30" s="4">
        <v>11388.67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>
        <f>+'FY-08, FEB-08 - Jan-09, DATA'!AB29*$V$75</f>
        <v>0</v>
      </c>
      <c r="AC30" s="4">
        <f>+'FY-08, FEB-08 - Jan-09, DATA'!AC29*$V$75</f>
        <v>0</v>
      </c>
      <c r="AD30" s="4"/>
      <c r="AE30" s="4"/>
      <c r="AF30" s="189"/>
      <c r="AG30" s="4">
        <v>12937.71</v>
      </c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>
        <v>27.25</v>
      </c>
      <c r="BA30" s="4"/>
      <c r="BB30" s="4"/>
      <c r="BC30" s="189">
        <f>8984.06+2838.25+124.69</f>
        <v>11947</v>
      </c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189">
        <v>13398.75</v>
      </c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>
        <f>-10386.64+11434.64</f>
        <v>1048</v>
      </c>
      <c r="CP30" s="4"/>
      <c r="CQ30" s="4"/>
      <c r="CR30" s="4"/>
      <c r="CS30" s="189">
        <v>14931.57</v>
      </c>
      <c r="CT30" s="4"/>
      <c r="CU30" s="4"/>
      <c r="CV30" s="4"/>
      <c r="CW30" s="4"/>
      <c r="CX30" s="4"/>
      <c r="CY30" s="4">
        <f>-11910.35-11434.64+11240.35+10764.64</f>
        <v>-1339.9999999999982</v>
      </c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189">
        <v>13137.3</v>
      </c>
      <c r="DO30" s="4"/>
      <c r="DP30" s="4"/>
      <c r="DQ30" s="4"/>
      <c r="DR30" s="4"/>
      <c r="DS30" s="4"/>
      <c r="DT30" s="4">
        <v>3640.62</v>
      </c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89"/>
      <c r="EK30" s="332">
        <v>15692.23</v>
      </c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89">
        <v>10714.13</v>
      </c>
      <c r="FF30" s="4"/>
      <c r="FG30" s="4"/>
      <c r="FH30" s="4"/>
      <c r="FI30" s="4"/>
      <c r="FJ30" s="79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89">
        <v>21757.5</v>
      </c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189"/>
      <c r="GU30" s="4">
        <v>20723.05</v>
      </c>
      <c r="GV30" s="4"/>
      <c r="GW30" s="4"/>
      <c r="GX30" s="4"/>
      <c r="GY30" s="4"/>
      <c r="GZ30" s="4"/>
      <c r="HA30" s="4"/>
      <c r="HB30" s="4">
        <f>34440.54-36520.9</f>
        <v>-2080.3600000000006</v>
      </c>
      <c r="HC30" s="4"/>
      <c r="HD30" s="4"/>
      <c r="HE30" s="4"/>
      <c r="HF30" s="4"/>
      <c r="HG30" s="4"/>
      <c r="HH30" s="4">
        <v>7266.01</v>
      </c>
      <c r="HI30" s="4">
        <f>5371.7-5491.7</f>
        <v>-120</v>
      </c>
      <c r="HJ30" s="4">
        <v>0</v>
      </c>
      <c r="HK30" s="4">
        <v>0</v>
      </c>
      <c r="HL30" s="4">
        <v>0</v>
      </c>
      <c r="HM30" s="4"/>
      <c r="HN30" s="4"/>
      <c r="HO30" s="189">
        <v>18184.349999999999</v>
      </c>
      <c r="HP30" s="4"/>
      <c r="HQ30" s="4"/>
      <c r="HR30" s="4"/>
      <c r="HS30" s="4"/>
      <c r="HT30" s="4"/>
      <c r="HU30" s="4">
        <f>-7266.01</f>
        <v>-7266.01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189">
        <v>16651.23</v>
      </c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>
        <f t="shared" ref="IU30:IU42" si="13">SUM(C30:IT30)</f>
        <v>182639</v>
      </c>
    </row>
    <row r="31" spans="1:255" ht="14.1" customHeight="1">
      <c r="A31" s="4" t="s">
        <v>85</v>
      </c>
      <c r="B31" s="12"/>
      <c r="C31" s="155"/>
      <c r="D31" s="4"/>
      <c r="E31" s="4"/>
      <c r="F31" s="4">
        <f>146793.59+1644.11</f>
        <v>148437.69999999998</v>
      </c>
      <c r="G31" s="4"/>
      <c r="H31" s="4"/>
      <c r="I31" s="4"/>
      <c r="J31" s="4"/>
      <c r="K31" s="4"/>
      <c r="L31" s="4"/>
      <c r="M31" s="189"/>
      <c r="N31" s="4">
        <v>1625.1</v>
      </c>
      <c r="O31" s="4"/>
      <c r="P31" s="4"/>
      <c r="Q31" s="4"/>
      <c r="R31" s="4"/>
      <c r="S31" s="4"/>
      <c r="T31" s="4"/>
      <c r="U31" s="4">
        <v>1675.1</v>
      </c>
      <c r="V31" s="4"/>
      <c r="W31" s="4"/>
      <c r="X31" s="4"/>
      <c r="Y31" s="4"/>
      <c r="Z31" s="4"/>
      <c r="AA31" s="4">
        <v>136140.09</v>
      </c>
      <c r="AB31" s="4">
        <f>+'FY-08, FEB-08 - Jan-09, DATA'!AB30*$V$75</f>
        <v>0</v>
      </c>
      <c r="AC31" s="4">
        <f>+'FY-08, FEB-08 - Jan-09, DATA'!AC30*$V$75</f>
        <v>0</v>
      </c>
      <c r="AD31" s="58"/>
      <c r="AE31" s="4"/>
      <c r="AF31" s="189"/>
      <c r="AG31" s="4">
        <v>1665.1</v>
      </c>
      <c r="AH31" s="4"/>
      <c r="AI31" s="4"/>
      <c r="AJ31" s="4"/>
      <c r="AK31" s="4"/>
      <c r="AL31" s="4"/>
      <c r="AM31" s="4"/>
      <c r="AN31" s="4"/>
      <c r="AO31" s="4"/>
      <c r="AP31" s="4"/>
      <c r="AQ31" s="4">
        <v>1665.1</v>
      </c>
      <c r="AR31" s="4"/>
      <c r="AS31" s="4"/>
      <c r="AT31" s="4"/>
      <c r="AU31" s="4"/>
      <c r="AV31" s="4">
        <v>128396.6</v>
      </c>
      <c r="AW31" s="58"/>
      <c r="AX31" s="4"/>
      <c r="AY31" s="4"/>
      <c r="AZ31" s="4"/>
      <c r="BA31" s="4"/>
      <c r="BB31" s="4"/>
      <c r="BC31" s="189"/>
      <c r="BD31" s="4"/>
      <c r="BE31" s="4"/>
      <c r="BF31" s="4">
        <v>1375.1</v>
      </c>
      <c r="BG31" s="4"/>
      <c r="BH31" s="4"/>
      <c r="BI31" s="4">
        <v>1578.79</v>
      </c>
      <c r="BJ31" s="4"/>
      <c r="BK31" s="4"/>
      <c r="BL31" s="4"/>
      <c r="BM31" s="4"/>
      <c r="BN31" s="4"/>
      <c r="BO31" s="4"/>
      <c r="BP31" s="4"/>
      <c r="BQ31" s="4"/>
      <c r="BR31" s="4"/>
      <c r="BS31" s="58">
        <v>129097.26</v>
      </c>
      <c r="BT31" s="4"/>
      <c r="BU31" s="4">
        <v>1720.1</v>
      </c>
      <c r="BV31" s="4"/>
      <c r="BW31" s="4"/>
      <c r="BX31" s="4"/>
      <c r="BY31" s="189"/>
      <c r="BZ31" s="4"/>
      <c r="CA31" s="4"/>
      <c r="CB31" s="4"/>
      <c r="CC31" s="4"/>
      <c r="CD31" s="4"/>
      <c r="CE31" s="4"/>
      <c r="CF31" s="4"/>
      <c r="CG31" s="4">
        <v>1720.1</v>
      </c>
      <c r="CH31" s="4"/>
      <c r="CI31" s="4"/>
      <c r="CJ31" s="4"/>
      <c r="CK31" s="4"/>
      <c r="CL31" s="58">
        <v>124499.76</v>
      </c>
      <c r="CM31" s="4"/>
      <c r="CN31" s="4"/>
      <c r="CO31" s="4"/>
      <c r="CP31" s="4"/>
      <c r="CQ31" s="4"/>
      <c r="CR31" s="4"/>
      <c r="CS31" s="189"/>
      <c r="CT31" s="4"/>
      <c r="CU31" s="4"/>
      <c r="CV31" s="4"/>
      <c r="CW31" s="4"/>
      <c r="CX31" s="4"/>
      <c r="CY31" s="4"/>
      <c r="CZ31" s="4">
        <v>1674.99</v>
      </c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189"/>
      <c r="DO31" s="58">
        <v>136224.29999999999</v>
      </c>
      <c r="DP31" s="4"/>
      <c r="DQ31" s="4">
        <v>1279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>
        <v>135062.29999999999</v>
      </c>
      <c r="EJ31" s="189"/>
      <c r="EK31" s="338"/>
      <c r="EL31" s="4"/>
      <c r="EM31" s="4"/>
      <c r="EN31" s="4"/>
      <c r="EO31" s="4"/>
      <c r="EP31" s="4">
        <v>1279</v>
      </c>
      <c r="EQ31" s="4"/>
      <c r="ER31" s="4"/>
      <c r="ES31" s="4"/>
      <c r="ET31" s="4"/>
      <c r="EU31" s="4">
        <v>1289</v>
      </c>
      <c r="EV31" s="4"/>
      <c r="EW31" s="4"/>
      <c r="EX31" s="4"/>
      <c r="EY31" s="58"/>
      <c r="EZ31" s="4">
        <v>139396.42000000001</v>
      </c>
      <c r="FA31" s="4"/>
      <c r="FB31" s="4"/>
      <c r="FC31" s="4"/>
      <c r="FD31" s="4"/>
      <c r="FE31" s="189"/>
      <c r="FF31" s="4"/>
      <c r="FG31" s="4">
        <v>1454</v>
      </c>
      <c r="FH31" s="4"/>
      <c r="FI31" s="4"/>
      <c r="FJ31" s="79"/>
      <c r="FK31" s="4"/>
      <c r="FL31" s="4"/>
      <c r="FM31" s="4"/>
      <c r="FN31" s="4"/>
      <c r="FO31" s="4"/>
      <c r="FP31" s="4"/>
      <c r="FQ31" s="4"/>
      <c r="FR31" s="4"/>
      <c r="FS31" s="4">
        <v>1525.42</v>
      </c>
      <c r="FT31" s="4"/>
      <c r="FU31" s="4"/>
      <c r="FV31" s="58">
        <v>125444.24</v>
      </c>
      <c r="FW31" s="4"/>
      <c r="FX31" s="4"/>
      <c r="FY31" s="4"/>
      <c r="FZ31" s="189">
        <v>1514</v>
      </c>
      <c r="GA31" s="4"/>
      <c r="GB31" s="4"/>
      <c r="GC31" s="4"/>
      <c r="GD31" s="4"/>
      <c r="GE31" s="4">
        <v>1534</v>
      </c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>
        <v>123927.6</v>
      </c>
      <c r="GQ31" s="4"/>
      <c r="GR31" s="58"/>
      <c r="GS31" s="4"/>
      <c r="GT31" s="189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>
        <v>1584</v>
      </c>
      <c r="HG31" s="4"/>
      <c r="HH31" s="58"/>
      <c r="HI31" s="4">
        <v>126776.4</v>
      </c>
      <c r="HJ31" s="4"/>
      <c r="HK31" s="4"/>
      <c r="HL31" s="4"/>
      <c r="HM31" s="4"/>
      <c r="HN31" s="4"/>
      <c r="HO31" s="189"/>
      <c r="HP31" s="4"/>
      <c r="HQ31" s="4"/>
      <c r="HR31" s="4">
        <v>1639</v>
      </c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>
        <v>121987.46</v>
      </c>
      <c r="IG31" s="4"/>
      <c r="IH31" s="4"/>
      <c r="II31" s="4"/>
      <c r="IJ31" s="189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>
        <f t="shared" si="13"/>
        <v>1603187.0299999996</v>
      </c>
    </row>
    <row r="32" spans="1:255" ht="14.1" customHeight="1">
      <c r="A32" s="4" t="s">
        <v>48</v>
      </c>
      <c r="B32" s="12"/>
      <c r="C32" s="155"/>
      <c r="D32" s="4"/>
      <c r="E32" s="4"/>
      <c r="F32" s="4"/>
      <c r="G32" s="4"/>
      <c r="H32" s="58">
        <v>14192701.109999999</v>
      </c>
      <c r="I32" s="4"/>
      <c r="J32" s="4"/>
      <c r="K32" s="4"/>
      <c r="L32" s="4"/>
      <c r="M32" s="189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155">
        <v>13617393.949999999</v>
      </c>
      <c r="AB32" s="4">
        <f>+'FY-08, FEB-08 - Jan-09, DATA'!AB31*$V$75</f>
        <v>0</v>
      </c>
      <c r="AC32" s="4">
        <f>+'FY-08, FEB-08 - Jan-09, DATA'!AC31*$V$75</f>
        <v>0</v>
      </c>
      <c r="AD32" s="4"/>
      <c r="AE32" s="4"/>
      <c r="AF32" s="189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155">
        <v>14098291.939999999</v>
      </c>
      <c r="AW32" s="4"/>
      <c r="AX32" s="4"/>
      <c r="AY32" s="4"/>
      <c r="AZ32" s="4"/>
      <c r="BA32" s="4"/>
      <c r="BB32" s="4"/>
      <c r="BC32" s="189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155">
        <v>14011092.67</v>
      </c>
      <c r="BS32" s="4"/>
      <c r="BT32" s="4"/>
      <c r="BU32" s="4"/>
      <c r="BV32" s="4"/>
      <c r="BW32" s="4"/>
      <c r="BX32" s="4"/>
      <c r="BY32" s="189"/>
      <c r="BZ32" s="4"/>
      <c r="CA32" s="4"/>
      <c r="CB32" s="4"/>
      <c r="CC32" s="4"/>
      <c r="CD32" s="4">
        <v>119454.22</v>
      </c>
      <c r="CE32" s="4"/>
      <c r="CF32" s="4"/>
      <c r="CG32" s="4"/>
      <c r="CH32" s="4"/>
      <c r="CI32" s="4"/>
      <c r="CJ32" s="4"/>
      <c r="CK32" s="4"/>
      <c r="CL32" s="4"/>
      <c r="CM32" s="155">
        <v>14348866.09</v>
      </c>
      <c r="CN32" s="4"/>
      <c r="CO32" s="4"/>
      <c r="CP32" s="4"/>
      <c r="CQ32" s="4"/>
      <c r="CR32" s="4"/>
      <c r="CS32" s="189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58">
        <v>13498719.99</v>
      </c>
      <c r="DE32" s="4"/>
      <c r="DF32" s="4"/>
      <c r="DG32" s="4"/>
      <c r="DH32" s="4"/>
      <c r="DI32" s="4"/>
      <c r="DJ32" s="4"/>
      <c r="DK32" s="4"/>
      <c r="DL32" s="4"/>
      <c r="DM32" s="4"/>
      <c r="DN32" s="189">
        <v>12458.13</v>
      </c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155">
        <v>13993135.58</v>
      </c>
      <c r="EE32" s="4"/>
      <c r="EF32" s="4"/>
      <c r="EG32" s="4"/>
      <c r="EH32" s="4"/>
      <c r="EI32" s="4"/>
      <c r="EJ32" s="189"/>
      <c r="EL32" s="4"/>
      <c r="EM32" s="4">
        <f>+'FY-08, FEB-08 - Jan-09, DATA'!EL31*$V$75</f>
        <v>2500000</v>
      </c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155">
        <v>13439072.890000001</v>
      </c>
      <c r="EZ32" s="4"/>
      <c r="FA32" s="4"/>
      <c r="FB32" s="4"/>
      <c r="FC32" s="4"/>
      <c r="FD32" s="4"/>
      <c r="FE32" s="189"/>
      <c r="FF32" s="4"/>
      <c r="FG32" s="4"/>
      <c r="FH32" s="4"/>
      <c r="FI32" s="4"/>
      <c r="FJ32" s="79"/>
      <c r="FK32" s="4"/>
      <c r="FL32" s="4"/>
      <c r="FM32" s="4"/>
      <c r="FN32" s="4"/>
      <c r="FO32" s="4"/>
      <c r="FP32" s="4"/>
      <c r="FQ32" s="4"/>
      <c r="FR32" s="4"/>
      <c r="FS32" s="4"/>
      <c r="FT32" s="155">
        <v>15211121.939999999</v>
      </c>
      <c r="FU32" s="4"/>
      <c r="FV32" s="4"/>
      <c r="FW32" s="4"/>
      <c r="FX32" s="4"/>
      <c r="FY32" s="4"/>
      <c r="FZ32" s="189"/>
      <c r="GA32" s="4"/>
      <c r="GB32" s="4"/>
      <c r="GC32" s="4"/>
      <c r="GD32" s="4"/>
      <c r="GE32" s="4"/>
      <c r="GF32" s="4"/>
      <c r="GG32" s="386"/>
      <c r="GI32" s="385">
        <v>11427384.720000001</v>
      </c>
      <c r="GJ32" s="4"/>
      <c r="GK32" s="4"/>
      <c r="GL32" s="4"/>
      <c r="GM32" s="4"/>
      <c r="GN32" s="4"/>
      <c r="GO32" s="4"/>
      <c r="GP32" s="155">
        <v>15464306.310000001</v>
      </c>
      <c r="GQ32" s="4"/>
      <c r="GR32" s="4"/>
      <c r="GS32" s="4"/>
      <c r="GT32" s="189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v>15002614.74</v>
      </c>
      <c r="HI32" s="4"/>
      <c r="HJ32" s="4"/>
      <c r="HK32" s="4"/>
      <c r="HL32" s="4"/>
      <c r="HM32" s="4"/>
      <c r="HN32" s="4"/>
      <c r="HO32" s="189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155">
        <v>15284098.890000001</v>
      </c>
      <c r="ID32" s="4"/>
      <c r="IE32" s="4"/>
      <c r="IF32" s="4"/>
      <c r="IG32" s="4"/>
      <c r="IH32" s="4"/>
      <c r="II32" s="4"/>
      <c r="IJ32" s="189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>
        <f t="shared" si="13"/>
        <v>186220713.17000002</v>
      </c>
    </row>
    <row r="33" spans="1:255" ht="14.1" customHeight="1">
      <c r="A33" s="4" t="s">
        <v>27</v>
      </c>
      <c r="B33" s="12"/>
      <c r="C33" s="155"/>
      <c r="D33" s="4"/>
      <c r="E33" s="4"/>
      <c r="F33" s="4"/>
      <c r="G33" s="4"/>
      <c r="H33" s="4">
        <v>111532.15</v>
      </c>
      <c r="I33" s="4"/>
      <c r="J33" s="4"/>
      <c r="K33" s="4">
        <v>270</v>
      </c>
      <c r="L33" s="4"/>
      <c r="M33" s="225">
        <v>1548062.81</v>
      </c>
      <c r="N33" s="4"/>
      <c r="O33" s="4"/>
      <c r="P33" s="4"/>
      <c r="Q33" s="4">
        <v>109556.42</v>
      </c>
      <c r="R33" s="4"/>
      <c r="S33" s="4"/>
      <c r="T33" s="4"/>
      <c r="U33" s="4"/>
      <c r="V33" s="4"/>
      <c r="W33" s="4"/>
      <c r="X33" s="4"/>
      <c r="Y33" s="4">
        <v>275</v>
      </c>
      <c r="Z33" s="4"/>
      <c r="AA33" s="58">
        <v>107521.27</v>
      </c>
      <c r="AB33" s="4">
        <v>0</v>
      </c>
      <c r="AC33" s="4">
        <f>+'FY-08, FEB-08 - Jan-09, DATA'!AC32*$V$75</f>
        <v>0</v>
      </c>
      <c r="AD33" s="4"/>
      <c r="AE33" s="4"/>
      <c r="AF33" s="238">
        <v>1543182.23</v>
      </c>
      <c r="AG33" s="4"/>
      <c r="AH33" s="4"/>
      <c r="AI33" s="4"/>
      <c r="AJ33" s="4"/>
      <c r="AK33" s="58">
        <v>108894.99</v>
      </c>
      <c r="AL33" s="4"/>
      <c r="AM33" s="4"/>
      <c r="AN33" s="4"/>
      <c r="AO33" s="4"/>
      <c r="AP33" s="4">
        <v>893.74</v>
      </c>
      <c r="AQ33" s="4"/>
      <c r="AR33" s="4"/>
      <c r="AS33" s="4"/>
      <c r="AT33" s="4"/>
      <c r="AU33" s="58">
        <v>107384.51</v>
      </c>
      <c r="AV33" s="4"/>
      <c r="AW33" s="4"/>
      <c r="AX33" s="4">
        <v>75</v>
      </c>
      <c r="AY33" s="4"/>
      <c r="AZ33" s="4"/>
      <c r="BA33" s="4"/>
      <c r="BB33" s="4"/>
      <c r="BC33" s="238">
        <f>1543762.82+2275.35</f>
        <v>1546038.1700000002</v>
      </c>
      <c r="BD33" s="4"/>
      <c r="BE33" s="58">
        <v>108672.4</v>
      </c>
      <c r="BF33" s="4"/>
      <c r="BG33" s="4"/>
      <c r="BH33" s="4"/>
      <c r="BI33" s="4"/>
      <c r="BJ33" s="4"/>
      <c r="BK33" s="4"/>
      <c r="BL33" s="4"/>
      <c r="BM33" s="4"/>
      <c r="BN33" s="4"/>
      <c r="BO33" s="58">
        <v>108440.43</v>
      </c>
      <c r="BQ33" s="4">
        <v>256.11</v>
      </c>
      <c r="BR33" s="4"/>
      <c r="BS33" s="4"/>
      <c r="BT33" s="4"/>
      <c r="BU33" s="4"/>
      <c r="BV33" s="4"/>
      <c r="BW33" s="4"/>
      <c r="BX33" s="4"/>
      <c r="BY33" s="238">
        <v>1655760.55</v>
      </c>
      <c r="BZ33" s="58">
        <v>1719.79</v>
      </c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>
        <v>50</v>
      </c>
      <c r="CQ33" s="4"/>
      <c r="CR33" s="58">
        <v>105741.6</v>
      </c>
      <c r="CS33" s="225">
        <v>1540483.9</v>
      </c>
      <c r="CT33" s="4"/>
      <c r="CU33" s="4"/>
      <c r="CV33" s="4">
        <v>544.20000000000005</v>
      </c>
      <c r="CW33" s="4"/>
      <c r="CX33" s="4"/>
      <c r="CY33" s="4"/>
      <c r="CZ33" s="4"/>
      <c r="DA33" s="4"/>
      <c r="DB33" s="58">
        <v>91891.61</v>
      </c>
      <c r="DC33" s="4"/>
      <c r="DD33" s="4"/>
      <c r="DE33" s="4"/>
      <c r="DF33" s="4"/>
      <c r="DG33" s="4"/>
      <c r="DH33" s="4"/>
      <c r="DI33" s="4"/>
      <c r="DJ33" s="4"/>
      <c r="DK33" s="58">
        <v>90372.41</v>
      </c>
      <c r="DL33" s="4"/>
      <c r="DM33" s="4">
        <v>851.5</v>
      </c>
      <c r="DN33" s="189">
        <v>1545708.38</v>
      </c>
      <c r="DO33" s="4"/>
      <c r="DP33" s="4"/>
      <c r="DQ33" s="4"/>
      <c r="DR33" s="4"/>
      <c r="DS33" s="4"/>
      <c r="DT33" s="4"/>
      <c r="DU33" s="58">
        <v>88089.74</v>
      </c>
      <c r="DV33" s="4"/>
      <c r="DW33" s="4">
        <v>1326</v>
      </c>
      <c r="DX33" s="4"/>
      <c r="DY33" s="4"/>
      <c r="DZ33" s="4"/>
      <c r="EA33" s="4">
        <v>150</v>
      </c>
      <c r="EB33" s="4"/>
      <c r="EC33" s="4">
        <v>202.21</v>
      </c>
      <c r="ED33" s="4"/>
      <c r="EE33" s="58">
        <v>88793.53</v>
      </c>
      <c r="EF33" s="4"/>
      <c r="EG33" s="4"/>
      <c r="EH33" s="4">
        <v>253.34</v>
      </c>
      <c r="EI33" s="4"/>
      <c r="EJ33" s="225">
        <v>1539974.08</v>
      </c>
      <c r="EK33" s="332"/>
      <c r="EL33" s="4">
        <f>1007.12+1329.24</f>
        <v>2336.36</v>
      </c>
      <c r="EM33" s="4"/>
      <c r="EN33" s="4"/>
      <c r="EO33" s="4">
        <v>91310.93</v>
      </c>
      <c r="EP33" s="4">
        <v>1416.86</v>
      </c>
      <c r="EQ33" s="4"/>
      <c r="ER33" s="4"/>
      <c r="ES33" s="4"/>
      <c r="ET33" s="4"/>
      <c r="EU33" s="4"/>
      <c r="EV33" s="4"/>
      <c r="EW33" s="4"/>
      <c r="EX33" s="4"/>
      <c r="EY33" s="58">
        <v>103991.63</v>
      </c>
      <c r="EZ33" s="4"/>
      <c r="FA33" s="4">
        <v>310</v>
      </c>
      <c r="FB33" s="4"/>
      <c r="FC33" s="4"/>
      <c r="FD33" s="4">
        <v>90</v>
      </c>
      <c r="FE33" s="238">
        <f>1491461.12+400</f>
        <v>1491861.12</v>
      </c>
      <c r="FF33" s="4">
        <v>325.14</v>
      </c>
      <c r="FG33" s="4">
        <v>250</v>
      </c>
      <c r="FH33" s="58">
        <f>102625.44+500</f>
        <v>103125.44</v>
      </c>
      <c r="FI33" s="4"/>
      <c r="FJ33" s="79"/>
      <c r="FK33" s="4">
        <v>2017.58</v>
      </c>
      <c r="FL33" s="4"/>
      <c r="FM33" s="4"/>
      <c r="FN33" s="4"/>
      <c r="FO33" s="4"/>
      <c r="FP33" s="4"/>
      <c r="FQ33" s="4">
        <v>136.46</v>
      </c>
      <c r="FR33" s="4">
        <v>103714.03</v>
      </c>
      <c r="FS33" s="4">
        <v>114.54</v>
      </c>
      <c r="FT33" s="4"/>
      <c r="FU33" s="4"/>
      <c r="FV33" s="4"/>
      <c r="FW33" s="4">
        <v>540.84</v>
      </c>
      <c r="FX33" s="4"/>
      <c r="FY33" s="4"/>
      <c r="FZ33" s="238">
        <v>1505028.19</v>
      </c>
      <c r="GA33" s="401">
        <v>104793.2</v>
      </c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388">
        <v>1615589.62</v>
      </c>
      <c r="GU33" s="4"/>
      <c r="GV33" s="4">
        <v>942.73</v>
      </c>
      <c r="GW33" s="4"/>
      <c r="GX33" s="4"/>
      <c r="GY33" s="4"/>
      <c r="GZ33" s="4"/>
      <c r="HA33" s="4"/>
      <c r="HB33" s="58">
        <v>105538.94</v>
      </c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58">
        <v>103198.5</v>
      </c>
      <c r="HN33" s="4"/>
      <c r="HO33" s="238">
        <v>1500499</v>
      </c>
      <c r="HP33" s="4"/>
      <c r="HQ33" s="4">
        <v>2539.23</v>
      </c>
      <c r="HR33" s="4"/>
      <c r="HS33" s="4"/>
      <c r="HT33" s="4"/>
      <c r="HU33" s="58">
        <v>105604.37</v>
      </c>
      <c r="HV33" s="4"/>
      <c r="HW33" s="4"/>
      <c r="HX33" s="4"/>
      <c r="HY33" s="4"/>
      <c r="HZ33" s="4"/>
      <c r="IA33" s="4"/>
      <c r="IB33" s="4"/>
      <c r="IC33" s="4"/>
      <c r="ID33" s="4"/>
      <c r="IE33" s="58">
        <v>88163.85</v>
      </c>
      <c r="IF33" s="4"/>
      <c r="IG33" s="4"/>
      <c r="II33" s="4"/>
      <c r="IJ33" s="238">
        <v>1502346.84</v>
      </c>
      <c r="IK33" s="4"/>
      <c r="IL33" s="4"/>
      <c r="IM33" s="4"/>
      <c r="IN33" s="58">
        <v>104341.22</v>
      </c>
      <c r="IO33" s="4"/>
      <c r="IP33" s="4"/>
      <c r="IQ33" s="4"/>
      <c r="IR33" s="4">
        <v>25</v>
      </c>
      <c r="IS33" s="4"/>
      <c r="IT33" s="4"/>
      <c r="IU33" s="4">
        <f t="shared" si="13"/>
        <v>20793119.690000001</v>
      </c>
    </row>
    <row r="34" spans="1:255" s="209" customFormat="1" ht="14.1" customHeight="1">
      <c r="A34" s="204" t="s">
        <v>78</v>
      </c>
      <c r="B34" s="211"/>
      <c r="C34" s="204"/>
      <c r="D34" s="204"/>
      <c r="E34" s="204"/>
      <c r="F34" s="204"/>
      <c r="G34" s="204"/>
      <c r="H34" s="204"/>
      <c r="I34" s="204"/>
      <c r="J34" s="204"/>
      <c r="K34" s="204"/>
      <c r="L34" s="204">
        <v>126906944.76000001</v>
      </c>
      <c r="M34" s="216">
        <v>3357462.5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>
        <f>+'FY-08, FEB-08 - Jan-09, DATA'!AB33*$V$75</f>
        <v>0</v>
      </c>
      <c r="AC34" s="204">
        <f>+'FY-08, FEB-08 - Jan-09, DATA'!AC33*$V$75</f>
        <v>0</v>
      </c>
      <c r="AD34" s="204"/>
      <c r="AE34" s="204"/>
      <c r="AF34" s="216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16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>
        <v>344321</v>
      </c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16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16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16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>
        <v>2447779.17</v>
      </c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16">
        <f>409850+5600</f>
        <v>415450</v>
      </c>
      <c r="EK34" s="337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16"/>
      <c r="FF34" s="204"/>
      <c r="FG34" s="204"/>
      <c r="FH34" s="204"/>
      <c r="FI34" s="204"/>
      <c r="FJ34" s="347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>
        <v>2917.81</v>
      </c>
      <c r="FW34" s="204"/>
      <c r="FX34" s="204"/>
      <c r="FY34" s="204"/>
      <c r="FZ34" s="216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16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16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16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  <c r="IU34" s="204">
        <f t="shared" si="13"/>
        <v>133474875.24000001</v>
      </c>
    </row>
    <row r="35" spans="1:255" ht="14.1" customHeight="1">
      <c r="A35" s="4" t="s">
        <v>84</v>
      </c>
      <c r="B35" s="12"/>
      <c r="C35" s="155"/>
      <c r="D35" s="4"/>
      <c r="E35" s="4"/>
      <c r="F35" s="4"/>
      <c r="G35" s="4"/>
      <c r="H35" s="4"/>
      <c r="I35" s="4">
        <f>3921.82+3672.03</f>
        <v>7593.85</v>
      </c>
      <c r="J35" s="4"/>
      <c r="K35" s="4"/>
      <c r="L35" s="4"/>
      <c r="M35" s="189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>
        <f>+'FY-08, FEB-08 - Jan-09, DATA'!AB34*$V$75</f>
        <v>0</v>
      </c>
      <c r="AC35" s="4">
        <f>4682.63+590.27</f>
        <v>5272.9</v>
      </c>
      <c r="AD35" s="4"/>
      <c r="AE35" s="4"/>
      <c r="AF35" s="189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>
        <v>1637.57</v>
      </c>
      <c r="AY35" s="4"/>
      <c r="AZ35" s="4"/>
      <c r="BA35" s="4"/>
      <c r="BB35" s="4"/>
      <c r="BC35" s="189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>
        <v>1625</v>
      </c>
      <c r="BW35" s="4"/>
      <c r="BX35" s="4">
        <v>2659.07</v>
      </c>
      <c r="BY35" s="189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>
        <f>3179.29+3109.45</f>
        <v>6288.74</v>
      </c>
      <c r="CO35" s="4"/>
      <c r="CP35" s="4"/>
      <c r="CQ35" s="4"/>
      <c r="CR35" s="4"/>
      <c r="CS35" s="189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189">
        <f>8920.63+3142.38</f>
        <v>12063.009999999998</v>
      </c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89"/>
      <c r="EK35" s="332"/>
      <c r="EL35" s="4"/>
      <c r="EM35" s="4"/>
      <c r="EN35" s="4"/>
      <c r="EO35" s="4"/>
      <c r="EP35" s="4">
        <v>2601.23</v>
      </c>
      <c r="EQ35" s="4"/>
      <c r="ER35" s="4"/>
      <c r="ES35" s="4"/>
      <c r="ET35" s="4"/>
      <c r="EU35" s="4"/>
      <c r="EV35" s="4"/>
      <c r="EW35" s="4"/>
      <c r="EX35" s="4"/>
      <c r="EY35" s="4"/>
      <c r="EZ35" s="4">
        <v>5194.59</v>
      </c>
      <c r="FA35" s="4"/>
      <c r="FB35" s="4"/>
      <c r="FC35" s="4"/>
      <c r="FD35" s="4">
        <v>1305.22</v>
      </c>
      <c r="FE35" s="189"/>
      <c r="FF35" s="4"/>
      <c r="FG35" s="4"/>
      <c r="FH35" s="4"/>
      <c r="FI35" s="4"/>
      <c r="FJ35" s="79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189"/>
      <c r="GA35" s="4">
        <v>1305.22</v>
      </c>
      <c r="GB35" s="4"/>
      <c r="GC35" s="4"/>
      <c r="GD35" s="4"/>
      <c r="GE35" s="4">
        <v>3540.4</v>
      </c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>
        <v>6543.56</v>
      </c>
      <c r="GQ35" s="4"/>
      <c r="GR35" s="4"/>
      <c r="GS35" s="4">
        <f>5708.75+3125</f>
        <v>8833.75</v>
      </c>
      <c r="GT35" s="189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>
        <v>1200.74</v>
      </c>
      <c r="HL35" s="4"/>
      <c r="HM35" s="4"/>
      <c r="HN35" s="4"/>
      <c r="HO35" s="189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189"/>
      <c r="IK35" s="4"/>
      <c r="IL35" s="4"/>
      <c r="IM35" s="4">
        <v>2021.77</v>
      </c>
      <c r="IN35" s="4"/>
      <c r="IO35" s="4"/>
      <c r="IP35" s="4"/>
      <c r="IQ35" s="4"/>
      <c r="IR35" s="4"/>
      <c r="IS35" s="4"/>
      <c r="IT35" s="4"/>
      <c r="IU35" s="4">
        <f t="shared" si="13"/>
        <v>69686.620000000024</v>
      </c>
    </row>
    <row r="36" spans="1:255" ht="14.1" customHeight="1">
      <c r="A36" s="4" t="s">
        <v>10</v>
      </c>
      <c r="B36" s="12"/>
      <c r="C36" s="155">
        <v>5486.14</v>
      </c>
      <c r="D36" s="4"/>
      <c r="E36" s="4">
        <v>22259.02</v>
      </c>
      <c r="F36" s="4"/>
      <c r="G36" s="4"/>
      <c r="H36" s="4">
        <f>315966.02+2161.25</f>
        <v>318127.27</v>
      </c>
      <c r="I36" s="4"/>
      <c r="J36" s="4"/>
      <c r="K36" s="4">
        <v>764.64</v>
      </c>
      <c r="L36" s="4"/>
      <c r="M36" s="225">
        <f>9237176.16+28754.2</f>
        <v>9265930.3599999994</v>
      </c>
      <c r="N36" s="4"/>
      <c r="O36" s="4">
        <v>37241.42</v>
      </c>
      <c r="P36" s="4"/>
      <c r="Q36" s="4"/>
      <c r="R36" s="4">
        <v>378682.4</v>
      </c>
      <c r="S36" s="4"/>
      <c r="T36" s="4">
        <v>5576.99</v>
      </c>
      <c r="U36" s="4">
        <v>17791.38</v>
      </c>
      <c r="V36" s="4"/>
      <c r="W36" s="4"/>
      <c r="X36" s="4"/>
      <c r="Y36" s="4"/>
      <c r="Z36" s="4"/>
      <c r="AA36" s="58">
        <v>377958.46</v>
      </c>
      <c r="AB36" s="4">
        <f>+'FY-08, FEB-08 - Jan-09, DATA'!AB35*$V$75</f>
        <v>0</v>
      </c>
      <c r="AC36" s="4">
        <v>0</v>
      </c>
      <c r="AD36" s="4">
        <v>3617.62</v>
      </c>
      <c r="AE36" s="4"/>
      <c r="AF36" s="238">
        <v>9434043.0999999996</v>
      </c>
      <c r="AG36" s="4"/>
      <c r="AH36" s="4"/>
      <c r="AI36" s="4"/>
      <c r="AJ36" s="4"/>
      <c r="AK36" s="58">
        <v>380356.85</v>
      </c>
      <c r="AL36" s="4"/>
      <c r="AM36" s="4"/>
      <c r="AN36" s="4"/>
      <c r="AO36" s="4">
        <v>4651.8900000000003</v>
      </c>
      <c r="AP36" s="4"/>
      <c r="AQ36" s="4"/>
      <c r="AR36" s="4"/>
      <c r="AS36" s="4"/>
      <c r="AT36" s="4"/>
      <c r="AU36" s="58">
        <v>234843.18</v>
      </c>
      <c r="AV36" s="4"/>
      <c r="AW36" s="4"/>
      <c r="AX36" s="4">
        <v>3238.61</v>
      </c>
      <c r="AY36" s="4"/>
      <c r="AZ36" s="4">
        <v>2168.2800000000002</v>
      </c>
      <c r="BA36" s="4"/>
      <c r="BB36" s="4"/>
      <c r="BC36" s="238">
        <v>8845754.3300000001</v>
      </c>
      <c r="BD36" s="4"/>
      <c r="BE36" s="58">
        <v>320121.32</v>
      </c>
      <c r="BF36" s="4">
        <v>20000</v>
      </c>
      <c r="BH36" s="4"/>
      <c r="BI36" s="4"/>
      <c r="BJ36" s="4">
        <v>5220.09</v>
      </c>
      <c r="BK36" s="4"/>
      <c r="BL36" s="4">
        <v>48267.48</v>
      </c>
      <c r="BM36" s="4"/>
      <c r="BN36" s="4"/>
      <c r="BO36" s="58">
        <v>320264.56</v>
      </c>
      <c r="BP36" s="4">
        <v>8505.25</v>
      </c>
      <c r="BR36" s="4">
        <v>3837.99</v>
      </c>
      <c r="BS36" s="4"/>
      <c r="BT36" s="4">
        <v>4374.41</v>
      </c>
      <c r="BU36" s="4"/>
      <c r="BV36" s="4"/>
      <c r="BW36" s="4"/>
      <c r="BX36" s="4"/>
      <c r="BY36" s="238">
        <f>9514531.37+1970.74</f>
        <v>9516502.1099999994</v>
      </c>
      <c r="BZ36" s="58"/>
      <c r="CA36" s="4">
        <v>11437.92</v>
      </c>
      <c r="CB36" s="4"/>
      <c r="CC36" s="4"/>
      <c r="CD36" s="4">
        <v>1796.45</v>
      </c>
      <c r="CE36" s="4"/>
      <c r="CF36" s="4">
        <v>3620.84</v>
      </c>
      <c r="CG36" s="4"/>
      <c r="CH36" s="58">
        <v>365961.44</v>
      </c>
      <c r="CI36" s="4"/>
      <c r="CJ36" s="4">
        <v>23258.69</v>
      </c>
      <c r="CK36" s="4"/>
      <c r="CL36" s="4"/>
      <c r="CM36" s="4">
        <v>2854.56</v>
      </c>
      <c r="CN36" s="4"/>
      <c r="CO36" s="4"/>
      <c r="CP36" s="4"/>
      <c r="CQ36" s="4">
        <v>184.05</v>
      </c>
      <c r="CR36" s="58">
        <v>306735.98</v>
      </c>
      <c r="CS36" s="225">
        <v>8331995.3399999999</v>
      </c>
      <c r="CT36" s="4"/>
      <c r="CU36" s="4">
        <v>30510.49</v>
      </c>
      <c r="CV36" s="4">
        <v>851.5</v>
      </c>
      <c r="CW36" s="4"/>
      <c r="CX36" s="4"/>
      <c r="CY36" s="4"/>
      <c r="CZ36" s="4">
        <v>6552.95</v>
      </c>
      <c r="DA36" s="4"/>
      <c r="DB36" s="58">
        <v>265889.39</v>
      </c>
      <c r="DC36" s="4"/>
      <c r="DD36" s="58">
        <v>91425.29</v>
      </c>
      <c r="DE36" s="4"/>
      <c r="DF36" s="4"/>
      <c r="DG36" s="4"/>
      <c r="DH36" s="4"/>
      <c r="DI36" s="4"/>
      <c r="DJ36" s="4"/>
      <c r="DK36" s="58">
        <v>194994.55</v>
      </c>
      <c r="DL36" s="4"/>
      <c r="DM36" s="4"/>
      <c r="DN36" s="189">
        <v>9193778.4900000002</v>
      </c>
      <c r="DO36" s="4"/>
      <c r="DP36" s="4">
        <v>5732.92</v>
      </c>
      <c r="DQ36" s="4"/>
      <c r="DR36" s="4"/>
      <c r="DS36" s="4"/>
      <c r="DT36" s="4">
        <v>7273.4</v>
      </c>
      <c r="DU36" s="58">
        <v>197191.76</v>
      </c>
      <c r="DV36" s="4"/>
      <c r="DW36" s="4"/>
      <c r="DX36" s="4">
        <f>106825.48+9072.33</f>
        <v>115897.81</v>
      </c>
      <c r="DY36" s="4"/>
      <c r="DZ36" s="4">
        <v>9049.8700000000008</v>
      </c>
      <c r="EA36" s="4"/>
      <c r="EB36" s="4"/>
      <c r="EC36" s="4"/>
      <c r="ED36" s="4"/>
      <c r="EE36" s="58">
        <v>199659.03</v>
      </c>
      <c r="EF36" s="4"/>
      <c r="EG36" s="4"/>
      <c r="EH36" s="4">
        <v>3636.9</v>
      </c>
      <c r="EI36" s="4"/>
      <c r="EJ36" s="225">
        <f>8331127.57+19698.52</f>
        <v>8350826.0899999999</v>
      </c>
      <c r="EK36" s="332"/>
      <c r="EM36" s="4">
        <v>31641.599999999999</v>
      </c>
      <c r="EN36" s="4"/>
      <c r="EO36" s="4">
        <v>22849.82</v>
      </c>
      <c r="EP36" s="4">
        <v>209283.96</v>
      </c>
      <c r="EQ36" s="4"/>
      <c r="ER36" s="4">
        <v>114473.76</v>
      </c>
      <c r="ES36" s="4"/>
      <c r="ET36" s="4"/>
      <c r="EU36" s="4"/>
      <c r="EV36" s="4"/>
      <c r="EW36" s="4">
        <v>17982.169999999998</v>
      </c>
      <c r="EX36" s="4"/>
      <c r="EY36" s="58">
        <v>256029.02</v>
      </c>
      <c r="FA36" s="4">
        <v>12504.95</v>
      </c>
      <c r="FB36" s="4"/>
      <c r="FC36" s="4"/>
      <c r="FD36" s="4"/>
      <c r="FE36" s="238">
        <v>9060758.8000000007</v>
      </c>
      <c r="FF36" s="4">
        <v>19332.53</v>
      </c>
      <c r="FG36" s="4">
        <v>3944.37</v>
      </c>
      <c r="FH36" s="58">
        <f>271575.17+13160.57</f>
        <v>284735.74</v>
      </c>
      <c r="FI36" s="4"/>
      <c r="FJ36" s="79"/>
      <c r="FK36" s="4">
        <v>52344.29</v>
      </c>
      <c r="FL36" s="4"/>
      <c r="FM36" s="4"/>
      <c r="FN36" s="4"/>
      <c r="FO36" s="4"/>
      <c r="FP36" s="4">
        <v>5000</v>
      </c>
      <c r="FQ36" s="4"/>
      <c r="FR36" s="58">
        <v>311404.5</v>
      </c>
      <c r="FS36" s="4"/>
      <c r="FT36" s="4"/>
      <c r="FU36" s="4"/>
      <c r="FV36" s="4"/>
      <c r="FW36" s="4">
        <v>1286.3</v>
      </c>
      <c r="FX36" s="4">
        <v>1645.21</v>
      </c>
      <c r="FY36" s="4">
        <v>5843.09</v>
      </c>
      <c r="FZ36" s="238">
        <v>9428222.6899999995</v>
      </c>
      <c r="GA36" s="401">
        <v>345197.64</v>
      </c>
      <c r="GB36" s="4"/>
      <c r="GC36" s="4">
        <v>38353.35</v>
      </c>
      <c r="GD36" s="4"/>
      <c r="GE36" s="4"/>
      <c r="GF36" s="4"/>
      <c r="GG36" s="4">
        <v>41173.94</v>
      </c>
      <c r="GH36" s="4"/>
      <c r="GI36" s="4">
        <v>26206.89</v>
      </c>
      <c r="GJ36" s="4"/>
      <c r="GK36" s="58">
        <v>362468.06</v>
      </c>
      <c r="GM36" s="4"/>
      <c r="GN36" s="4"/>
      <c r="GO36" s="4"/>
      <c r="GP36" s="4"/>
      <c r="GQ36" s="4"/>
      <c r="GR36" s="4"/>
      <c r="GS36" s="4"/>
      <c r="GT36" s="388">
        <v>8977209.5999999996</v>
      </c>
      <c r="GU36" s="4"/>
      <c r="GV36" s="4">
        <v>10652.14</v>
      </c>
      <c r="GW36" s="4"/>
      <c r="GX36" s="4"/>
      <c r="GY36" s="4"/>
      <c r="GZ36" s="4">
        <v>6441.25</v>
      </c>
      <c r="HA36" s="4">
        <v>21402.41</v>
      </c>
      <c r="HB36" s="58">
        <v>329073.90999999997</v>
      </c>
      <c r="HD36" s="4"/>
      <c r="HE36" s="4"/>
      <c r="HF36" s="4"/>
      <c r="HG36" s="4"/>
      <c r="HH36" s="4"/>
      <c r="HI36" s="4"/>
      <c r="HJ36" s="4"/>
      <c r="HK36" s="4"/>
      <c r="HL36" s="4"/>
      <c r="HM36" s="58">
        <v>236877.59</v>
      </c>
      <c r="HN36" s="4"/>
      <c r="HO36" s="238">
        <v>9790583.1799999997</v>
      </c>
      <c r="HP36" s="4"/>
      <c r="HQ36" s="4">
        <v>22270.62</v>
      </c>
      <c r="HR36" s="4"/>
      <c r="HS36" s="4"/>
      <c r="HT36" s="4"/>
      <c r="HU36" s="58">
        <v>364845.54</v>
      </c>
      <c r="HV36" s="4"/>
      <c r="HW36" s="4"/>
      <c r="HX36" s="4"/>
      <c r="HY36" s="4"/>
      <c r="HZ36" s="4"/>
      <c r="IA36" s="4"/>
      <c r="IB36" s="4"/>
      <c r="IC36" s="4"/>
      <c r="ID36" s="4">
        <v>1175.21</v>
      </c>
      <c r="IE36" s="58">
        <v>211849.4</v>
      </c>
      <c r="IF36" s="4"/>
      <c r="IG36" s="4"/>
      <c r="IH36" s="4">
        <v>1253.46</v>
      </c>
      <c r="II36" s="4"/>
      <c r="IJ36" s="238">
        <v>8754901.6099999994</v>
      </c>
      <c r="IK36" s="4"/>
      <c r="IL36" s="4"/>
      <c r="IM36" s="4">
        <v>15419.79</v>
      </c>
      <c r="IN36" s="58">
        <v>332368.76</v>
      </c>
      <c r="IO36" s="4"/>
      <c r="IP36" s="4">
        <v>22353.54</v>
      </c>
      <c r="IQ36" s="4"/>
      <c r="IR36" s="4">
        <v>23175.35</v>
      </c>
      <c r="IS36" s="4">
        <v>5000</v>
      </c>
      <c r="IT36" s="4"/>
      <c r="IU36" s="4">
        <f t="shared" si="13"/>
        <v>117086236.89999999</v>
      </c>
    </row>
    <row r="37" spans="1:255" s="38" customFormat="1" ht="14.1" customHeight="1">
      <c r="A37" s="32" t="s">
        <v>25</v>
      </c>
      <c r="B37" s="173"/>
      <c r="C37" s="32"/>
      <c r="D37" s="32"/>
      <c r="E37" s="32"/>
      <c r="F37" s="32"/>
      <c r="G37" s="32"/>
      <c r="H37" s="32"/>
      <c r="I37" s="32">
        <f>40000000+35000000+30000000+25000000+20000000</f>
        <v>150000000</v>
      </c>
      <c r="J37" s="32"/>
      <c r="K37" s="32"/>
      <c r="L37" s="32"/>
      <c r="M37" s="123"/>
      <c r="N37" s="32"/>
      <c r="O37" s="32"/>
      <c r="P37" s="32"/>
      <c r="Q37" s="32"/>
      <c r="R37" s="32"/>
      <c r="S37" s="32"/>
      <c r="T37" s="32">
        <f>10000000+10000000+20000000+20000000</f>
        <v>60000000</v>
      </c>
      <c r="U37" s="32"/>
      <c r="V37" s="32"/>
      <c r="W37" s="32"/>
      <c r="X37" s="32"/>
      <c r="Y37" s="32"/>
      <c r="Z37" s="32"/>
      <c r="AA37" s="32"/>
      <c r="AB37" s="32">
        <f>+'FY-08, FEB-08 - Jan-09, DATA'!AB36*$V$75</f>
        <v>0</v>
      </c>
      <c r="AC37" s="32">
        <v>439016.4</v>
      </c>
      <c r="AD37" s="32"/>
      <c r="AE37" s="32"/>
      <c r="AF37" s="123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123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123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123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123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123"/>
      <c r="EK37" s="333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123"/>
      <c r="FF37" s="32"/>
      <c r="FG37" s="32"/>
      <c r="FH37" s="32"/>
      <c r="FI37" s="32"/>
      <c r="FJ37" s="250"/>
      <c r="FK37" s="32"/>
      <c r="FL37" s="32"/>
      <c r="FM37" s="32"/>
      <c r="FN37" s="32"/>
      <c r="FO37" s="32">
        <v>35000000</v>
      </c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123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123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123"/>
      <c r="HP37" s="32"/>
      <c r="HQ37" s="32"/>
      <c r="HR37" s="32"/>
      <c r="HS37" s="32"/>
      <c r="HT37" s="32"/>
      <c r="HU37" s="32"/>
      <c r="HV37" s="32"/>
      <c r="HW37" s="32"/>
      <c r="HX37" s="32"/>
      <c r="HY37" s="32">
        <v>18000000</v>
      </c>
      <c r="HZ37" s="32"/>
      <c r="IA37" s="32"/>
      <c r="IB37" s="32"/>
      <c r="IC37" s="32">
        <v>12000000</v>
      </c>
      <c r="ID37" s="32"/>
      <c r="IE37" s="32"/>
      <c r="IF37" s="32"/>
      <c r="IG37" s="32"/>
      <c r="IH37" s="32"/>
      <c r="II37" s="32"/>
      <c r="IJ37" s="123"/>
      <c r="IK37" s="32"/>
      <c r="IL37" s="32"/>
      <c r="IM37" s="32">
        <v>90000000</v>
      </c>
      <c r="IN37" s="32"/>
      <c r="IO37" s="32"/>
      <c r="IP37" s="32"/>
      <c r="IQ37" s="32"/>
      <c r="IR37" s="32">
        <v>34100000</v>
      </c>
      <c r="IS37" s="32"/>
      <c r="IT37" s="32"/>
      <c r="IU37" s="32">
        <f t="shared" si="13"/>
        <v>399539016.39999998</v>
      </c>
    </row>
    <row r="38" spans="1:255" s="38" customFormat="1" ht="14.1" hidden="1" customHeight="1">
      <c r="A38" s="32" t="s">
        <v>86</v>
      </c>
      <c r="B38" s="173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123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>
        <f>+'FY-08, FEB-08 - Jan-09, DATA'!AB37*$V$75</f>
        <v>0</v>
      </c>
      <c r="AC38" s="32">
        <f>+'FY-08, FEB-08 - Jan-09, DATA'!AC37*$V$75</f>
        <v>0</v>
      </c>
      <c r="AD38" s="32"/>
      <c r="AE38" s="32"/>
      <c r="AF38" s="123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123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123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12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123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>
        <f>+'FY-08, FEB-08 - Jan-09, DATA'!EH37*$V$75</f>
        <v>0</v>
      </c>
      <c r="EI38" s="32"/>
      <c r="EJ38" s="123"/>
      <c r="EK38" s="333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123"/>
      <c r="FF38" s="32"/>
      <c r="FG38" s="32"/>
      <c r="FH38" s="32"/>
      <c r="FI38" s="32"/>
      <c r="FJ38" s="250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123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123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123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123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>
        <f t="shared" si="13"/>
        <v>0</v>
      </c>
    </row>
    <row r="39" spans="1:255" s="38" customFormat="1" ht="14.1" hidden="1" customHeight="1">
      <c r="A39" s="32" t="s">
        <v>87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123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>
        <f>+'FY-08, FEB-08 - Jan-09, DATA'!AB38*$V$75</f>
        <v>0</v>
      </c>
      <c r="AC39" s="32">
        <f>+'FY-08, FEB-08 - Jan-09, DATA'!AC38*$V$75</f>
        <v>0</v>
      </c>
      <c r="AD39" s="32"/>
      <c r="AE39" s="32"/>
      <c r="AF39" s="123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123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123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123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123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>
        <f>+'FY-08, FEB-08 - Jan-09, DATA'!EH38*$V$75</f>
        <v>0</v>
      </c>
      <c r="EI39" s="32"/>
      <c r="EJ39" s="123"/>
      <c r="EK39" s="333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123"/>
      <c r="FF39" s="32"/>
      <c r="FG39" s="32"/>
      <c r="FH39" s="32"/>
      <c r="FI39" s="32"/>
      <c r="FJ39" s="250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123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123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123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123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>
        <f t="shared" si="13"/>
        <v>0</v>
      </c>
    </row>
    <row r="40" spans="1:255" s="38" customFormat="1" ht="14.1" customHeight="1">
      <c r="A40" s="32" t="s">
        <v>55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123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>
        <v>100</v>
      </c>
      <c r="Z40" s="32"/>
      <c r="AA40" s="32">
        <v>75.650000000000006</v>
      </c>
      <c r="AB40" s="32">
        <f>+'FY-08, FEB-08 - Jan-09, DATA'!AB39*$V$75</f>
        <v>0</v>
      </c>
      <c r="AC40" s="32">
        <f>+'FY-08, FEB-08 - Jan-09, DATA'!AC39*$V$75</f>
        <v>0</v>
      </c>
      <c r="AD40" s="32"/>
      <c r="AE40" s="32"/>
      <c r="AF40" s="123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123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123"/>
      <c r="BZ40" s="32">
        <v>301.95</v>
      </c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>
        <v>25</v>
      </c>
      <c r="CL40" s="32"/>
      <c r="CM40" s="32"/>
      <c r="CN40" s="32"/>
      <c r="CO40" s="32"/>
      <c r="CP40" s="32"/>
      <c r="CQ40" s="32"/>
      <c r="CR40" s="32">
        <v>3</v>
      </c>
      <c r="CS40" s="123"/>
      <c r="CT40" s="32"/>
      <c r="CU40" s="32"/>
      <c r="CV40" s="32"/>
      <c r="CW40" s="32"/>
      <c r="CX40" s="32"/>
      <c r="CY40" s="32"/>
      <c r="CZ40" s="32"/>
      <c r="DA40" s="32"/>
      <c r="DB40" s="32">
        <v>200</v>
      </c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123"/>
      <c r="DO40" s="32"/>
      <c r="DP40" s="32"/>
      <c r="DQ40" s="32"/>
      <c r="DR40" s="32"/>
      <c r="DS40" s="32"/>
      <c r="DT40" s="32">
        <v>3</v>
      </c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>
        <v>210</v>
      </c>
      <c r="EH40" s="32"/>
      <c r="EI40" s="32"/>
      <c r="EJ40" s="123"/>
      <c r="EK40" s="333"/>
      <c r="EL40" s="32"/>
      <c r="EM40" s="32">
        <v>428</v>
      </c>
      <c r="EN40" s="32"/>
      <c r="EO40" s="32"/>
      <c r="EP40" s="32"/>
      <c r="EQ40" s="32"/>
      <c r="ER40" s="32"/>
      <c r="ES40" s="32">
        <v>450</v>
      </c>
      <c r="ET40" s="32">
        <v>6.9</v>
      </c>
      <c r="EU40" s="32">
        <v>3</v>
      </c>
      <c r="EV40" s="32"/>
      <c r="EW40" s="32"/>
      <c r="EX40" s="32"/>
      <c r="EY40" s="32"/>
      <c r="EZ40" s="32"/>
      <c r="FA40" s="32"/>
      <c r="FB40" s="32"/>
      <c r="FC40" s="32"/>
      <c r="FD40" s="32"/>
      <c r="FE40" s="123"/>
      <c r="FF40" s="32"/>
      <c r="FG40" s="32"/>
      <c r="FH40" s="32">
        <v>450</v>
      </c>
      <c r="FI40" s="32"/>
      <c r="FJ40" s="250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123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>
        <v>24</v>
      </c>
      <c r="GM40" s="32">
        <v>230</v>
      </c>
      <c r="GN40" s="32"/>
      <c r="GO40" s="32">
        <v>10</v>
      </c>
      <c r="GP40" s="32"/>
      <c r="GQ40" s="32"/>
      <c r="GR40" s="32"/>
      <c r="GS40" s="32"/>
      <c r="GT40" s="123">
        <v>2788.68</v>
      </c>
      <c r="GU40" s="32"/>
      <c r="GV40" s="32"/>
      <c r="GW40" s="32"/>
      <c r="GX40" s="32"/>
      <c r="GY40" s="32"/>
      <c r="GZ40" s="32">
        <v>560</v>
      </c>
      <c r="HA40" s="32"/>
      <c r="HB40" s="32"/>
      <c r="HC40" s="32"/>
      <c r="HD40" s="32"/>
      <c r="HE40" s="32"/>
      <c r="HF40" s="32"/>
      <c r="HG40" s="32"/>
      <c r="HH40" s="32">
        <v>465.15</v>
      </c>
      <c r="HI40" s="32"/>
      <c r="HJ40" s="32"/>
      <c r="HK40" s="32">
        <v>50</v>
      </c>
      <c r="HL40" s="32"/>
      <c r="HM40" s="32"/>
      <c r="HN40" s="32">
        <v>3.89</v>
      </c>
      <c r="HO40" s="123"/>
      <c r="HP40" s="32"/>
      <c r="HQ40" s="32"/>
      <c r="HR40" s="32">
        <v>1394.34</v>
      </c>
      <c r="HS40" s="32"/>
      <c r="HT40" s="32">
        <v>3</v>
      </c>
      <c r="HU40" s="32">
        <v>3</v>
      </c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>
        <v>10000</v>
      </c>
      <c r="IH40" s="32"/>
      <c r="II40" s="32"/>
      <c r="IJ40" s="123"/>
      <c r="IK40" s="32"/>
      <c r="IL40" s="32"/>
      <c r="IM40" s="32"/>
      <c r="IN40" s="32"/>
      <c r="IO40" s="32"/>
      <c r="IP40" s="32"/>
      <c r="IQ40" s="32"/>
      <c r="IR40" s="32">
        <v>12</v>
      </c>
      <c r="IS40" s="32">
        <v>3</v>
      </c>
      <c r="IT40" s="32"/>
      <c r="IU40" s="32">
        <f t="shared" si="13"/>
        <v>17803.560000000001</v>
      </c>
    </row>
    <row r="41" spans="1:255" ht="14.1" customHeight="1">
      <c r="A41" s="4" t="s">
        <v>11</v>
      </c>
      <c r="B41" s="4"/>
      <c r="C41" s="155"/>
      <c r="D41" s="4"/>
      <c r="E41" s="4">
        <v>231487.89</v>
      </c>
      <c r="F41" s="4"/>
      <c r="G41" s="4"/>
      <c r="H41" s="4"/>
      <c r="I41" s="4"/>
      <c r="J41" s="4"/>
      <c r="K41" s="4"/>
      <c r="L41" s="4"/>
      <c r="M41" s="189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58">
        <v>222793.89</v>
      </c>
      <c r="Z41" s="4"/>
      <c r="AA41" s="4"/>
      <c r="AB41" s="4">
        <f>+'FY-08, FEB-08 - Jan-09, DATA'!AB40*$V$75</f>
        <v>0</v>
      </c>
      <c r="AC41" s="4">
        <f>+'FY-08, FEB-08 - Jan-09, DATA'!AC40*$V$75</f>
        <v>0</v>
      </c>
      <c r="AD41" s="4"/>
      <c r="AE41" s="4"/>
      <c r="AF41" s="189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>
        <v>223265.48</v>
      </c>
      <c r="AT41" s="58"/>
      <c r="AU41" s="4"/>
      <c r="AV41" s="4"/>
      <c r="AW41" s="4"/>
      <c r="AX41" s="4"/>
      <c r="AY41" s="4"/>
      <c r="AZ41" s="4"/>
      <c r="BA41" s="4"/>
      <c r="BB41" s="4"/>
      <c r="BC41" s="189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58">
        <v>224879.62</v>
      </c>
      <c r="BQ41" s="4"/>
      <c r="BR41" s="4"/>
      <c r="BS41" s="4"/>
      <c r="BT41" s="4"/>
      <c r="BU41" s="4"/>
      <c r="BV41" s="4"/>
      <c r="BW41" s="4"/>
      <c r="BX41" s="4"/>
      <c r="BY41" s="189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58">
        <v>222290.37</v>
      </c>
      <c r="CM41" s="4"/>
      <c r="CN41" s="4"/>
      <c r="CO41" s="4"/>
      <c r="CP41" s="4"/>
      <c r="CQ41" s="4"/>
      <c r="CR41" s="4"/>
      <c r="CS41" s="189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189"/>
      <c r="DO41" s="4">
        <v>222566.35</v>
      </c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58">
        <v>223185.52</v>
      </c>
      <c r="ED41" s="4"/>
      <c r="EE41" s="4"/>
      <c r="EF41" s="4"/>
      <c r="EG41" s="4"/>
      <c r="EH41" s="4"/>
      <c r="EI41" s="4"/>
      <c r="EJ41" s="189"/>
      <c r="EK41" s="332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58"/>
      <c r="EW41" s="4">
        <v>224427.68</v>
      </c>
      <c r="EX41" s="4"/>
      <c r="EY41" s="4"/>
      <c r="EZ41" s="4"/>
      <c r="FA41" s="4"/>
      <c r="FB41" s="4"/>
      <c r="FC41" s="4"/>
      <c r="FD41" s="4"/>
      <c r="FE41" s="189"/>
      <c r="FF41" s="4"/>
      <c r="FG41" s="4"/>
      <c r="FH41" s="4"/>
      <c r="FI41" s="4"/>
      <c r="FJ41" s="79"/>
      <c r="FK41" s="4"/>
      <c r="FL41" s="4"/>
      <c r="FM41" s="4"/>
      <c r="FN41" s="4"/>
      <c r="FO41" s="4"/>
      <c r="FP41" s="4"/>
      <c r="FQ41" s="4"/>
      <c r="FR41" s="58"/>
      <c r="FS41" s="4"/>
      <c r="FT41" s="4">
        <v>257808.11</v>
      </c>
      <c r="FU41" s="4"/>
      <c r="FV41" s="4"/>
      <c r="FW41" s="4"/>
      <c r="FX41" s="4"/>
      <c r="FY41" s="4"/>
      <c r="FZ41" s="189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58"/>
      <c r="GN41" s="4"/>
      <c r="GO41" s="4"/>
      <c r="GP41" s="4"/>
      <c r="GQ41" s="4">
        <v>264032.73</v>
      </c>
      <c r="GR41" s="4"/>
      <c r="GS41" s="4"/>
      <c r="GT41" s="189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58"/>
      <c r="HF41" s="4">
        <v>265078.26</v>
      </c>
      <c r="HG41" s="4"/>
      <c r="HH41" s="4"/>
      <c r="HI41" s="4"/>
      <c r="HJ41" s="4"/>
      <c r="HK41" s="4"/>
      <c r="HL41" s="4"/>
      <c r="HM41" s="4"/>
      <c r="HN41" s="4"/>
      <c r="HO41" s="189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>
        <v>263728.03999999998</v>
      </c>
      <c r="IB41" s="58"/>
      <c r="IC41" s="4"/>
      <c r="ID41" s="4"/>
      <c r="IE41" s="4"/>
      <c r="IF41" s="4"/>
      <c r="IG41" s="4"/>
      <c r="IH41" s="4"/>
      <c r="II41" s="4"/>
      <c r="IJ41" s="189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>
        <f t="shared" si="13"/>
        <v>2845543.9400000004</v>
      </c>
    </row>
    <row r="42" spans="1:255" ht="14.1" customHeight="1">
      <c r="A42" s="4" t="s">
        <v>52</v>
      </c>
      <c r="B42" s="4"/>
      <c r="C42" s="155"/>
      <c r="D42" s="4"/>
      <c r="E42" s="4"/>
      <c r="F42" s="4"/>
      <c r="G42" s="4"/>
      <c r="H42" s="4"/>
      <c r="I42" s="4"/>
      <c r="J42" s="4"/>
      <c r="K42" s="4"/>
      <c r="L42" s="4"/>
      <c r="M42" s="189"/>
      <c r="N42" s="4"/>
      <c r="O42" s="4">
        <v>1286</v>
      </c>
      <c r="P42" s="4"/>
      <c r="Q42" s="4"/>
      <c r="R42" s="4"/>
      <c r="S42" s="4"/>
      <c r="T42" s="4"/>
      <c r="U42" s="4"/>
      <c r="V42" s="4">
        <f>80+209.43</f>
        <v>289.43</v>
      </c>
      <c r="W42" s="4"/>
      <c r="X42" s="4">
        <f>40+2349.76</f>
        <v>2389.7600000000002</v>
      </c>
      <c r="Y42" s="4">
        <v>10</v>
      </c>
      <c r="Z42" s="4"/>
      <c r="AA42" s="4"/>
      <c r="AB42" s="4">
        <f>+'FY-08, FEB-08 - Jan-09, DATA'!AB41*$V$75</f>
        <v>0</v>
      </c>
      <c r="AC42" s="4">
        <f>+'FY-08, FEB-08 - Jan-09, DATA'!AC41*$V$75</f>
        <v>0</v>
      </c>
      <c r="AD42" s="4">
        <v>200</v>
      </c>
      <c r="AE42" s="4"/>
      <c r="AF42" s="189"/>
      <c r="AG42" s="4"/>
      <c r="AH42" s="4"/>
      <c r="AI42" s="4"/>
      <c r="AJ42" s="4"/>
      <c r="AK42" s="4"/>
      <c r="AL42" s="4">
        <f>39.85+44.79</f>
        <v>84.64</v>
      </c>
      <c r="AM42" s="4">
        <v>195.55</v>
      </c>
      <c r="AN42" s="4"/>
      <c r="AO42" s="4"/>
      <c r="AP42" s="4">
        <f>160.94+25000</f>
        <v>25160.94</v>
      </c>
      <c r="AQ42" s="4"/>
      <c r="AR42" s="4"/>
      <c r="AS42" s="4"/>
      <c r="AT42" s="4"/>
      <c r="AU42" s="4"/>
      <c r="AV42" s="4"/>
      <c r="AW42" s="4">
        <f>125+120+152.89+5580.37</f>
        <v>5978.26</v>
      </c>
      <c r="AX42" s="4"/>
      <c r="AY42" s="4">
        <v>1600</v>
      </c>
      <c r="AZ42" s="4"/>
      <c r="BA42" s="4"/>
      <c r="BB42" s="4"/>
      <c r="BC42" s="189"/>
      <c r="BD42" s="4"/>
      <c r="BE42" s="4">
        <v>2200</v>
      </c>
      <c r="BF42" s="4"/>
      <c r="BG42" s="4"/>
      <c r="BH42" s="4">
        <v>209</v>
      </c>
      <c r="BI42" s="4"/>
      <c r="BJ42" s="4"/>
      <c r="BK42" s="4">
        <v>466.54</v>
      </c>
      <c r="BL42" s="4"/>
      <c r="BM42" s="4">
        <v>20</v>
      </c>
      <c r="BN42" s="4"/>
      <c r="BO42" s="4"/>
      <c r="BP42" s="4"/>
      <c r="BQ42" s="4"/>
      <c r="BR42" s="4"/>
      <c r="BS42" s="4"/>
      <c r="BT42" s="4">
        <v>39.659999999999997</v>
      </c>
      <c r="BU42" s="4"/>
      <c r="BV42" s="4"/>
      <c r="BW42" s="4"/>
      <c r="BX42" s="4"/>
      <c r="BY42" s="189"/>
      <c r="BZ42" s="4"/>
      <c r="CA42" s="4"/>
      <c r="CB42" s="4">
        <v>1307.4000000000001</v>
      </c>
      <c r="CC42" s="4">
        <f>550+3325</f>
        <v>3875</v>
      </c>
      <c r="CD42" s="4"/>
      <c r="CE42" s="4">
        <v>30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189"/>
      <c r="CT42" s="4"/>
      <c r="CU42" s="4"/>
      <c r="CV42" s="4"/>
      <c r="CW42" s="4"/>
      <c r="CX42" s="4">
        <v>277.2</v>
      </c>
      <c r="CY42" s="4">
        <v>36</v>
      </c>
      <c r="CZ42" s="4">
        <v>26</v>
      </c>
      <c r="DA42" s="4">
        <v>822.82</v>
      </c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189"/>
      <c r="DO42" s="4">
        <v>95</v>
      </c>
      <c r="DP42" s="4"/>
      <c r="DQ42" s="4"/>
      <c r="DR42" s="4"/>
      <c r="DS42" s="4">
        <v>150</v>
      </c>
      <c r="DT42" s="4"/>
      <c r="DU42" s="4">
        <v>16398.919999999998</v>
      </c>
      <c r="DV42" s="4"/>
      <c r="DW42" s="4"/>
      <c r="DX42" s="4"/>
      <c r="DY42" s="4"/>
      <c r="DZ42" s="4"/>
      <c r="EA42" s="4"/>
      <c r="EB42" s="4"/>
      <c r="EC42" s="4"/>
      <c r="ED42" s="4">
        <v>2000</v>
      </c>
      <c r="EE42" s="4"/>
      <c r="EF42" s="4"/>
      <c r="EG42" s="4"/>
      <c r="EH42" s="4"/>
      <c r="EI42" s="4"/>
      <c r="EJ42" s="189"/>
      <c r="EK42" s="332"/>
      <c r="EL42" s="4"/>
      <c r="EM42" s="4"/>
      <c r="EN42" s="4"/>
      <c r="EO42" s="4"/>
      <c r="EP42" s="4"/>
      <c r="EQ42" s="4"/>
      <c r="ER42" s="4">
        <v>2838.95</v>
      </c>
      <c r="ES42" s="4"/>
      <c r="ET42" s="4"/>
      <c r="EU42" s="4"/>
      <c r="EV42" s="4">
        <v>626496.11</v>
      </c>
      <c r="EW42" s="4"/>
      <c r="EX42" s="4"/>
      <c r="EY42" s="4"/>
      <c r="EZ42" s="4"/>
      <c r="FA42" s="4"/>
      <c r="FB42" s="4"/>
      <c r="FC42" s="4"/>
      <c r="FD42" s="4"/>
      <c r="FE42" s="189"/>
      <c r="FF42" s="4"/>
      <c r="FG42" s="4"/>
      <c r="FH42" s="4"/>
      <c r="FI42" s="4"/>
      <c r="FJ42" s="79">
        <v>537</v>
      </c>
      <c r="FK42" s="4"/>
      <c r="FL42" s="4">
        <v>3643.95</v>
      </c>
      <c r="FM42" s="4">
        <v>23041.7</v>
      </c>
      <c r="FN42" s="4"/>
      <c r="FO42" s="4"/>
      <c r="FP42" s="4">
        <v>1749</v>
      </c>
      <c r="FQ42" s="4"/>
      <c r="FR42" s="4"/>
      <c r="FS42" s="4"/>
      <c r="FT42" s="4"/>
      <c r="FU42" s="4"/>
      <c r="FV42" s="4">
        <v>4553.76</v>
      </c>
      <c r="FW42" s="4"/>
      <c r="FX42" s="4"/>
      <c r="FY42" s="4"/>
      <c r="FZ42" s="189"/>
      <c r="GA42" s="4"/>
      <c r="GB42" s="4">
        <v>6650.2</v>
      </c>
      <c r="GC42" s="4"/>
      <c r="GD42" s="4"/>
      <c r="GE42" s="4"/>
      <c r="GF42" s="4"/>
      <c r="GG42" s="4"/>
      <c r="GH42" s="4"/>
      <c r="GI42" s="4">
        <v>9000</v>
      </c>
      <c r="GJ42" s="4"/>
      <c r="GK42" s="4"/>
      <c r="GL42" s="4"/>
      <c r="GM42" s="4"/>
      <c r="GN42" s="4"/>
      <c r="GO42" s="4"/>
      <c r="GP42" s="4"/>
      <c r="GQ42" s="4"/>
      <c r="GR42" s="4"/>
      <c r="GS42" s="4">
        <f>374.53+77.07</f>
        <v>451.59999999999997</v>
      </c>
      <c r="GT42" s="189">
        <v>198.91</v>
      </c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>
        <v>1135</v>
      </c>
      <c r="HF42" s="4"/>
      <c r="HG42" s="4"/>
      <c r="HH42" s="4"/>
      <c r="HI42" s="4"/>
      <c r="HJ42" s="4"/>
      <c r="HK42" s="4"/>
      <c r="HL42" s="4"/>
      <c r="HM42" s="4"/>
      <c r="HN42" s="4"/>
      <c r="HO42" s="189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>
        <v>462.57</v>
      </c>
      <c r="IG42" s="4"/>
      <c r="IH42" s="4">
        <v>30.58</v>
      </c>
      <c r="II42" s="4"/>
      <c r="IJ42" s="189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>
        <f t="shared" si="13"/>
        <v>745937.44999999972</v>
      </c>
    </row>
    <row r="43" spans="1:255" ht="14.1" customHeight="1">
      <c r="A43" s="4" t="s">
        <v>137</v>
      </c>
      <c r="B43" s="4"/>
      <c r="C43" s="155"/>
      <c r="D43" s="4"/>
      <c r="E43" s="4"/>
      <c r="F43" s="4"/>
      <c r="G43" s="4"/>
      <c r="H43" s="4"/>
      <c r="I43" s="4"/>
      <c r="J43" s="4"/>
      <c r="K43" s="4"/>
      <c r="L43" s="4"/>
      <c r="M43" s="189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189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189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189"/>
      <c r="BZ43" s="4"/>
      <c r="CA43" s="4"/>
      <c r="CB43" s="4"/>
      <c r="CC43" s="4"/>
      <c r="CD43" s="4"/>
      <c r="CE43" s="366" t="s">
        <v>138</v>
      </c>
      <c r="CF43" s="4">
        <f>22936.15+3431.16</f>
        <v>26367.31</v>
      </c>
      <c r="CG43" s="4">
        <v>15386.08</v>
      </c>
      <c r="CH43" s="4">
        <v>13085.43</v>
      </c>
      <c r="CI43" s="4">
        <v>4787.43</v>
      </c>
      <c r="CJ43" s="4">
        <v>6745.1</v>
      </c>
      <c r="CK43" s="4">
        <v>18582.73</v>
      </c>
      <c r="CL43" s="4">
        <v>2217.15</v>
      </c>
      <c r="CM43" s="4">
        <v>955.29</v>
      </c>
      <c r="CN43" s="4">
        <v>1344.63</v>
      </c>
      <c r="CO43" s="4">
        <v>1415.89</v>
      </c>
      <c r="CP43" s="4">
        <v>9886.25</v>
      </c>
      <c r="CQ43" s="4">
        <v>29673.79</v>
      </c>
      <c r="CR43" s="4">
        <v>1409.86</v>
      </c>
      <c r="CS43" s="189">
        <v>2416.04</v>
      </c>
      <c r="CT43" s="4">
        <v>0</v>
      </c>
      <c r="CU43" s="4">
        <v>2026.29</v>
      </c>
      <c r="CV43" s="4">
        <v>179.87</v>
      </c>
      <c r="CW43" s="4"/>
      <c r="CX43" s="4">
        <v>612.26</v>
      </c>
      <c r="CY43" s="4">
        <v>2697.51</v>
      </c>
      <c r="CZ43" s="4">
        <v>28.1</v>
      </c>
      <c r="DA43" s="4">
        <v>284.23</v>
      </c>
      <c r="DB43" s="4">
        <v>1272.3399999999999</v>
      </c>
      <c r="DC43" s="4">
        <v>8952.34</v>
      </c>
      <c r="DD43" s="4">
        <v>149.1</v>
      </c>
      <c r="DE43" s="4">
        <v>6492.95</v>
      </c>
      <c r="DF43" s="4">
        <v>10117.14</v>
      </c>
      <c r="DG43" s="4"/>
      <c r="DH43" s="4">
        <v>19437.86</v>
      </c>
      <c r="DI43" s="4">
        <v>145.47</v>
      </c>
      <c r="DJ43" s="4">
        <v>9939.36</v>
      </c>
      <c r="DK43" s="4">
        <v>79054.820000000007</v>
      </c>
      <c r="DL43" s="4">
        <v>2599.52</v>
      </c>
      <c r="DM43" s="4">
        <v>156.26</v>
      </c>
      <c r="DN43" s="189">
        <v>225.88</v>
      </c>
      <c r="DO43" s="4">
        <v>97922.01</v>
      </c>
      <c r="DP43" s="4"/>
      <c r="DQ43" s="4"/>
      <c r="DR43" s="4">
        <v>61813.31</v>
      </c>
      <c r="DS43" s="4"/>
      <c r="DT43" s="4">
        <v>8431.91</v>
      </c>
      <c r="DU43" s="4"/>
      <c r="DV43" s="4">
        <v>7439.81</v>
      </c>
      <c r="DW43" s="4">
        <v>5492.67</v>
      </c>
      <c r="DX43" s="4">
        <v>6450.51</v>
      </c>
      <c r="DY43" s="4">
        <v>20765.68</v>
      </c>
      <c r="DZ43" s="4">
        <v>11686.47</v>
      </c>
      <c r="EA43" s="4">
        <v>1450.44</v>
      </c>
      <c r="EB43" s="4">
        <v>12044.62</v>
      </c>
      <c r="EC43" s="4">
        <v>4821.6000000000004</v>
      </c>
      <c r="ED43" s="4">
        <v>2412.75</v>
      </c>
      <c r="EE43" s="4">
        <v>6466.81</v>
      </c>
      <c r="EF43" s="4">
        <v>13180.75</v>
      </c>
      <c r="EG43" s="4">
        <v>10458.52</v>
      </c>
      <c r="EH43" s="4">
        <v>316.51</v>
      </c>
      <c r="EI43" s="4">
        <v>770.51</v>
      </c>
      <c r="EJ43" s="189">
        <v>557.62</v>
      </c>
      <c r="EK43" s="332">
        <v>247880.26</v>
      </c>
      <c r="EL43" s="4"/>
      <c r="EM43" s="4">
        <v>10858</v>
      </c>
      <c r="EN43" s="4">
        <v>1599.76</v>
      </c>
      <c r="EO43" s="4">
        <v>957.72</v>
      </c>
      <c r="EP43" s="4">
        <v>7149.95</v>
      </c>
      <c r="EQ43" s="4">
        <v>22328.36</v>
      </c>
      <c r="ER43" s="4">
        <v>12995.74</v>
      </c>
      <c r="ES43" s="4">
        <v>12633.37</v>
      </c>
      <c r="ET43" s="4">
        <v>446.28</v>
      </c>
      <c r="EU43" s="4">
        <v>3461.86</v>
      </c>
      <c r="EV43" s="4">
        <v>0</v>
      </c>
      <c r="EW43" s="4">
        <v>9427.42</v>
      </c>
      <c r="EX43" s="4">
        <v>2139.4499999999998</v>
      </c>
      <c r="EY43" s="4">
        <v>450.9</v>
      </c>
      <c r="EZ43" s="4">
        <v>20782.919999999998</v>
      </c>
      <c r="FA43" s="4">
        <v>3341.2</v>
      </c>
      <c r="FB43" s="4">
        <v>1207.1300000000001</v>
      </c>
      <c r="FC43" s="4">
        <v>1661.66</v>
      </c>
      <c r="FD43" s="4">
        <v>1057.2</v>
      </c>
      <c r="FE43" s="189">
        <v>2462.37</v>
      </c>
      <c r="FF43" s="4">
        <v>253502.93</v>
      </c>
      <c r="FG43" s="4">
        <v>12316.37</v>
      </c>
      <c r="FH43" s="4">
        <v>2091.3200000000002</v>
      </c>
      <c r="FI43" s="4">
        <v>0</v>
      </c>
      <c r="FJ43" s="79">
        <v>0</v>
      </c>
      <c r="FK43" s="4"/>
      <c r="FL43" s="4">
        <v>1052.46</v>
      </c>
      <c r="FM43" s="4">
        <v>10082.68</v>
      </c>
      <c r="FN43" s="4">
        <v>26563.98</v>
      </c>
      <c r="FO43" s="4">
        <v>32218.52</v>
      </c>
      <c r="FP43" s="4">
        <v>12109</v>
      </c>
      <c r="FQ43" s="4">
        <v>5724.46</v>
      </c>
      <c r="FR43" s="4">
        <v>9399.0400000000009</v>
      </c>
      <c r="FS43" s="4">
        <v>1757.88</v>
      </c>
      <c r="FT43" s="4">
        <v>2059.87</v>
      </c>
      <c r="FU43" s="4">
        <v>7067.35</v>
      </c>
      <c r="FV43" s="4">
        <v>6299.07</v>
      </c>
      <c r="FW43" s="4">
        <v>9164.6200000000008</v>
      </c>
      <c r="FX43" s="4">
        <v>1037.2</v>
      </c>
      <c r="FY43" s="4">
        <v>8558.01</v>
      </c>
      <c r="FZ43" s="189">
        <v>301.10000000000002</v>
      </c>
      <c r="GA43" s="4">
        <v>282321.40000000002</v>
      </c>
      <c r="GB43" s="4">
        <v>6310.1</v>
      </c>
      <c r="GC43" s="4">
        <v>6513.8</v>
      </c>
      <c r="GD43" s="4">
        <v>2535.5700000000002</v>
      </c>
      <c r="GE43" s="4">
        <v>375.53</v>
      </c>
      <c r="GF43" s="4">
        <v>647.22</v>
      </c>
      <c r="GG43" s="4">
        <v>17893.54</v>
      </c>
      <c r="GH43" s="4">
        <v>9195.4</v>
      </c>
      <c r="GI43" s="4">
        <v>10418.82</v>
      </c>
      <c r="GJ43" s="4">
        <v>6045.22</v>
      </c>
      <c r="GK43" s="4">
        <v>14423.75</v>
      </c>
      <c r="GL43" s="4">
        <v>5889.99</v>
      </c>
      <c r="GM43" s="4">
        <v>4934.82</v>
      </c>
      <c r="GN43" s="4">
        <v>1011.03</v>
      </c>
      <c r="GO43" s="4">
        <v>2359.9899999999998</v>
      </c>
      <c r="GP43" s="4">
        <v>12076.93</v>
      </c>
      <c r="GQ43" s="4">
        <v>5311.78</v>
      </c>
      <c r="GR43" s="4">
        <v>9018.4699999999993</v>
      </c>
      <c r="GS43" s="4">
        <v>8664.94</v>
      </c>
      <c r="GT43" s="189">
        <v>851.85</v>
      </c>
      <c r="GU43" s="4">
        <v>320500.59999999998</v>
      </c>
      <c r="GV43" s="4">
        <v>1160.4100000000001</v>
      </c>
      <c r="GW43" s="4">
        <v>2974.34</v>
      </c>
      <c r="GX43" s="4">
        <v>576.03</v>
      </c>
      <c r="GY43" s="4">
        <v>1758.99</v>
      </c>
      <c r="GZ43" s="4">
        <v>795.3</v>
      </c>
      <c r="HA43" s="4">
        <v>15000.73</v>
      </c>
      <c r="HB43" s="4"/>
      <c r="HC43" s="4">
        <v>6137.71</v>
      </c>
      <c r="HD43" s="4">
        <v>53831.74</v>
      </c>
      <c r="HE43" s="4">
        <v>8955.32</v>
      </c>
      <c r="HF43" s="4">
        <v>6693.88</v>
      </c>
      <c r="HG43" s="4">
        <v>2955.24</v>
      </c>
      <c r="HH43" s="4">
        <v>5556.93</v>
      </c>
      <c r="HI43" s="4">
        <v>9822.58</v>
      </c>
      <c r="HJ43" s="4">
        <v>11924.72</v>
      </c>
      <c r="HK43" s="4">
        <v>2552.42</v>
      </c>
      <c r="HL43" s="4">
        <v>8096.71</v>
      </c>
      <c r="HM43" s="4">
        <v>946.84</v>
      </c>
      <c r="HN43" s="4">
        <v>263976.21999999997</v>
      </c>
      <c r="HO43" s="189">
        <v>179.53</v>
      </c>
      <c r="HP43" s="4">
        <v>350.78</v>
      </c>
      <c r="HQ43" s="4">
        <v>2752.24</v>
      </c>
      <c r="HR43" s="4"/>
      <c r="HS43" s="4">
        <v>4789.2</v>
      </c>
      <c r="HT43" s="4">
        <v>953.56</v>
      </c>
      <c r="HU43" s="4">
        <v>6293.18</v>
      </c>
      <c r="HV43" s="4">
        <v>28977.11</v>
      </c>
      <c r="HW43" s="4">
        <v>42835.3</v>
      </c>
      <c r="HX43" s="4">
        <v>94671.4</v>
      </c>
      <c r="HY43" s="4">
        <v>53953.95</v>
      </c>
      <c r="HZ43" s="4">
        <v>50271.96</v>
      </c>
      <c r="IA43" s="4">
        <v>98774.3</v>
      </c>
      <c r="IB43" s="4">
        <v>85290.47</v>
      </c>
      <c r="IC43" s="4">
        <v>54815.58</v>
      </c>
      <c r="ID43" s="4">
        <v>18941.77</v>
      </c>
      <c r="IE43" s="4">
        <v>58774.65</v>
      </c>
      <c r="IF43" s="4">
        <v>0</v>
      </c>
      <c r="IG43" s="4">
        <v>337.72</v>
      </c>
      <c r="IH43" s="4">
        <v>28456.1</v>
      </c>
      <c r="II43" s="4">
        <v>46705.41</v>
      </c>
      <c r="IJ43" s="189">
        <v>274438.46000000002</v>
      </c>
      <c r="IK43" s="4">
        <v>70243.289999999994</v>
      </c>
      <c r="IL43" s="4">
        <v>0</v>
      </c>
      <c r="IM43" s="4">
        <v>29660.14</v>
      </c>
      <c r="IN43" s="4">
        <v>7033.92</v>
      </c>
      <c r="IO43" s="4">
        <v>152098.21</v>
      </c>
      <c r="IP43" s="4">
        <v>26676.99</v>
      </c>
      <c r="IQ43" s="4">
        <v>69123.44</v>
      </c>
      <c r="IR43" s="4">
        <v>106470.17</v>
      </c>
      <c r="IS43" s="4">
        <v>101416.47</v>
      </c>
      <c r="IT43" s="4"/>
      <c r="IU43" s="4"/>
    </row>
    <row r="44" spans="1:255" ht="14.1" customHeight="1">
      <c r="A44" s="4" t="s">
        <v>12</v>
      </c>
      <c r="B44" s="4"/>
      <c r="C44" s="155"/>
      <c r="D44" s="4"/>
      <c r="E44" s="4"/>
      <c r="F44" s="4"/>
      <c r="G44" s="4"/>
      <c r="H44" s="4"/>
      <c r="I44" s="4"/>
      <c r="J44" s="4"/>
      <c r="K44" s="4"/>
      <c r="L44" s="4"/>
      <c r="M44" s="189"/>
      <c r="N44" s="4"/>
      <c r="O44" s="4"/>
      <c r="P44" s="4"/>
      <c r="Q44" s="4"/>
      <c r="R44" s="4"/>
      <c r="S44" s="4"/>
      <c r="T44" s="4"/>
      <c r="U44" s="4"/>
      <c r="V44" s="58"/>
      <c r="W44" s="4"/>
      <c r="X44" s="4"/>
      <c r="Y44" s="4"/>
      <c r="Z44" s="4"/>
      <c r="AA44" s="4"/>
      <c r="AB44" s="4">
        <f>+'FY-08, FEB-08 - Jan-09, DATA'!AB42*$V$75</f>
        <v>0</v>
      </c>
      <c r="AC44" s="4">
        <f>+'FY-08, FEB-08 - Jan-09, DATA'!AC42*$V$75</f>
        <v>0</v>
      </c>
      <c r="AD44" s="4"/>
      <c r="AE44" s="4"/>
      <c r="AF44" s="189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>
        <v>761095.23</v>
      </c>
      <c r="AW44" s="4"/>
      <c r="AX44" s="4"/>
      <c r="AY44" s="4"/>
      <c r="AZ44" s="4"/>
      <c r="BA44" s="4"/>
      <c r="BB44" s="4"/>
      <c r="BC44" s="189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>
        <v>1130503.17</v>
      </c>
      <c r="BP44" s="4"/>
      <c r="BQ44" s="4"/>
      <c r="BR44" s="4"/>
      <c r="BS44" s="4"/>
      <c r="BT44" s="4"/>
      <c r="BU44" s="4"/>
      <c r="BV44" s="4"/>
      <c r="BW44" s="4"/>
      <c r="BX44" s="4"/>
      <c r="BY44" s="189"/>
      <c r="BZ44" s="4"/>
      <c r="CA44" s="4"/>
      <c r="CB44" s="4"/>
      <c r="CC44" s="4"/>
      <c r="CD44" s="4"/>
      <c r="CE44" s="4"/>
      <c r="CF44" s="4"/>
      <c r="CG44" s="4"/>
      <c r="CH44" s="58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189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189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189"/>
      <c r="EK44" s="332"/>
      <c r="EL44" s="4"/>
      <c r="EM44" s="4"/>
      <c r="EN44" s="4"/>
      <c r="EO44" s="4"/>
      <c r="EP44" s="4"/>
      <c r="EQ44" s="4"/>
      <c r="ER44" s="4"/>
      <c r="ES44" s="4"/>
      <c r="ET44" s="4"/>
      <c r="EU44" s="58">
        <v>915355.13</v>
      </c>
      <c r="EV44" s="4"/>
      <c r="EW44" s="4"/>
      <c r="EX44" s="4"/>
      <c r="EY44" s="4"/>
      <c r="EZ44" s="4"/>
      <c r="FA44" s="4"/>
      <c r="FB44" s="4"/>
      <c r="FC44" s="4"/>
      <c r="FD44" s="4"/>
      <c r="FE44" s="189"/>
      <c r="FF44" s="4"/>
      <c r="FG44" s="4"/>
      <c r="FH44" s="4"/>
      <c r="FI44" s="4"/>
      <c r="FJ44" s="79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189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189"/>
      <c r="GU44" s="4"/>
      <c r="GV44" s="4"/>
      <c r="GW44" s="4"/>
      <c r="GX44" s="4"/>
      <c r="GY44" s="4"/>
      <c r="GZ44" s="4"/>
      <c r="HA44" s="4"/>
      <c r="HB44" s="4"/>
      <c r="HC44" s="4">
        <v>583071.06000000006</v>
      </c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189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189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>
        <f>SUM(C44:IT44)</f>
        <v>3390024.59</v>
      </c>
    </row>
    <row r="45" spans="1:255" s="38" customFormat="1" ht="14.1" customHeight="1">
      <c r="A45" s="32" t="s">
        <v>41</v>
      </c>
      <c r="B45" s="32"/>
      <c r="C45" s="32">
        <v>81641.440000000002</v>
      </c>
      <c r="D45" s="32">
        <f>27.95+15.45</f>
        <v>43.4</v>
      </c>
      <c r="E45" s="32"/>
      <c r="F45" s="32">
        <f>90+48441.22</f>
        <v>48531.22</v>
      </c>
      <c r="G45" s="32"/>
      <c r="H45" s="32">
        <v>6138.51</v>
      </c>
      <c r="I45" s="32"/>
      <c r="J45" s="32"/>
      <c r="K45" s="32"/>
      <c r="L45" s="32"/>
      <c r="M45" s="123">
        <f>5600+3</f>
        <v>5603</v>
      </c>
      <c r="N45" s="32">
        <v>8510.91</v>
      </c>
      <c r="O45" s="32">
        <f>5400+18250</f>
        <v>23650</v>
      </c>
      <c r="P45" s="32"/>
      <c r="Q45" s="32"/>
      <c r="R45" s="32"/>
      <c r="S45" s="32">
        <v>2579453.2999999998</v>
      </c>
      <c r="T45" s="32"/>
      <c r="U45" s="32"/>
      <c r="V45" s="32">
        <v>3</v>
      </c>
      <c r="W45" s="32"/>
      <c r="X45" s="32">
        <f>27.95+15.45+1000</f>
        <v>1043.4000000000001</v>
      </c>
      <c r="Y45" s="32"/>
      <c r="Z45" s="32"/>
      <c r="AA45" s="32"/>
      <c r="AB45" s="32">
        <v>0</v>
      </c>
      <c r="AC45" s="32">
        <v>0</v>
      </c>
      <c r="AD45" s="32"/>
      <c r="AE45" s="32"/>
      <c r="AF45" s="123"/>
      <c r="AG45" s="32">
        <v>50</v>
      </c>
      <c r="AH45" s="32"/>
      <c r="AI45" s="32"/>
      <c r="AJ45" s="32"/>
      <c r="AK45" s="32"/>
      <c r="AL45" s="32"/>
      <c r="AM45" s="32"/>
      <c r="AN45" s="32"/>
      <c r="AO45" s="32"/>
      <c r="AP45" s="32"/>
      <c r="AQ45" s="32">
        <v>177901</v>
      </c>
      <c r="AR45" s="32"/>
      <c r="AS45" s="32"/>
      <c r="AT45" s="32"/>
      <c r="AU45" s="32">
        <f>30.15+15.45</f>
        <v>45.599999999999994</v>
      </c>
      <c r="AV45" s="32"/>
      <c r="AW45" s="32">
        <v>250000</v>
      </c>
      <c r="AX45" s="32">
        <f>250000+101588.3</f>
        <v>351588.3</v>
      </c>
      <c r="AY45" s="32"/>
      <c r="AZ45" s="32"/>
      <c r="BA45" s="32"/>
      <c r="BB45" s="32"/>
      <c r="BC45" s="123"/>
      <c r="BD45" s="32"/>
      <c r="BE45" s="32"/>
      <c r="BF45" s="32"/>
      <c r="BG45" s="32"/>
      <c r="BH45" s="32">
        <v>10</v>
      </c>
      <c r="BI45" s="32"/>
      <c r="BJ45" s="32"/>
      <c r="BK45" s="32">
        <v>3.22</v>
      </c>
      <c r="BL45" s="32"/>
      <c r="BM45" s="32"/>
      <c r="BN45" s="32">
        <v>15</v>
      </c>
      <c r="BO45" s="32"/>
      <c r="BP45" s="32">
        <f>99.1+16.45</f>
        <v>115.55</v>
      </c>
      <c r="BQ45" s="32">
        <v>6</v>
      </c>
      <c r="BR45" s="32"/>
      <c r="BS45" s="32"/>
      <c r="BT45" s="32"/>
      <c r="BU45" s="32"/>
      <c r="BV45" s="32"/>
      <c r="BW45" s="32"/>
      <c r="BX45" s="32">
        <v>14382</v>
      </c>
      <c r="BY45" s="123">
        <v>8780.06</v>
      </c>
      <c r="BZ45" s="32"/>
      <c r="CA45" s="32"/>
      <c r="CB45" s="32"/>
      <c r="CC45" s="32"/>
      <c r="CD45" s="32">
        <v>15632.09</v>
      </c>
      <c r="CE45" s="32"/>
      <c r="CF45" s="32"/>
      <c r="CG45" s="32"/>
      <c r="CH45" s="32"/>
      <c r="CI45" s="32"/>
      <c r="CJ45" s="32">
        <v>16703.52</v>
      </c>
      <c r="CK45" s="32">
        <f>80.18+73.08</f>
        <v>153.26</v>
      </c>
      <c r="CL45" s="32"/>
      <c r="CM45" s="32"/>
      <c r="CN45" s="32"/>
      <c r="CO45" s="32"/>
      <c r="CP45" s="32"/>
      <c r="CQ45" s="32"/>
      <c r="CR45" s="32"/>
      <c r="CS45" s="123">
        <v>2462.39</v>
      </c>
      <c r="CT45" s="32"/>
      <c r="CU45" s="32"/>
      <c r="CV45" s="32"/>
      <c r="CW45" s="32"/>
      <c r="CX45" s="32"/>
      <c r="CY45" s="32">
        <f>397.5+300</f>
        <v>697.5</v>
      </c>
      <c r="CZ45" s="32">
        <f>1061.73+7399.73</f>
        <v>8461.4599999999991</v>
      </c>
      <c r="DA45" s="32"/>
      <c r="DB45" s="32">
        <v>4117</v>
      </c>
      <c r="DC45" s="32"/>
      <c r="DD45" s="32"/>
      <c r="DE45" s="32"/>
      <c r="DF45" s="377"/>
      <c r="DG45" s="32">
        <f>43.4</f>
        <v>43.4</v>
      </c>
      <c r="DH45" s="32"/>
      <c r="DI45" s="32"/>
      <c r="DJ45" s="32"/>
      <c r="DK45" s="32"/>
      <c r="DL45" s="32"/>
      <c r="DM45" s="32">
        <v>600</v>
      </c>
      <c r="DN45" s="123">
        <f>750000+1459.33</f>
        <v>751459.33</v>
      </c>
      <c r="DO45" s="32"/>
      <c r="DP45" s="32">
        <v>5377203</v>
      </c>
      <c r="DQ45" s="32"/>
      <c r="DR45" s="32"/>
      <c r="DS45" s="32"/>
      <c r="DT45" s="32">
        <v>500</v>
      </c>
      <c r="DU45" s="32"/>
      <c r="DV45" s="32">
        <v>25</v>
      </c>
      <c r="DW45" s="32"/>
      <c r="DX45" s="32"/>
      <c r="DY45" s="32">
        <v>48034.93</v>
      </c>
      <c r="DZ45" s="32"/>
      <c r="EA45" s="32">
        <v>43.4</v>
      </c>
      <c r="EB45" s="32">
        <v>351545</v>
      </c>
      <c r="EC45" s="32"/>
      <c r="ED45" s="379"/>
      <c r="EE45" s="32"/>
      <c r="EF45" s="32"/>
      <c r="EG45" s="32"/>
      <c r="EH45" s="32"/>
      <c r="EI45" s="32">
        <v>479954.23</v>
      </c>
      <c r="EJ45" s="123"/>
      <c r="EK45" s="333">
        <f>12077.38+1184.12</f>
        <v>13261.5</v>
      </c>
      <c r="EL45" s="32">
        <v>200000</v>
      </c>
      <c r="EM45" s="32"/>
      <c r="EN45" s="32"/>
      <c r="EO45" s="32"/>
      <c r="EP45" s="32">
        <v>1472991.93</v>
      </c>
      <c r="EQ45" s="32"/>
      <c r="ER45" s="32"/>
      <c r="ES45" s="32">
        <f>58784.16</f>
        <v>58784.160000000003</v>
      </c>
      <c r="ET45" s="32"/>
      <c r="EU45" s="32">
        <v>250000</v>
      </c>
      <c r="EV45" s="32"/>
      <c r="EW45" s="32"/>
      <c r="EX45" s="32">
        <v>43.4</v>
      </c>
      <c r="EY45" s="32">
        <f>1026.16+5000+4000+2000</f>
        <v>12026.16</v>
      </c>
      <c r="EZ45" s="32">
        <v>4109.59</v>
      </c>
      <c r="FA45" s="32"/>
      <c r="FB45" s="32">
        <v>500</v>
      </c>
      <c r="FC45" s="32"/>
      <c r="FD45" s="32"/>
      <c r="FE45" s="123"/>
      <c r="FF45" s="32"/>
      <c r="FG45" s="32"/>
      <c r="FH45" s="32"/>
      <c r="FI45" s="32"/>
      <c r="FJ45" s="250"/>
      <c r="FK45" s="32"/>
      <c r="FL45" s="32"/>
      <c r="FM45" s="32">
        <f>2204691.41+159148.08</f>
        <v>2363839.4900000002</v>
      </c>
      <c r="FN45" s="32"/>
      <c r="FO45" s="32">
        <v>11927</v>
      </c>
      <c r="FP45" s="32"/>
      <c r="FQ45" s="32"/>
      <c r="FR45" s="32"/>
      <c r="FS45" s="32">
        <v>43.4</v>
      </c>
      <c r="FT45" s="32">
        <v>100</v>
      </c>
      <c r="FU45" s="32"/>
      <c r="FV45" s="32">
        <v>3134393</v>
      </c>
      <c r="FW45" s="32"/>
      <c r="FX45" s="32">
        <v>146197.75</v>
      </c>
      <c r="FY45" s="32"/>
      <c r="FZ45" s="123"/>
      <c r="GA45" s="32">
        <v>320999.13</v>
      </c>
      <c r="GB45" s="32"/>
      <c r="GC45" s="32"/>
      <c r="GD45" s="32"/>
      <c r="GE45" s="32"/>
      <c r="GF45" s="32"/>
      <c r="GG45" s="32"/>
      <c r="GH45" s="32"/>
      <c r="GI45" s="32"/>
      <c r="GJ45" s="32">
        <f>2013.7+1000</f>
        <v>3013.7</v>
      </c>
      <c r="GK45" s="32">
        <f>1000+5000</f>
        <v>6000</v>
      </c>
      <c r="GL45" s="32"/>
      <c r="GM45" s="32">
        <v>43.4</v>
      </c>
      <c r="GN45" s="32">
        <v>1000</v>
      </c>
      <c r="GO45" s="32">
        <f>347629.71+454465.51+262713.62+244561.41</f>
        <v>1309370.2499999998</v>
      </c>
      <c r="GP45" s="32"/>
      <c r="GQ45" s="32">
        <v>32235.68</v>
      </c>
      <c r="GR45" s="32"/>
      <c r="GS45" s="32"/>
      <c r="GT45" s="123"/>
      <c r="GU45" s="32">
        <v>9888.86</v>
      </c>
      <c r="GV45" s="32"/>
      <c r="GW45" s="32"/>
      <c r="GX45" s="32"/>
      <c r="GY45" s="32"/>
      <c r="GZ45" s="32"/>
      <c r="HA45" s="32"/>
      <c r="HB45" s="32"/>
      <c r="HC45" s="32"/>
      <c r="HD45" s="32">
        <v>250000</v>
      </c>
      <c r="HE45" s="32"/>
      <c r="HF45" s="32"/>
      <c r="HG45" s="32">
        <v>43.4</v>
      </c>
      <c r="HH45" s="32">
        <v>30000</v>
      </c>
      <c r="HI45" s="32"/>
      <c r="HJ45" s="32"/>
      <c r="HK45" s="32">
        <f>1257259.02+385.11</f>
        <v>1257644.1300000001</v>
      </c>
      <c r="HL45" s="32"/>
      <c r="HM45" s="32"/>
      <c r="HN45" s="32"/>
      <c r="HO45" s="123"/>
      <c r="HP45" s="32">
        <v>8806</v>
      </c>
      <c r="HQ45" s="32">
        <v>10855</v>
      </c>
      <c r="HR45" s="32">
        <v>2000</v>
      </c>
      <c r="HS45" s="32"/>
      <c r="HT45" s="32"/>
      <c r="HU45" s="32"/>
      <c r="HV45" s="32"/>
      <c r="HW45" s="32"/>
      <c r="HX45" s="32"/>
      <c r="HY45" s="32"/>
      <c r="HZ45" s="32"/>
      <c r="IA45" s="32">
        <v>43.4</v>
      </c>
      <c r="IB45" s="32"/>
      <c r="IC45" s="32"/>
      <c r="ID45" s="32"/>
      <c r="IE45" s="32"/>
      <c r="IF45" s="32"/>
      <c r="IG45" s="32"/>
      <c r="IH45" s="32">
        <f>85523.8+116.13</f>
        <v>85639.930000000008</v>
      </c>
      <c r="II45" s="32"/>
      <c r="IJ45" s="123"/>
      <c r="IK45" s="32"/>
      <c r="IL45" s="32"/>
      <c r="IM45" s="32"/>
      <c r="IN45" s="32">
        <v>250000</v>
      </c>
      <c r="IO45" s="32">
        <v>18.059999999999999</v>
      </c>
      <c r="IP45" s="32">
        <v>211916.82</v>
      </c>
      <c r="IQ45" s="32"/>
      <c r="IR45" s="32"/>
      <c r="IS45" s="32"/>
      <c r="IT45" s="32"/>
      <c r="IU45" s="32">
        <f>SUM(C45:IT45)</f>
        <v>22072885.559999991</v>
      </c>
    </row>
    <row r="46" spans="1:255" s="57" customFormat="1" ht="14.1" customHeight="1">
      <c r="A46" s="58" t="s">
        <v>44</v>
      </c>
      <c r="B46" s="58"/>
      <c r="C46" s="58">
        <v>420666.56</v>
      </c>
      <c r="D46" s="58">
        <v>4245462.78</v>
      </c>
      <c r="E46" s="58">
        <v>1346474.58</v>
      </c>
      <c r="F46" s="58">
        <v>1210011.28</v>
      </c>
      <c r="G46" s="58">
        <v>2210920.39</v>
      </c>
      <c r="H46" s="58">
        <v>660230.81999999995</v>
      </c>
      <c r="I46" s="58">
        <v>1569263.39</v>
      </c>
      <c r="J46" s="58">
        <v>1500425.82</v>
      </c>
      <c r="K46" s="58">
        <v>1262096.18</v>
      </c>
      <c r="L46" s="58">
        <v>588340.77</v>
      </c>
      <c r="M46" s="225">
        <v>1271562.05</v>
      </c>
      <c r="N46" s="58">
        <v>2432516.56</v>
      </c>
      <c r="O46" s="58">
        <v>216043.92</v>
      </c>
      <c r="P46" s="58">
        <v>709865.58</v>
      </c>
      <c r="Q46" s="58">
        <v>544281.80000000005</v>
      </c>
      <c r="R46" s="58">
        <v>892212.45</v>
      </c>
      <c r="S46" s="58">
        <v>909085.44</v>
      </c>
      <c r="T46" s="58">
        <v>3393992.76</v>
      </c>
      <c r="U46" s="58">
        <v>676461.74</v>
      </c>
      <c r="V46" s="58">
        <v>1132566.3</v>
      </c>
      <c r="W46" s="58">
        <v>2782163.62</v>
      </c>
      <c r="X46" s="58">
        <v>2650852.61</v>
      </c>
      <c r="Y46" s="58">
        <v>1437781.89</v>
      </c>
      <c r="Z46" s="58">
        <v>1597417.73</v>
      </c>
      <c r="AA46" s="58">
        <v>1491878.99</v>
      </c>
      <c r="AB46" s="58">
        <v>1889046.51</v>
      </c>
      <c r="AC46" s="58">
        <v>740948.22</v>
      </c>
      <c r="AD46" s="58">
        <v>939733.64</v>
      </c>
      <c r="AE46" s="58">
        <v>318664.23</v>
      </c>
      <c r="AF46" s="225">
        <v>2191689.0299999998</v>
      </c>
      <c r="AG46" s="58">
        <v>1761459.67</v>
      </c>
      <c r="AH46" s="58">
        <v>1466162.09</v>
      </c>
      <c r="AI46" s="58">
        <v>391845.2</v>
      </c>
      <c r="AJ46" s="58">
        <v>1150799.6000000001</v>
      </c>
      <c r="AK46" s="58">
        <v>1707684.87</v>
      </c>
      <c r="AL46" s="58">
        <v>3000373.63</v>
      </c>
      <c r="AM46" s="58">
        <v>252587.86</v>
      </c>
      <c r="AN46" s="58">
        <v>3805399.3</v>
      </c>
      <c r="AO46" s="58">
        <v>51658.34</v>
      </c>
      <c r="AP46" s="58">
        <v>252875.99</v>
      </c>
      <c r="AQ46" s="58">
        <v>2772377.02</v>
      </c>
      <c r="AR46" s="58">
        <v>872711.11</v>
      </c>
      <c r="AS46" s="58">
        <v>3532406.6</v>
      </c>
      <c r="AT46" s="58">
        <v>244451.53</v>
      </c>
      <c r="AU46" s="58">
        <v>401243.06</v>
      </c>
      <c r="AV46" s="58">
        <v>1472607.12</v>
      </c>
      <c r="AW46" s="58">
        <v>1283589.3899999999</v>
      </c>
      <c r="AX46" s="58">
        <v>1055448.49</v>
      </c>
      <c r="AY46" s="58">
        <v>688633.48</v>
      </c>
      <c r="AZ46" s="58">
        <v>691013.39</v>
      </c>
      <c r="BA46" s="58">
        <v>1742080.28</v>
      </c>
      <c r="BB46" s="58">
        <v>5153004.5999999996</v>
      </c>
      <c r="BC46" s="225">
        <v>1846641.5</v>
      </c>
      <c r="BD46" s="58">
        <v>754960.37</v>
      </c>
      <c r="BE46" s="58">
        <v>982836.66</v>
      </c>
      <c r="BF46" s="58">
        <v>4806401.3499999996</v>
      </c>
      <c r="BG46" s="58">
        <v>341149.38</v>
      </c>
      <c r="BH46" s="58">
        <v>2875730.38</v>
      </c>
      <c r="BI46" s="58">
        <v>366264.6</v>
      </c>
      <c r="BJ46" s="58">
        <v>1265453.24</v>
      </c>
      <c r="BK46" s="58">
        <v>3626940.46</v>
      </c>
      <c r="BL46" s="58">
        <v>1041668.7</v>
      </c>
      <c r="BM46" s="58">
        <v>1352468.96</v>
      </c>
      <c r="BN46" s="58">
        <v>3500100.98</v>
      </c>
      <c r="BO46" s="58">
        <v>346644.37</v>
      </c>
      <c r="BP46" s="58">
        <v>3129707</v>
      </c>
      <c r="BQ46" s="58">
        <v>814526.51</v>
      </c>
      <c r="BR46" s="58">
        <v>1442216.12</v>
      </c>
      <c r="BS46" s="58">
        <v>1056638.8999999999</v>
      </c>
      <c r="BT46" s="58">
        <v>1125856.1299999999</v>
      </c>
      <c r="BU46" s="58">
        <f>913114.28+624100.41</f>
        <v>1537214.69</v>
      </c>
      <c r="BV46" s="58">
        <v>4683380.54</v>
      </c>
      <c r="BW46" s="58">
        <v>1151261.8799999999</v>
      </c>
      <c r="BX46" s="58">
        <v>197886.55</v>
      </c>
      <c r="BY46" s="225">
        <v>247303.63</v>
      </c>
      <c r="BZ46" s="58">
        <v>1644468.64</v>
      </c>
      <c r="CA46" s="58">
        <v>557542.74</v>
      </c>
      <c r="CB46" s="58">
        <f>9604811.57+5321.36</f>
        <v>9610132.9299999997</v>
      </c>
      <c r="CC46" s="58">
        <v>230201.5</v>
      </c>
      <c r="CD46" s="58">
        <v>351038.28</v>
      </c>
      <c r="CE46" s="58">
        <v>2896660.48</v>
      </c>
      <c r="CF46" s="58">
        <v>1149806.1100000001</v>
      </c>
      <c r="CG46" s="58">
        <v>1717798.03</v>
      </c>
      <c r="CH46" s="58">
        <v>455953.96</v>
      </c>
      <c r="CI46" s="58">
        <v>3105420.94</v>
      </c>
      <c r="CJ46" s="58">
        <v>1289141.81</v>
      </c>
      <c r="CK46" s="58">
        <v>1316426.57</v>
      </c>
      <c r="CL46" s="58">
        <v>388399</v>
      </c>
      <c r="CM46" s="58">
        <v>4056809.74</v>
      </c>
      <c r="CN46" s="58">
        <v>1152016.8799999999</v>
      </c>
      <c r="CO46" s="58">
        <v>1369814.39</v>
      </c>
      <c r="CP46" s="58">
        <v>1888585.36</v>
      </c>
      <c r="CQ46" s="58">
        <v>249792.78</v>
      </c>
      <c r="CR46" s="58">
        <v>1573557.3</v>
      </c>
      <c r="CS46" s="225">
        <v>1170780.8700000001</v>
      </c>
      <c r="CT46" s="58">
        <v>2232319</v>
      </c>
      <c r="CU46" s="58">
        <v>2562966.27</v>
      </c>
      <c r="CV46" s="58">
        <v>1834004.52</v>
      </c>
      <c r="CW46" s="58">
        <v>2012268.36</v>
      </c>
      <c r="CX46" s="58">
        <v>2295866.59</v>
      </c>
      <c r="CY46" s="58">
        <v>1586460.89</v>
      </c>
      <c r="CZ46" s="58">
        <v>1099555.18</v>
      </c>
      <c r="DA46" s="58">
        <v>768894.66</v>
      </c>
      <c r="DB46" s="58">
        <v>5100605.08</v>
      </c>
      <c r="DC46" s="58">
        <v>1183588.31</v>
      </c>
      <c r="DD46" s="58">
        <v>1535845.03</v>
      </c>
      <c r="DE46" s="58">
        <v>1916924.7</v>
      </c>
      <c r="DF46" s="58">
        <v>1628931.86</v>
      </c>
      <c r="DG46" s="58">
        <f>1136540.76+579746.53</f>
        <v>1716287.29</v>
      </c>
      <c r="DH46" s="58">
        <v>278323.37</v>
      </c>
      <c r="DI46" s="58">
        <f>334428.04+481876.88</f>
        <v>816304.91999999993</v>
      </c>
      <c r="DJ46" s="58">
        <v>281860.92</v>
      </c>
      <c r="DK46" s="58">
        <v>350591.06</v>
      </c>
      <c r="DL46" s="58">
        <v>117927.11</v>
      </c>
      <c r="DM46" s="58">
        <v>48393.31</v>
      </c>
      <c r="DN46" s="225">
        <v>3696291.22</v>
      </c>
      <c r="DO46" s="58">
        <v>432907.92</v>
      </c>
      <c r="DP46" s="58">
        <v>2071609.5699999998</v>
      </c>
      <c r="DQ46" s="58">
        <v>1322466.02</v>
      </c>
      <c r="DR46" s="58">
        <f>2359354.68+280428.01</f>
        <v>2639782.6900000004</v>
      </c>
      <c r="DS46" s="58">
        <v>2884737.83</v>
      </c>
      <c r="DT46" s="58">
        <f>672888.06+244.98</f>
        <v>673133.04</v>
      </c>
      <c r="DU46" s="58">
        <v>3279208.6</v>
      </c>
      <c r="DV46" s="58">
        <v>1226338.8400000001</v>
      </c>
      <c r="DW46" s="58">
        <v>641010.51</v>
      </c>
      <c r="DX46" s="58">
        <v>1920111.32</v>
      </c>
      <c r="DY46" s="58">
        <v>520522.36</v>
      </c>
      <c r="DZ46" s="58">
        <v>4242996.45</v>
      </c>
      <c r="EA46" s="58">
        <v>471273.94</v>
      </c>
      <c r="EB46" s="58">
        <v>131545.42000000001</v>
      </c>
      <c r="EC46" s="58">
        <v>2994052.94</v>
      </c>
      <c r="ED46" s="58">
        <v>126389.84</v>
      </c>
      <c r="EE46" s="58">
        <v>611668.66</v>
      </c>
      <c r="EF46" s="58">
        <v>279840.25</v>
      </c>
      <c r="EG46" s="58">
        <v>285900.06</v>
      </c>
      <c r="EH46" s="58">
        <v>1799870.23</v>
      </c>
      <c r="EI46" s="58">
        <v>244965.24</v>
      </c>
      <c r="EJ46" s="225">
        <v>345858.26999999996</v>
      </c>
      <c r="EK46" s="338">
        <v>1178549.07</v>
      </c>
      <c r="EL46" s="58">
        <v>3022935.65</v>
      </c>
      <c r="EM46" s="58">
        <v>820765.63</v>
      </c>
      <c r="EN46" s="58">
        <v>377320.26</v>
      </c>
      <c r="EO46" s="58">
        <v>248920.3</v>
      </c>
      <c r="EP46" s="58">
        <v>2379151.4499999997</v>
      </c>
      <c r="EQ46" s="58">
        <v>414082.92</v>
      </c>
      <c r="ER46" s="58">
        <v>2268616.69</v>
      </c>
      <c r="ES46" s="58">
        <v>105674.94</v>
      </c>
      <c r="ET46" s="58">
        <v>1223677.72</v>
      </c>
      <c r="EU46" s="58">
        <v>2659472.13</v>
      </c>
      <c r="EV46" s="58">
        <v>2568396.4900000002</v>
      </c>
      <c r="EW46" s="58">
        <v>799949.95</v>
      </c>
      <c r="EX46" s="58">
        <v>169059.07</v>
      </c>
      <c r="EY46" s="58">
        <v>196928.87</v>
      </c>
      <c r="EZ46" s="58">
        <v>1474261.17</v>
      </c>
      <c r="FA46" s="58">
        <v>442245.96</v>
      </c>
      <c r="FB46" s="58">
        <v>1664437.52</v>
      </c>
      <c r="FC46" s="58">
        <v>366967.13</v>
      </c>
      <c r="FD46" s="58">
        <v>1521110.4100000001</v>
      </c>
      <c r="FE46" s="225">
        <v>567220.12</v>
      </c>
      <c r="FF46" s="58">
        <v>928453.76</v>
      </c>
      <c r="FG46" s="58">
        <v>344622.69</v>
      </c>
      <c r="FH46" s="58">
        <v>1329543.48</v>
      </c>
      <c r="FI46" s="58">
        <v>4397887.16</v>
      </c>
      <c r="FJ46" s="348">
        <v>416910.87</v>
      </c>
      <c r="FK46" s="58">
        <v>2061963</v>
      </c>
      <c r="FL46" s="58">
        <v>242130.12</v>
      </c>
      <c r="FM46" s="58">
        <v>2327032.7399999998</v>
      </c>
      <c r="FN46" s="58">
        <v>5609347.6799999997</v>
      </c>
      <c r="FO46" s="58">
        <v>1108018.3500000001</v>
      </c>
      <c r="FP46" s="58">
        <f>1144775.43+1629.39</f>
        <v>1146404.8199999998</v>
      </c>
      <c r="FQ46" s="58">
        <v>744929.6</v>
      </c>
      <c r="FR46" s="58">
        <v>896125.55</v>
      </c>
      <c r="FS46" s="58">
        <v>3374177.65</v>
      </c>
      <c r="FT46" s="58">
        <v>4385687.26</v>
      </c>
      <c r="FU46" s="58">
        <f>447164.01+63199.18</f>
        <v>510363.19</v>
      </c>
      <c r="FV46" s="58">
        <v>1433961.71</v>
      </c>
      <c r="FW46" s="58">
        <v>343079.63</v>
      </c>
      <c r="FX46" s="58">
        <v>3501813.4800000004</v>
      </c>
      <c r="FY46" s="58">
        <v>1747842.57</v>
      </c>
      <c r="FZ46" s="225">
        <v>538459.51</v>
      </c>
      <c r="GA46" s="58">
        <f>3628228.09+29287.76</f>
        <v>3657515.8499999996</v>
      </c>
      <c r="GB46" s="58">
        <v>2541658.1800000002</v>
      </c>
      <c r="GC46" s="58">
        <v>446163.29</v>
      </c>
      <c r="GD46" s="58">
        <f>523262.54+359992.97</f>
        <v>883255.51</v>
      </c>
      <c r="GE46" s="58">
        <v>1852785.5899999999</v>
      </c>
      <c r="GF46" s="58">
        <v>666754.85</v>
      </c>
      <c r="GG46" s="58">
        <v>6700570.0599999996</v>
      </c>
      <c r="GH46" s="58">
        <v>1075204.54</v>
      </c>
      <c r="GI46" s="58">
        <f>517055.42+453629.57</f>
        <v>970684.99</v>
      </c>
      <c r="GJ46" s="58">
        <v>1524266.8</v>
      </c>
      <c r="GK46" s="58">
        <v>367416.49</v>
      </c>
      <c r="GL46" s="58">
        <v>2827076.1399999997</v>
      </c>
      <c r="GM46" s="58">
        <v>1106667.5900000001</v>
      </c>
      <c r="GN46" s="58">
        <v>1701311.0899999999</v>
      </c>
      <c r="GO46" s="58">
        <v>671838.59000000008</v>
      </c>
      <c r="GP46" s="58">
        <v>278500.39</v>
      </c>
      <c r="GQ46" s="58">
        <v>1657455.33</v>
      </c>
      <c r="GR46" s="58">
        <v>1055972.6200000001</v>
      </c>
      <c r="GS46" s="58">
        <v>2054226.34</v>
      </c>
      <c r="GT46" s="225">
        <v>698376.14</v>
      </c>
      <c r="GU46" s="58">
        <v>2150006.04</v>
      </c>
      <c r="GV46" s="58">
        <v>779439.69</v>
      </c>
      <c r="GW46" s="58">
        <v>3233038.99</v>
      </c>
      <c r="GX46" s="58">
        <v>577414.26</v>
      </c>
      <c r="GY46" s="58">
        <v>488240.12</v>
      </c>
      <c r="GZ46" s="58">
        <v>9134817.4199999999</v>
      </c>
      <c r="HA46" s="58">
        <v>661988.93000000005</v>
      </c>
      <c r="HB46" s="58">
        <v>1325711.55</v>
      </c>
      <c r="HC46" s="58">
        <v>285920.21000000002</v>
      </c>
      <c r="HD46" s="58">
        <v>1111404.07</v>
      </c>
      <c r="HE46" s="58">
        <v>731360.67</v>
      </c>
      <c r="HF46" s="58">
        <v>1475032.62</v>
      </c>
      <c r="HG46" s="58">
        <v>130901.93</v>
      </c>
      <c r="HH46" s="58">
        <v>236641.16</v>
      </c>
      <c r="HI46" s="58">
        <f>802879.82+2550245.36</f>
        <v>3353125.1799999997</v>
      </c>
      <c r="HJ46" s="58">
        <v>2769995.3</v>
      </c>
      <c r="HK46" s="58">
        <v>1426294.25</v>
      </c>
      <c r="HL46" s="58">
        <v>1157877.1679999998</v>
      </c>
      <c r="HM46" s="58">
        <v>804018.35</v>
      </c>
      <c r="HN46" s="58">
        <v>3909201.06</v>
      </c>
      <c r="HO46" s="225">
        <v>1104686.6299999999</v>
      </c>
      <c r="HP46" s="58">
        <v>1154979.79</v>
      </c>
      <c r="HQ46" s="58">
        <v>564922.14999999991</v>
      </c>
      <c r="HR46" s="58">
        <v>372962.88</v>
      </c>
      <c r="HS46" s="58">
        <v>10327243.33</v>
      </c>
      <c r="HT46" s="58">
        <v>484255.97</v>
      </c>
      <c r="HU46" s="58">
        <v>2515430.9</v>
      </c>
      <c r="HV46" s="58">
        <v>877634.04</v>
      </c>
      <c r="HW46" s="58">
        <v>1801508.34</v>
      </c>
      <c r="HX46" s="58">
        <v>564123.66</v>
      </c>
      <c r="HY46" s="58">
        <v>462698.6</v>
      </c>
      <c r="HZ46" s="58">
        <v>39237.800000000003</v>
      </c>
      <c r="IA46" s="58">
        <v>1009965.27</v>
      </c>
      <c r="IB46" s="58">
        <v>120086.08</v>
      </c>
      <c r="IC46" s="58">
        <v>3781052.88</v>
      </c>
      <c r="ID46" s="58">
        <v>418615.24</v>
      </c>
      <c r="IE46" s="58">
        <v>324323.09000000003</v>
      </c>
      <c r="IF46" s="58">
        <v>2077705.6800000002</v>
      </c>
      <c r="IG46" s="58">
        <v>2201587.59</v>
      </c>
      <c r="IH46" s="58">
        <v>3588592.91</v>
      </c>
      <c r="II46" s="58">
        <v>306663.28000000003</v>
      </c>
      <c r="IJ46" s="225">
        <v>890972.72</v>
      </c>
      <c r="IK46" s="58">
        <v>5706123.1000000006</v>
      </c>
      <c r="IL46" s="58">
        <v>783563.15</v>
      </c>
      <c r="IM46" s="58">
        <f>647908.18+588181.8</f>
        <v>1236089.98</v>
      </c>
      <c r="IN46" s="58">
        <v>1663115.1400000001</v>
      </c>
      <c r="IO46" s="58">
        <v>2918190.92</v>
      </c>
      <c r="IP46" s="58">
        <v>255926.08</v>
      </c>
      <c r="IQ46" s="58">
        <v>1927103.07</v>
      </c>
      <c r="IR46" s="58">
        <v>313393.39</v>
      </c>
      <c r="IS46" s="58">
        <v>3163492.63</v>
      </c>
      <c r="IT46" s="58"/>
      <c r="IU46" s="58">
        <f>SUM(C46:IT46)</f>
        <v>397155945.02799994</v>
      </c>
    </row>
    <row r="47" spans="1:255" ht="14.1" customHeight="1">
      <c r="A47" s="4" t="s">
        <v>45</v>
      </c>
      <c r="B47" s="4"/>
      <c r="C47" s="155">
        <v>7981.44</v>
      </c>
      <c r="D47" s="4">
        <v>32154.07</v>
      </c>
      <c r="E47" s="4">
        <v>5256.06</v>
      </c>
      <c r="F47" s="4">
        <v>7660.17</v>
      </c>
      <c r="G47" s="4">
        <v>410.78</v>
      </c>
      <c r="H47" s="492">
        <v>2446999.31</v>
      </c>
      <c r="I47" s="4">
        <v>23489.03</v>
      </c>
      <c r="J47" s="4">
        <v>27657.23</v>
      </c>
      <c r="K47" s="4">
        <v>112566.24</v>
      </c>
      <c r="L47" s="4">
        <v>7206.45</v>
      </c>
      <c r="M47" s="238">
        <v>53978285.130000003</v>
      </c>
      <c r="N47" s="4">
        <v>112015.09</v>
      </c>
      <c r="O47" s="4">
        <v>321520.15999999997</v>
      </c>
      <c r="P47" s="4">
        <v>33628.300000000003</v>
      </c>
      <c r="Q47" s="492">
        <v>2938310.31</v>
      </c>
      <c r="R47" s="4">
        <v>103783.95</v>
      </c>
      <c r="S47" s="4">
        <v>49861.58</v>
      </c>
      <c r="T47" s="4">
        <v>144443.75</v>
      </c>
      <c r="U47" s="4">
        <v>15465.77</v>
      </c>
      <c r="V47" s="4">
        <v>32329.41</v>
      </c>
      <c r="W47" s="4">
        <v>20510.72</v>
      </c>
      <c r="X47" s="4">
        <v>6845.24</v>
      </c>
      <c r="Y47" s="4">
        <v>17028.32</v>
      </c>
      <c r="Z47" s="4">
        <v>2300.12</v>
      </c>
      <c r="AA47" s="58">
        <f>2834416.78+35077.01</f>
        <v>2869493.7899999996</v>
      </c>
      <c r="AB47" s="4">
        <v>27086.34</v>
      </c>
      <c r="AC47" s="4">
        <v>23412.71</v>
      </c>
      <c r="AD47" s="4">
        <v>45542.99</v>
      </c>
      <c r="AE47" s="4">
        <v>9512.44</v>
      </c>
      <c r="AF47" s="238">
        <v>54541475.32</v>
      </c>
      <c r="AG47" s="4">
        <v>163916.9</v>
      </c>
      <c r="AH47" s="4">
        <v>103361.03</v>
      </c>
      <c r="AI47" s="4">
        <v>240006.78</v>
      </c>
      <c r="AJ47" s="4">
        <v>85016.84</v>
      </c>
      <c r="AK47" s="58">
        <v>2957383.4</v>
      </c>
      <c r="AL47" s="4">
        <v>38938.910000000003</v>
      </c>
      <c r="AM47" s="4">
        <v>37287.129999999997</v>
      </c>
      <c r="AN47" s="4">
        <v>77747.149999999994</v>
      </c>
      <c r="AO47" s="4">
        <v>40619.800000000003</v>
      </c>
      <c r="AP47" s="4">
        <v>6783.72</v>
      </c>
      <c r="AQ47" s="4">
        <v>18624.27</v>
      </c>
      <c r="AR47" s="4">
        <v>10461.24</v>
      </c>
      <c r="AS47" s="4">
        <v>16103.46</v>
      </c>
      <c r="AT47" s="4">
        <v>8421.8799999999992</v>
      </c>
      <c r="AU47" s="58">
        <v>2258186.84</v>
      </c>
      <c r="AV47" s="4">
        <v>17378.849999999999</v>
      </c>
      <c r="AW47" s="4">
        <v>21090.44</v>
      </c>
      <c r="AX47" s="4">
        <v>7973.8</v>
      </c>
      <c r="AY47" s="4">
        <v>45198.53</v>
      </c>
      <c r="AZ47" s="58">
        <v>9898.67</v>
      </c>
      <c r="BA47" s="4">
        <v>5569.82</v>
      </c>
      <c r="BB47" s="4">
        <v>45197</v>
      </c>
      <c r="BC47" s="238">
        <v>56435928.600000001</v>
      </c>
      <c r="BD47" s="4">
        <v>94100.11</v>
      </c>
      <c r="BE47" s="58">
        <v>3089220.69</v>
      </c>
      <c r="BF47" s="4">
        <v>254373.68</v>
      </c>
      <c r="BG47" s="4">
        <v>100013.55</v>
      </c>
      <c r="BH47" s="4">
        <v>220747.13</v>
      </c>
      <c r="BI47" s="4">
        <v>20284.47</v>
      </c>
      <c r="BJ47" s="4">
        <v>26961.66</v>
      </c>
      <c r="BK47" s="4">
        <v>153451.35</v>
      </c>
      <c r="BL47" s="4">
        <v>8042.68</v>
      </c>
      <c r="BM47" s="4">
        <v>19725.259999999998</v>
      </c>
      <c r="BN47" s="4">
        <v>5717.05</v>
      </c>
      <c r="BO47" s="58">
        <v>2980671.39</v>
      </c>
      <c r="BP47" s="4">
        <v>30146.11</v>
      </c>
      <c r="BQ47" s="4">
        <v>39815.06</v>
      </c>
      <c r="BR47" s="4">
        <v>56533.71</v>
      </c>
      <c r="BS47" s="4">
        <v>13251.74</v>
      </c>
      <c r="BT47" s="4">
        <v>8679.08</v>
      </c>
      <c r="BU47" s="4">
        <v>5363.86</v>
      </c>
      <c r="BV47" s="4">
        <v>8798.0499999999993</v>
      </c>
      <c r="BW47" s="4">
        <v>2795.24</v>
      </c>
      <c r="BX47" s="4">
        <v>12764.84</v>
      </c>
      <c r="BY47" s="238">
        <v>60449640.920000002</v>
      </c>
      <c r="BZ47" s="225">
        <v>160936.75</v>
      </c>
      <c r="CA47" s="4">
        <v>523329.7</v>
      </c>
      <c r="CB47" s="4">
        <v>60834.01</v>
      </c>
      <c r="CC47" s="4">
        <v>37090.03</v>
      </c>
      <c r="CD47" s="4">
        <v>43525.67</v>
      </c>
      <c r="CE47" s="4">
        <v>22026.18</v>
      </c>
      <c r="CF47" s="4">
        <v>48838.1</v>
      </c>
      <c r="CG47" s="4">
        <v>14321.26</v>
      </c>
      <c r="CH47" s="58">
        <v>3307222.14</v>
      </c>
      <c r="CI47" s="4">
        <v>107892.94</v>
      </c>
      <c r="CJ47" s="4">
        <v>67432.69</v>
      </c>
      <c r="CK47" s="4">
        <v>3249.06</v>
      </c>
      <c r="CL47" s="4">
        <v>4234.71</v>
      </c>
      <c r="CM47" s="4">
        <v>27275.18</v>
      </c>
      <c r="CN47" s="4">
        <v>2786.67</v>
      </c>
      <c r="CO47" s="4">
        <v>3779.39</v>
      </c>
      <c r="CP47" s="4">
        <v>4358.21</v>
      </c>
      <c r="CQ47" s="4">
        <v>2088.38</v>
      </c>
      <c r="CR47" s="58">
        <v>2698482.08</v>
      </c>
      <c r="CS47" s="238">
        <v>54545058.329999998</v>
      </c>
      <c r="CT47" s="4">
        <v>184651.61</v>
      </c>
      <c r="CU47" s="4">
        <v>296492.45</v>
      </c>
      <c r="CV47" s="4">
        <v>86123.37</v>
      </c>
      <c r="CW47" s="4">
        <v>66613.73</v>
      </c>
      <c r="CX47" s="4">
        <v>123081.02</v>
      </c>
      <c r="CY47" s="4">
        <v>46803.51</v>
      </c>
      <c r="CZ47" s="4">
        <v>430983.39</v>
      </c>
      <c r="DA47" s="4">
        <v>13183.01</v>
      </c>
      <c r="DB47" s="58">
        <v>1694697.43</v>
      </c>
      <c r="DC47" s="4">
        <v>53187.95</v>
      </c>
      <c r="DD47" s="4">
        <v>25447.45</v>
      </c>
      <c r="DE47" s="4">
        <v>326598.16000000003</v>
      </c>
      <c r="DF47" s="4">
        <v>835.51</v>
      </c>
      <c r="DG47" s="4">
        <f>3015.32+11638.51</f>
        <v>14653.83</v>
      </c>
      <c r="DH47" s="4">
        <v>445.28</v>
      </c>
      <c r="DI47" s="4">
        <v>3217.17</v>
      </c>
      <c r="DJ47" s="4">
        <v>2128.98</v>
      </c>
      <c r="DK47" s="58">
        <v>1619244.2</v>
      </c>
      <c r="DL47" s="4">
        <v>42602.42</v>
      </c>
      <c r="DM47" s="4">
        <v>42401.78</v>
      </c>
      <c r="DN47" s="225">
        <v>58097699.210000001</v>
      </c>
      <c r="DO47" s="4">
        <v>102513.46</v>
      </c>
      <c r="DP47" s="4">
        <v>57850.170000000006</v>
      </c>
      <c r="DQ47" s="4">
        <v>238617.13</v>
      </c>
      <c r="DR47" s="4">
        <v>121888.51</v>
      </c>
      <c r="DS47" s="4">
        <v>114531.82</v>
      </c>
      <c r="DT47" s="4">
        <v>48669.24</v>
      </c>
      <c r="DU47" s="58">
        <v>1623680.33</v>
      </c>
      <c r="DV47" s="4">
        <v>69614.5</v>
      </c>
      <c r="DW47" s="4">
        <v>38783.29</v>
      </c>
      <c r="DX47" s="4">
        <v>388879.42</v>
      </c>
      <c r="DY47" s="4">
        <v>7463.2</v>
      </c>
      <c r="DZ47" s="4">
        <v>38070.230000000003</v>
      </c>
      <c r="EA47" s="4">
        <v>4689.3</v>
      </c>
      <c r="EB47" s="4">
        <v>4109.32</v>
      </c>
      <c r="EC47" s="4">
        <v>6402.81</v>
      </c>
      <c r="ED47" s="4">
        <v>0</v>
      </c>
      <c r="EE47" s="58">
        <v>1647190.17</v>
      </c>
      <c r="EF47" s="4">
        <v>45546.16</v>
      </c>
      <c r="EG47" s="4">
        <v>31326.68</v>
      </c>
      <c r="EH47" s="4">
        <v>3173.66</v>
      </c>
      <c r="EI47" s="4">
        <v>28373.83</v>
      </c>
      <c r="EJ47" s="225">
        <v>54887530.409999996</v>
      </c>
      <c r="EK47" s="332">
        <v>291473.70999999996</v>
      </c>
      <c r="EL47" s="4">
        <v>269830.46000000002</v>
      </c>
      <c r="EM47" s="4">
        <v>100973.62</v>
      </c>
      <c r="EN47" s="4">
        <v>44403.47</v>
      </c>
      <c r="EO47" s="4">
        <v>1829757.38</v>
      </c>
      <c r="EP47" s="4">
        <v>42101.06</v>
      </c>
      <c r="EQ47" s="4">
        <v>91660.18</v>
      </c>
      <c r="ER47" s="4">
        <v>410508.07999999996</v>
      </c>
      <c r="ES47" s="4">
        <v>15494.029999999999</v>
      </c>
      <c r="ET47" s="4">
        <v>28767.149999999998</v>
      </c>
      <c r="EU47" s="4">
        <v>29653.119999999999</v>
      </c>
      <c r="EV47" s="4">
        <v>51985.270000000004</v>
      </c>
      <c r="EW47" s="4">
        <v>9292.8599999999988</v>
      </c>
      <c r="EX47" s="4">
        <v>11609.66</v>
      </c>
      <c r="EY47" s="58">
        <v>2263430.2600000002</v>
      </c>
      <c r="EZ47" s="4">
        <v>36439.65</v>
      </c>
      <c r="FA47" s="4">
        <v>50098.979999999996</v>
      </c>
      <c r="FB47" s="4">
        <v>10594.67</v>
      </c>
      <c r="FC47" s="4">
        <v>40203</v>
      </c>
      <c r="FD47" s="4">
        <v>54511.8</v>
      </c>
      <c r="FE47" s="238">
        <v>56387650.93</v>
      </c>
      <c r="FF47" s="4">
        <v>152021.12</v>
      </c>
      <c r="FG47" s="4">
        <v>309530.10000000003</v>
      </c>
      <c r="FH47" s="58">
        <v>2609953.5299999998</v>
      </c>
      <c r="FI47" s="4">
        <v>164908.60999999999</v>
      </c>
      <c r="FJ47" s="79">
        <v>212666.02</v>
      </c>
      <c r="FK47" s="4">
        <v>252605.81</v>
      </c>
      <c r="FL47" s="4">
        <v>43646.05</v>
      </c>
      <c r="FM47" s="4">
        <v>35883.439999999995</v>
      </c>
      <c r="FN47" s="4">
        <v>12611.94</v>
      </c>
      <c r="FO47" s="4">
        <v>34821.089999999997</v>
      </c>
      <c r="FP47" s="4">
        <v>5309.78</v>
      </c>
      <c r="FQ47" s="4">
        <v>31704.25</v>
      </c>
      <c r="FR47" s="58">
        <v>2874974.27</v>
      </c>
      <c r="FS47" s="4">
        <v>69183.239999999991</v>
      </c>
      <c r="FT47" s="4">
        <v>25944.83</v>
      </c>
      <c r="FU47" s="4">
        <v>6714.95</v>
      </c>
      <c r="FV47" s="4">
        <v>2222.61</v>
      </c>
      <c r="FW47" s="4">
        <v>29928.09</v>
      </c>
      <c r="FX47" s="4">
        <v>13410.78</v>
      </c>
      <c r="FY47" s="4">
        <v>10947.61</v>
      </c>
      <c r="FZ47" s="238">
        <v>57761146.490000002</v>
      </c>
      <c r="GA47" s="401">
        <v>2982128.69</v>
      </c>
      <c r="GB47" s="4">
        <v>140605.34</v>
      </c>
      <c r="GC47" s="4">
        <v>369396.61000000004</v>
      </c>
      <c r="GD47" s="4">
        <v>165273.9</v>
      </c>
      <c r="GE47" s="4">
        <v>22215.68</v>
      </c>
      <c r="GF47" s="4">
        <v>49822.22</v>
      </c>
      <c r="GG47" s="4">
        <v>9939.3700000000008</v>
      </c>
      <c r="GH47" s="4">
        <v>218918.56</v>
      </c>
      <c r="GI47" s="4">
        <v>133127.66</v>
      </c>
      <c r="GJ47" s="4">
        <v>11860.710000000001</v>
      </c>
      <c r="GK47" s="58">
        <v>3235517.6399999997</v>
      </c>
      <c r="GL47" s="4">
        <v>43844.020000000004</v>
      </c>
      <c r="GM47" s="4">
        <v>61415.799999999996</v>
      </c>
      <c r="GN47" s="4">
        <v>19054.330000000002</v>
      </c>
      <c r="GO47" s="4">
        <v>1391.23</v>
      </c>
      <c r="GP47" s="4">
        <v>9023.74</v>
      </c>
      <c r="GQ47" s="4">
        <v>2299.9899999999998</v>
      </c>
      <c r="GR47" s="4">
        <v>4725.9799999999996</v>
      </c>
      <c r="GS47" s="4">
        <v>18593.740000000002</v>
      </c>
      <c r="GT47" s="238">
        <v>58268806.479999997</v>
      </c>
      <c r="GU47" s="4">
        <v>166871.13999999998</v>
      </c>
      <c r="GV47" s="4">
        <v>324706.37</v>
      </c>
      <c r="GW47" s="4">
        <v>1272.2000000000007</v>
      </c>
      <c r="GX47" s="4">
        <v>18707.740000000002</v>
      </c>
      <c r="GY47" s="4">
        <v>93708.81</v>
      </c>
      <c r="GZ47" s="4">
        <v>193015.85</v>
      </c>
      <c r="HA47" s="4">
        <v>63679.26</v>
      </c>
      <c r="HB47" s="4">
        <v>86068.19</v>
      </c>
      <c r="HC47" s="407">
        <v>3093759.97</v>
      </c>
      <c r="HD47" s="4">
        <v>15044.3</v>
      </c>
      <c r="HE47" s="4">
        <v>53148.590000000004</v>
      </c>
      <c r="HF47" s="4">
        <v>2321.64</v>
      </c>
      <c r="HG47" s="4">
        <v>1427.51</v>
      </c>
      <c r="HH47" s="4">
        <v>3720.15</v>
      </c>
      <c r="HI47" s="4">
        <v>13118.98</v>
      </c>
      <c r="HJ47" s="4">
        <v>324.5</v>
      </c>
      <c r="HK47" s="4">
        <v>4190.88</v>
      </c>
      <c r="HL47" s="4">
        <v>582.79</v>
      </c>
      <c r="HM47" s="58">
        <v>2297786.0500000003</v>
      </c>
      <c r="HN47" s="4">
        <v>16913.3</v>
      </c>
      <c r="HO47" s="238">
        <v>59201249.619999997</v>
      </c>
      <c r="HP47" s="4">
        <v>62448.480000000003</v>
      </c>
      <c r="HQ47" s="4">
        <v>240406.6</v>
      </c>
      <c r="HR47" s="4">
        <v>103165.34</v>
      </c>
      <c r="HS47" s="4">
        <v>244712.31</v>
      </c>
      <c r="HT47" s="4">
        <v>149946.12999999998</v>
      </c>
      <c r="HU47" s="4">
        <v>98947.51</v>
      </c>
      <c r="HV47" s="407">
        <v>3021601.67</v>
      </c>
      <c r="HW47" s="4">
        <v>13319.46</v>
      </c>
      <c r="HX47" s="4">
        <v>50642.93</v>
      </c>
      <c r="HY47" s="4">
        <v>9583.31</v>
      </c>
      <c r="HZ47" s="4">
        <v>2379.2199999999998</v>
      </c>
      <c r="IA47" s="4">
        <v>1813.81</v>
      </c>
      <c r="IB47" s="4">
        <v>10497.85</v>
      </c>
      <c r="IC47" s="4">
        <v>6274.13</v>
      </c>
      <c r="ID47" s="4">
        <v>616.29</v>
      </c>
      <c r="IE47" s="58">
        <v>1675487.79</v>
      </c>
      <c r="IF47" s="4">
        <v>14374.41</v>
      </c>
      <c r="IG47" s="4">
        <v>53784.18</v>
      </c>
      <c r="IH47" s="4">
        <v>3956.23</v>
      </c>
      <c r="II47" s="4">
        <v>9676.15</v>
      </c>
      <c r="IJ47" s="238">
        <v>54918399.969999999</v>
      </c>
      <c r="IK47" s="4">
        <v>144026</v>
      </c>
      <c r="IL47" s="4">
        <v>389020.79</v>
      </c>
      <c r="IM47" s="4">
        <v>82619.240000000005</v>
      </c>
      <c r="IN47" s="58">
        <v>2827892.15</v>
      </c>
      <c r="IO47" s="4">
        <v>63578.39</v>
      </c>
      <c r="IP47" s="4">
        <v>73091.429999999993</v>
      </c>
      <c r="IQ47" s="4">
        <v>47201.47</v>
      </c>
      <c r="IR47" s="4">
        <v>44351.6</v>
      </c>
      <c r="IS47" s="4">
        <v>23422.13</v>
      </c>
      <c r="IT47" s="4"/>
      <c r="IU47" s="4">
        <f>SUM(C47:IT47)</f>
        <v>755118571.93999946</v>
      </c>
    </row>
    <row r="48" spans="1:255" s="57" customFormat="1" ht="14.1" customHeight="1">
      <c r="A48" s="59" t="s">
        <v>43</v>
      </c>
      <c r="B48" s="59"/>
      <c r="C48" s="59">
        <v>13931.94</v>
      </c>
      <c r="D48" s="59">
        <v>12235.65</v>
      </c>
      <c r="E48" s="59">
        <v>5029.57</v>
      </c>
      <c r="F48" s="59">
        <v>34003.760000000002</v>
      </c>
      <c r="G48" s="59">
        <v>9939.09</v>
      </c>
      <c r="H48" s="59">
        <v>20181.04</v>
      </c>
      <c r="I48" s="59">
        <v>17694.02</v>
      </c>
      <c r="J48" s="59">
        <v>12557.65</v>
      </c>
      <c r="K48" s="59">
        <v>8179.22</v>
      </c>
      <c r="L48" s="59">
        <v>4708.18</v>
      </c>
      <c r="M48" s="255">
        <v>8632.2800000000007</v>
      </c>
      <c r="N48" s="59">
        <v>26071.02</v>
      </c>
      <c r="O48" s="59">
        <v>33608.43</v>
      </c>
      <c r="P48" s="59">
        <v>14521.63</v>
      </c>
      <c r="Q48" s="59">
        <v>8005.69</v>
      </c>
      <c r="R48" s="59">
        <v>22041.32</v>
      </c>
      <c r="S48" s="59">
        <v>9891.93</v>
      </c>
      <c r="T48" s="58">
        <v>9642.7900000000009</v>
      </c>
      <c r="U48" s="58">
        <v>4331.8</v>
      </c>
      <c r="V48" s="58">
        <v>10723.87</v>
      </c>
      <c r="W48" s="58">
        <v>29646.13</v>
      </c>
      <c r="X48" s="58">
        <v>23760.05</v>
      </c>
      <c r="Y48" s="58">
        <v>5304.68</v>
      </c>
      <c r="Z48" s="58">
        <v>6002.23</v>
      </c>
      <c r="AA48" s="58">
        <v>12935.52</v>
      </c>
      <c r="AB48" s="58">
        <v>15556.71</v>
      </c>
      <c r="AC48" s="58">
        <v>21381.42</v>
      </c>
      <c r="AD48" s="58">
        <v>10548.05</v>
      </c>
      <c r="AE48" s="58">
        <v>13068.54</v>
      </c>
      <c r="AF48" s="225">
        <v>18509.150000000001</v>
      </c>
      <c r="AG48" s="58">
        <v>83859.75</v>
      </c>
      <c r="AH48" s="58">
        <v>31123.49</v>
      </c>
      <c r="AI48" s="58">
        <v>4282.34</v>
      </c>
      <c r="AJ48" s="58">
        <v>12445.09</v>
      </c>
      <c r="AK48" s="58">
        <v>14142.3</v>
      </c>
      <c r="AL48" s="58">
        <v>3999.65</v>
      </c>
      <c r="AM48" s="58">
        <v>9540.6299999999992</v>
      </c>
      <c r="AN48" s="58">
        <v>3853.24</v>
      </c>
      <c r="AO48" s="58">
        <v>7916.17</v>
      </c>
      <c r="AP48" s="58">
        <v>5381.75</v>
      </c>
      <c r="AQ48" s="58">
        <v>13994.41</v>
      </c>
      <c r="AR48" s="58">
        <v>5200.38</v>
      </c>
      <c r="AS48" s="58">
        <v>10420.09</v>
      </c>
      <c r="AT48" s="58">
        <v>4348.6499999999996</v>
      </c>
      <c r="AU48" s="58">
        <v>8401.7000000000007</v>
      </c>
      <c r="AV48" s="58">
        <v>16219.28</v>
      </c>
      <c r="AW48" s="58">
        <v>16885.099999999999</v>
      </c>
      <c r="AX48" s="58">
        <v>4854.6499999999996</v>
      </c>
      <c r="AY48" s="58">
        <v>10101.89</v>
      </c>
      <c r="AZ48" s="58">
        <v>15563.31</v>
      </c>
      <c r="BA48" s="58">
        <v>40767.919999999998</v>
      </c>
      <c r="BB48" s="58">
        <v>8245.16</v>
      </c>
      <c r="BC48" s="225">
        <v>10442.450000000001</v>
      </c>
      <c r="BD48" s="58">
        <v>38766.92</v>
      </c>
      <c r="BE48" s="58">
        <v>37451.449999999997</v>
      </c>
      <c r="BF48" s="58">
        <v>12229.62</v>
      </c>
      <c r="BG48" s="58">
        <v>40197.49</v>
      </c>
      <c r="BH48" s="58">
        <v>26863.55</v>
      </c>
      <c r="BI48" s="58">
        <v>17139.7</v>
      </c>
      <c r="BJ48" s="58">
        <v>2554.33</v>
      </c>
      <c r="BK48" s="58">
        <v>7628.27</v>
      </c>
      <c r="BL48" s="58">
        <v>1624.4</v>
      </c>
      <c r="BM48" s="58">
        <v>601.4</v>
      </c>
      <c r="BN48" s="58">
        <v>9292.3700000000008</v>
      </c>
      <c r="BO48" s="58">
        <v>15172.21</v>
      </c>
      <c r="BP48" s="58">
        <v>20965.54</v>
      </c>
      <c r="BQ48" s="58">
        <v>12477.33</v>
      </c>
      <c r="BR48" s="58">
        <v>6812.46</v>
      </c>
      <c r="BS48" s="58">
        <v>28750.47</v>
      </c>
      <c r="BT48" s="58">
        <v>43803.61</v>
      </c>
      <c r="BU48" s="58">
        <v>27355.919999999998</v>
      </c>
      <c r="BV48" s="58">
        <v>14483.33</v>
      </c>
      <c r="BW48" s="58">
        <v>4549.4799999999996</v>
      </c>
      <c r="BX48" s="58">
        <v>7072.59</v>
      </c>
      <c r="BY48" s="225">
        <v>2854.49</v>
      </c>
      <c r="BZ48" s="58">
        <v>12561.18</v>
      </c>
      <c r="CA48" s="58">
        <v>32415.439999999999</v>
      </c>
      <c r="CB48" s="58">
        <v>10601.6</v>
      </c>
      <c r="CC48" s="58">
        <v>1283.42</v>
      </c>
      <c r="CD48" s="58">
        <v>1151.5</v>
      </c>
      <c r="CE48" s="58">
        <v>3230.62</v>
      </c>
      <c r="CF48" s="58">
        <v>1336.57</v>
      </c>
      <c r="CG48" s="58">
        <v>526.41999999999996</v>
      </c>
      <c r="CH48" s="58">
        <v>18972.16</v>
      </c>
      <c r="CI48" s="58">
        <v>21478.27</v>
      </c>
      <c r="CJ48" s="58">
        <v>6283.49</v>
      </c>
      <c r="CK48" s="58">
        <v>19297.150000000001</v>
      </c>
      <c r="CL48" s="58">
        <v>8587.6200000000008</v>
      </c>
      <c r="CM48" s="58">
        <v>15488.53</v>
      </c>
      <c r="CN48" s="58">
        <v>23597.7</v>
      </c>
      <c r="CO48" s="58">
        <v>5422.86</v>
      </c>
      <c r="CP48" s="58">
        <v>59438.74</v>
      </c>
      <c r="CQ48" s="58">
        <v>31101.07</v>
      </c>
      <c r="CR48" s="58">
        <v>25943.48</v>
      </c>
      <c r="CS48" s="225">
        <v>40259.089999999997</v>
      </c>
      <c r="CT48" s="58">
        <v>18615.689999999999</v>
      </c>
      <c r="CU48" s="58">
        <v>5184.91</v>
      </c>
      <c r="CV48" s="58">
        <v>49224.12</v>
      </c>
      <c r="CW48" s="58">
        <v>8175.09</v>
      </c>
      <c r="CX48" s="58">
        <v>12084.48</v>
      </c>
      <c r="CY48" s="58">
        <v>6309.76</v>
      </c>
      <c r="CZ48" s="58">
        <v>3899.01</v>
      </c>
      <c r="DA48" s="58">
        <v>8283.16</v>
      </c>
      <c r="DB48" s="58">
        <v>12834.36</v>
      </c>
      <c r="DC48" s="58">
        <v>44318.090000000004</v>
      </c>
      <c r="DD48" s="58">
        <v>17670.84</v>
      </c>
      <c r="DE48" s="58">
        <v>5425.82</v>
      </c>
      <c r="DF48" s="58">
        <v>5988.47</v>
      </c>
      <c r="DG48" s="58">
        <f>10247.63+31156.53</f>
        <v>41404.159999999996</v>
      </c>
      <c r="DH48" s="58">
        <v>15894.2</v>
      </c>
      <c r="DI48" s="58">
        <v>3354.5</v>
      </c>
      <c r="DJ48" s="58">
        <v>2029.95</v>
      </c>
      <c r="DK48" s="58">
        <v>2578.61</v>
      </c>
      <c r="DL48" s="58">
        <v>18565.169999999998</v>
      </c>
      <c r="DM48" s="58">
        <v>34867.49</v>
      </c>
      <c r="DN48" s="225">
        <v>20355.150000000001</v>
      </c>
      <c r="DO48" s="58">
        <v>36386.69</v>
      </c>
      <c r="DP48" s="58">
        <v>17230.419999999998</v>
      </c>
      <c r="DQ48" s="58">
        <v>36507.269999999997</v>
      </c>
      <c r="DR48" s="58">
        <v>21094.75</v>
      </c>
      <c r="DS48" s="58">
        <v>10816.2</v>
      </c>
      <c r="DT48" s="58">
        <v>14651.19</v>
      </c>
      <c r="DU48" s="58">
        <v>24265.15</v>
      </c>
      <c r="DV48" s="58">
        <v>32805.69</v>
      </c>
      <c r="DW48" s="58">
        <v>12417.23</v>
      </c>
      <c r="DX48" s="58">
        <v>9321.9599999999991</v>
      </c>
      <c r="DY48" s="58">
        <v>9261.9699999999993</v>
      </c>
      <c r="DZ48" s="58">
        <v>9393.64</v>
      </c>
      <c r="EA48" s="58">
        <v>17342.37</v>
      </c>
      <c r="EB48" s="58">
        <v>3352.41</v>
      </c>
      <c r="EC48" s="58">
        <v>1605.96</v>
      </c>
      <c r="ED48" s="58">
        <v>10203.81</v>
      </c>
      <c r="EE48" s="58">
        <v>30173.670000000002</v>
      </c>
      <c r="EF48" s="58">
        <v>14297.97</v>
      </c>
      <c r="EG48" s="58">
        <v>10945.1</v>
      </c>
      <c r="EH48" s="58">
        <v>13901.75</v>
      </c>
      <c r="EI48" s="58">
        <v>15679.83</v>
      </c>
      <c r="EJ48" s="225">
        <v>634.74</v>
      </c>
      <c r="EK48" s="352">
        <v>1034.1600000000001</v>
      </c>
      <c r="EL48" s="58">
        <v>14059.01</v>
      </c>
      <c r="EM48" s="58">
        <v>115.28</v>
      </c>
      <c r="EN48" s="58">
        <v>5715.1</v>
      </c>
      <c r="EO48" s="58">
        <v>1840.08</v>
      </c>
      <c r="EP48" s="58">
        <v>5303.09</v>
      </c>
      <c r="EQ48" s="58">
        <v>12502.11</v>
      </c>
      <c r="ER48" s="58">
        <v>9486.49</v>
      </c>
      <c r="ES48" s="58">
        <v>6020.55</v>
      </c>
      <c r="ET48" s="58">
        <v>7410.73</v>
      </c>
      <c r="EU48" s="58">
        <v>45117.23</v>
      </c>
      <c r="EV48" s="58">
        <v>12431.97</v>
      </c>
      <c r="EW48" s="58">
        <v>10851</v>
      </c>
      <c r="EX48" s="58">
        <v>2504.23</v>
      </c>
      <c r="EY48" s="58">
        <v>5508.92</v>
      </c>
      <c r="EZ48" s="58">
        <v>7642.63</v>
      </c>
      <c r="FA48" s="58">
        <v>9430.7099999999991</v>
      </c>
      <c r="FB48" s="58">
        <v>7580.31</v>
      </c>
      <c r="FC48" s="58">
        <v>3680.62</v>
      </c>
      <c r="FD48" s="58">
        <v>14018.38</v>
      </c>
      <c r="FE48" s="225">
        <v>4409.3</v>
      </c>
      <c r="FF48" s="58">
        <v>12852.35</v>
      </c>
      <c r="FG48" s="58">
        <v>530.52</v>
      </c>
      <c r="FH48" s="58">
        <v>13278.63</v>
      </c>
      <c r="FI48" s="58">
        <v>11024.13</v>
      </c>
      <c r="FJ48" s="348">
        <v>11927.15</v>
      </c>
      <c r="FK48" s="58">
        <v>5697.27</v>
      </c>
      <c r="FL48" s="58">
        <v>1204.68</v>
      </c>
      <c r="FM48" s="58">
        <v>17220.240000000002</v>
      </c>
      <c r="FN48" s="58">
        <v>1524.52</v>
      </c>
      <c r="FO48" s="58">
        <v>780.16</v>
      </c>
      <c r="FP48" s="58">
        <v>1010</v>
      </c>
      <c r="FQ48" s="58">
        <v>52427.61</v>
      </c>
      <c r="FR48" s="58">
        <v>47971.39</v>
      </c>
      <c r="FS48" s="58">
        <v>15771.449999999999</v>
      </c>
      <c r="FT48" s="58">
        <v>16433.16</v>
      </c>
      <c r="FU48" s="58">
        <v>1744.74</v>
      </c>
      <c r="FV48" s="58">
        <v>20663.599999999999</v>
      </c>
      <c r="FW48" s="58">
        <v>22862.82</v>
      </c>
      <c r="FX48" s="58">
        <v>12974.14</v>
      </c>
      <c r="FY48" s="58">
        <v>4177.43</v>
      </c>
      <c r="FZ48" s="225">
        <v>1794.75</v>
      </c>
      <c r="GA48" s="58">
        <v>4627.58</v>
      </c>
      <c r="GB48" s="58">
        <v>10574.06</v>
      </c>
      <c r="GC48" s="58">
        <v>16538.97</v>
      </c>
      <c r="GD48" s="58">
        <v>14223.57</v>
      </c>
      <c r="GE48" s="58">
        <v>34332.35</v>
      </c>
      <c r="GF48" s="58">
        <v>8621.06</v>
      </c>
      <c r="GG48" s="58">
        <v>12148.92</v>
      </c>
      <c r="GH48" s="58">
        <v>14068.58</v>
      </c>
      <c r="GI48" s="58">
        <v>7836.79</v>
      </c>
      <c r="GJ48" s="58">
        <v>459.94</v>
      </c>
      <c r="GK48" s="58">
        <v>654.83000000000004</v>
      </c>
      <c r="GL48" s="58">
        <v>32455.200000000001</v>
      </c>
      <c r="GM48" s="58">
        <v>9007.76</v>
      </c>
      <c r="GN48" s="58">
        <v>7415.91</v>
      </c>
      <c r="GO48" s="58">
        <v>19286.46</v>
      </c>
      <c r="GP48" s="58">
        <v>12030.07</v>
      </c>
      <c r="GQ48" s="58">
        <v>24782.959999999999</v>
      </c>
      <c r="GR48" s="58">
        <v>47046.01</v>
      </c>
      <c r="GS48" s="58">
        <v>5046.91</v>
      </c>
      <c r="GT48" s="225">
        <v>19025.52</v>
      </c>
      <c r="GU48" s="58">
        <v>19740.04</v>
      </c>
      <c r="GV48" s="58">
        <v>25082.43</v>
      </c>
      <c r="GW48" s="58">
        <v>4912.63</v>
      </c>
      <c r="GX48" s="58">
        <v>6687.7</v>
      </c>
      <c r="GY48" s="58">
        <v>7040.06</v>
      </c>
      <c r="GZ48" s="58">
        <v>40283.56</v>
      </c>
      <c r="HA48" s="58">
        <v>15464.53</v>
      </c>
      <c r="HB48" s="58">
        <v>16788.63</v>
      </c>
      <c r="HC48" s="58">
        <v>20648.509999999998</v>
      </c>
      <c r="HD48" s="58">
        <v>16656.27</v>
      </c>
      <c r="HE48" s="58">
        <v>13040.53</v>
      </c>
      <c r="HF48" s="58">
        <v>4279.3599999999997</v>
      </c>
      <c r="HG48" s="58">
        <v>10194.450000000001</v>
      </c>
      <c r="HH48" s="58">
        <v>6943.39</v>
      </c>
      <c r="HI48" s="58">
        <v>6475.12</v>
      </c>
      <c r="HJ48" s="58">
        <v>4928.18</v>
      </c>
      <c r="HK48" s="58">
        <v>11285.23</v>
      </c>
      <c r="HL48" s="58">
        <v>14829.82</v>
      </c>
      <c r="HM48" s="58">
        <v>7397.67</v>
      </c>
      <c r="HN48" s="58">
        <v>35292.28</v>
      </c>
      <c r="HO48" s="225">
        <v>24254.04</v>
      </c>
      <c r="HP48" s="58">
        <v>4909.55</v>
      </c>
      <c r="HQ48" s="58">
        <v>13126.06</v>
      </c>
      <c r="HR48" s="58">
        <v>25560.54</v>
      </c>
      <c r="HS48" s="58">
        <v>3575.86</v>
      </c>
      <c r="HT48" s="58">
        <v>773.79</v>
      </c>
      <c r="HU48" s="58">
        <v>3313.47</v>
      </c>
      <c r="HV48" s="58">
        <v>23548.21</v>
      </c>
      <c r="HW48" s="58">
        <v>33006.74</v>
      </c>
      <c r="HX48" s="58">
        <v>22887.75</v>
      </c>
      <c r="HY48" s="58">
        <v>3934.52</v>
      </c>
      <c r="HZ48" s="58">
        <v>5928.58</v>
      </c>
      <c r="IA48" s="58">
        <v>13068.68</v>
      </c>
      <c r="IB48" s="58">
        <v>14535.45</v>
      </c>
      <c r="IC48" s="58">
        <v>10196.89</v>
      </c>
      <c r="ID48" s="58">
        <v>15302.31</v>
      </c>
      <c r="IE48" s="58">
        <v>3546.82</v>
      </c>
      <c r="IF48" s="58">
        <v>8504.92</v>
      </c>
      <c r="IG48" s="58">
        <v>41518.85</v>
      </c>
      <c r="IH48" s="58">
        <v>1168.43</v>
      </c>
      <c r="II48" s="58">
        <v>3385.65</v>
      </c>
      <c r="IJ48" s="225">
        <v>445.56</v>
      </c>
      <c r="IK48" s="58">
        <v>741.34</v>
      </c>
      <c r="IL48" s="58">
        <v>251.37</v>
      </c>
      <c r="IM48" s="58">
        <v>24254.240000000002</v>
      </c>
      <c r="IN48" s="58">
        <v>14522.09</v>
      </c>
      <c r="IO48" s="58">
        <v>41696.74</v>
      </c>
      <c r="IP48" s="58">
        <v>20426.29</v>
      </c>
      <c r="IQ48" s="58">
        <v>10076.549999999999</v>
      </c>
      <c r="IR48" s="58">
        <v>5129.55</v>
      </c>
      <c r="IS48" s="58">
        <v>38945.18</v>
      </c>
      <c r="IT48" s="59"/>
      <c r="IU48" s="58">
        <f>SUM(C48:IT48)</f>
        <v>3672831.9000000018</v>
      </c>
    </row>
    <row r="49" spans="1:255" s="42" customFormat="1" ht="14.1" customHeight="1" thickBot="1">
      <c r="A49" s="44" t="s">
        <v>24</v>
      </c>
      <c r="B49" s="45"/>
      <c r="C49" s="46">
        <f t="shared" ref="C49:BN49" si="14">SUM(C30:C48)</f>
        <v>529707.52000000002</v>
      </c>
      <c r="D49" s="46">
        <f t="shared" si="14"/>
        <v>4289895.9000000013</v>
      </c>
      <c r="E49" s="46">
        <f t="shared" si="14"/>
        <v>1610507.12</v>
      </c>
      <c r="F49" s="46">
        <f t="shared" si="14"/>
        <v>1448644.13</v>
      </c>
      <c r="G49" s="46">
        <f t="shared" si="14"/>
        <v>2221270.2599999998</v>
      </c>
      <c r="H49" s="46">
        <f t="shared" si="14"/>
        <v>17755910.209999997</v>
      </c>
      <c r="I49" s="46">
        <f t="shared" si="14"/>
        <v>151618040.28999999</v>
      </c>
      <c r="J49" s="46">
        <f t="shared" si="14"/>
        <v>1540640.7</v>
      </c>
      <c r="K49" s="46">
        <f t="shared" si="14"/>
        <v>1383876.2799999998</v>
      </c>
      <c r="L49" s="46">
        <f t="shared" si="14"/>
        <v>127507200.16000001</v>
      </c>
      <c r="M49" s="66">
        <f t="shared" si="14"/>
        <v>69435538.13000001</v>
      </c>
      <c r="N49" s="46">
        <f t="shared" si="14"/>
        <v>2592127.35</v>
      </c>
      <c r="O49" s="46">
        <f t="shared" si="14"/>
        <v>633349.93000000005</v>
      </c>
      <c r="P49" s="46">
        <f t="shared" si="14"/>
        <v>758015.51</v>
      </c>
      <c r="Q49" s="46">
        <f t="shared" si="14"/>
        <v>3600154.22</v>
      </c>
      <c r="R49" s="46">
        <f t="shared" si="14"/>
        <v>1396720.12</v>
      </c>
      <c r="S49" s="46">
        <f t="shared" si="14"/>
        <v>3548292.25</v>
      </c>
      <c r="T49" s="46">
        <f t="shared" si="14"/>
        <v>63553656.289999999</v>
      </c>
      <c r="U49" s="46">
        <f t="shared" si="14"/>
        <v>715725.79</v>
      </c>
      <c r="V49" s="46">
        <f t="shared" si="14"/>
        <v>1175912.01</v>
      </c>
      <c r="W49" s="46">
        <f t="shared" si="14"/>
        <v>2832320.47</v>
      </c>
      <c r="X49" s="46">
        <f t="shared" si="14"/>
        <v>2684891.06</v>
      </c>
      <c r="Y49" s="46">
        <f t="shared" si="14"/>
        <v>1683293.7799999998</v>
      </c>
      <c r="Z49" s="46">
        <f t="shared" si="14"/>
        <v>1605720.08</v>
      </c>
      <c r="AA49" s="46">
        <f t="shared" si="14"/>
        <v>18613397.719999999</v>
      </c>
      <c r="AB49" s="46">
        <f t="shared" si="14"/>
        <v>1931689.56</v>
      </c>
      <c r="AC49" s="46">
        <f t="shared" si="14"/>
        <v>1230031.6499999999</v>
      </c>
      <c r="AD49" s="46">
        <f t="shared" si="14"/>
        <v>999642.3</v>
      </c>
      <c r="AE49" s="46">
        <f t="shared" si="14"/>
        <v>341245.20999999996</v>
      </c>
      <c r="AF49" s="66">
        <f t="shared" si="14"/>
        <v>67728898.830000013</v>
      </c>
      <c r="AG49" s="46">
        <f t="shared" si="14"/>
        <v>2023889.13</v>
      </c>
      <c r="AH49" s="46">
        <f t="shared" si="14"/>
        <v>1600646.61</v>
      </c>
      <c r="AI49" s="46">
        <f t="shared" si="14"/>
        <v>636134.31999999995</v>
      </c>
      <c r="AJ49" s="46">
        <f t="shared" si="14"/>
        <v>1248261.5300000003</v>
      </c>
      <c r="AK49" s="46">
        <f t="shared" si="14"/>
        <v>5168462.4099999992</v>
      </c>
      <c r="AL49" s="46">
        <f t="shared" si="14"/>
        <v>3043396.83</v>
      </c>
      <c r="AM49" s="46">
        <f t="shared" si="14"/>
        <v>299611.17</v>
      </c>
      <c r="AN49" s="46">
        <f t="shared" si="14"/>
        <v>3886999.69</v>
      </c>
      <c r="AO49" s="46">
        <f t="shared" si="14"/>
        <v>104846.2</v>
      </c>
      <c r="AP49" s="46">
        <f t="shared" si="14"/>
        <v>291096.13999999996</v>
      </c>
      <c r="AQ49" s="46">
        <f t="shared" si="14"/>
        <v>2984561.8000000003</v>
      </c>
      <c r="AR49" s="46">
        <f t="shared" si="14"/>
        <v>888372.73</v>
      </c>
      <c r="AS49" s="46">
        <f t="shared" si="14"/>
        <v>3782195.63</v>
      </c>
      <c r="AT49" s="46">
        <f t="shared" si="14"/>
        <v>257222.06</v>
      </c>
      <c r="AU49" s="46">
        <f t="shared" si="14"/>
        <v>3010104.89</v>
      </c>
      <c r="AV49" s="46">
        <f t="shared" si="14"/>
        <v>16493989.02</v>
      </c>
      <c r="AW49" s="46">
        <f t="shared" si="14"/>
        <v>1577543.19</v>
      </c>
      <c r="AX49" s="46">
        <f t="shared" si="14"/>
        <v>1424816.42</v>
      </c>
      <c r="AY49" s="46">
        <f t="shared" si="14"/>
        <v>745533.9</v>
      </c>
      <c r="AZ49" s="46">
        <f t="shared" si="14"/>
        <v>718670.90000000014</v>
      </c>
      <c r="BA49" s="46">
        <f t="shared" si="14"/>
        <v>1788418.02</v>
      </c>
      <c r="BB49" s="46">
        <f t="shared" si="14"/>
        <v>5206446.76</v>
      </c>
      <c r="BC49" s="66">
        <f t="shared" si="14"/>
        <v>68696752.049999997</v>
      </c>
      <c r="BD49" s="46">
        <f t="shared" si="14"/>
        <v>887827.4</v>
      </c>
      <c r="BE49" s="46">
        <f t="shared" si="14"/>
        <v>4540502.5200000005</v>
      </c>
      <c r="BF49" s="46">
        <f t="shared" si="14"/>
        <v>5094379.7499999991</v>
      </c>
      <c r="BG49" s="46">
        <f t="shared" si="14"/>
        <v>481360.42</v>
      </c>
      <c r="BH49" s="46">
        <f t="shared" si="14"/>
        <v>3123560.0599999996</v>
      </c>
      <c r="BI49" s="46">
        <f t="shared" si="14"/>
        <v>405267.56</v>
      </c>
      <c r="BJ49" s="46">
        <f t="shared" si="14"/>
        <v>1300189.32</v>
      </c>
      <c r="BK49" s="46">
        <f t="shared" si="14"/>
        <v>3788489.84</v>
      </c>
      <c r="BL49" s="46">
        <f t="shared" si="14"/>
        <v>1099603.2599999998</v>
      </c>
      <c r="BM49" s="46">
        <f t="shared" si="14"/>
        <v>1372815.6199999999</v>
      </c>
      <c r="BN49" s="46">
        <f t="shared" si="14"/>
        <v>3859446.4</v>
      </c>
      <c r="BO49" s="46">
        <f t="shared" ref="BO49:DZ49" si="15">SUM(BO30:BO48)</f>
        <v>4901696.13</v>
      </c>
      <c r="BP49" s="46">
        <f t="shared" si="15"/>
        <v>3414319.07</v>
      </c>
      <c r="BQ49" s="46">
        <f t="shared" si="15"/>
        <v>867081.00999999989</v>
      </c>
      <c r="BR49" s="46">
        <f t="shared" si="15"/>
        <v>15520492.950000003</v>
      </c>
      <c r="BS49" s="46">
        <f t="shared" si="15"/>
        <v>1227738.3699999999</v>
      </c>
      <c r="BT49" s="46">
        <f t="shared" si="15"/>
        <v>1182752.8900000001</v>
      </c>
      <c r="BU49" s="46">
        <f t="shared" si="15"/>
        <v>1571654.57</v>
      </c>
      <c r="BV49" s="46">
        <f t="shared" si="15"/>
        <v>4708286.92</v>
      </c>
      <c r="BW49" s="46">
        <f t="shared" si="15"/>
        <v>1158606.5999999999</v>
      </c>
      <c r="BX49" s="46">
        <f t="shared" si="15"/>
        <v>234765.05</v>
      </c>
      <c r="BY49" s="66">
        <f t="shared" si="15"/>
        <v>71894240.510000005</v>
      </c>
      <c r="BZ49" s="46">
        <f t="shared" si="15"/>
        <v>1819988.3099999998</v>
      </c>
      <c r="CA49" s="46">
        <f t="shared" si="15"/>
        <v>1124725.8</v>
      </c>
      <c r="CB49" s="46">
        <f t="shared" si="15"/>
        <v>9682875.9399999995</v>
      </c>
      <c r="CC49" s="46">
        <f t="shared" si="15"/>
        <v>272449.95</v>
      </c>
      <c r="CD49" s="46">
        <f t="shared" si="15"/>
        <v>532598.21000000008</v>
      </c>
      <c r="CE49" s="46">
        <f t="shared" si="15"/>
        <v>2921947.2800000003</v>
      </c>
      <c r="CF49" s="46">
        <f t="shared" si="15"/>
        <v>1229968.9300000002</v>
      </c>
      <c r="CG49" s="46">
        <f t="shared" si="15"/>
        <v>1749751.89</v>
      </c>
      <c r="CH49" s="46">
        <f t="shared" si="15"/>
        <v>4161195.1300000004</v>
      </c>
      <c r="CI49" s="46">
        <f t="shared" si="15"/>
        <v>3239579.58</v>
      </c>
      <c r="CJ49" s="46">
        <f t="shared" si="15"/>
        <v>1409565.3</v>
      </c>
      <c r="CK49" s="46">
        <f t="shared" si="15"/>
        <v>1357733.77</v>
      </c>
      <c r="CL49" s="46">
        <f t="shared" si="15"/>
        <v>750228.61</v>
      </c>
      <c r="CM49" s="46">
        <f t="shared" si="15"/>
        <v>18452249.390000001</v>
      </c>
      <c r="CN49" s="46">
        <f t="shared" si="15"/>
        <v>1186034.6199999999</v>
      </c>
      <c r="CO49" s="46">
        <f t="shared" si="15"/>
        <v>1381480.5299999998</v>
      </c>
      <c r="CP49" s="46">
        <f t="shared" si="15"/>
        <v>1962318.56</v>
      </c>
      <c r="CQ49" s="46">
        <f t="shared" si="15"/>
        <v>312840.07</v>
      </c>
      <c r="CR49" s="46">
        <f t="shared" si="15"/>
        <v>4711873.3000000007</v>
      </c>
      <c r="CS49" s="66">
        <f t="shared" si="15"/>
        <v>65648387.530000001</v>
      </c>
      <c r="CT49" s="46">
        <f t="shared" si="15"/>
        <v>2435586.2999999998</v>
      </c>
      <c r="CU49" s="46">
        <f t="shared" si="15"/>
        <v>2897180.41</v>
      </c>
      <c r="CV49" s="46">
        <f t="shared" si="15"/>
        <v>1970927.58</v>
      </c>
      <c r="CW49" s="46">
        <f t="shared" si="15"/>
        <v>2087057.1800000002</v>
      </c>
      <c r="CX49" s="46">
        <f t="shared" si="15"/>
        <v>2431921.5499999998</v>
      </c>
      <c r="CY49" s="46">
        <f t="shared" si="15"/>
        <v>1641665.17</v>
      </c>
      <c r="CZ49" s="46">
        <f t="shared" si="15"/>
        <v>1551181.0799999998</v>
      </c>
      <c r="DA49" s="46">
        <f t="shared" si="15"/>
        <v>791467.88000000012</v>
      </c>
      <c r="DB49" s="46">
        <f t="shared" si="15"/>
        <v>7171507.21</v>
      </c>
      <c r="DC49" s="46">
        <f t="shared" si="15"/>
        <v>1290046.6900000002</v>
      </c>
      <c r="DD49" s="46">
        <f t="shared" si="15"/>
        <v>15169257.699999997</v>
      </c>
      <c r="DE49" s="46">
        <f t="shared" si="15"/>
        <v>2255441.63</v>
      </c>
      <c r="DF49" s="46">
        <f t="shared" si="15"/>
        <v>1645872.98</v>
      </c>
      <c r="DG49" s="46">
        <f t="shared" si="15"/>
        <v>1772388.68</v>
      </c>
      <c r="DH49" s="46">
        <f t="shared" si="15"/>
        <v>314100.71000000002</v>
      </c>
      <c r="DI49" s="46">
        <f t="shared" si="15"/>
        <v>823022.05999999994</v>
      </c>
      <c r="DJ49" s="46">
        <f t="shared" si="15"/>
        <v>295959.20999999996</v>
      </c>
      <c r="DK49" s="46">
        <f t="shared" si="15"/>
        <v>2336835.65</v>
      </c>
      <c r="DL49" s="46">
        <f t="shared" si="15"/>
        <v>181694.21999999997</v>
      </c>
      <c r="DM49" s="46">
        <f t="shared" si="15"/>
        <v>127270.34</v>
      </c>
      <c r="DN49" s="66">
        <f t="shared" si="15"/>
        <v>73343176.100000009</v>
      </c>
      <c r="DO49" s="46">
        <f t="shared" si="15"/>
        <v>1028615.73</v>
      </c>
      <c r="DP49" s="46">
        <f t="shared" si="15"/>
        <v>7529626.0800000001</v>
      </c>
      <c r="DQ49" s="46">
        <f t="shared" si="15"/>
        <v>1598869.42</v>
      </c>
      <c r="DR49" s="46">
        <f t="shared" si="15"/>
        <v>2844579.2600000002</v>
      </c>
      <c r="DS49" s="46">
        <f t="shared" si="15"/>
        <v>3010235.85</v>
      </c>
      <c r="DT49" s="46">
        <f t="shared" si="15"/>
        <v>756302.4</v>
      </c>
      <c r="DU49" s="46">
        <f t="shared" si="15"/>
        <v>5228834.5</v>
      </c>
      <c r="DV49" s="46">
        <f t="shared" si="15"/>
        <v>1336223.8400000001</v>
      </c>
      <c r="DW49" s="46">
        <f t="shared" si="15"/>
        <v>699029.70000000007</v>
      </c>
      <c r="DX49" s="46">
        <f t="shared" si="15"/>
        <v>4888440.1899999995</v>
      </c>
      <c r="DY49" s="46">
        <f t="shared" si="15"/>
        <v>606048.1399999999</v>
      </c>
      <c r="DZ49" s="46">
        <f t="shared" si="15"/>
        <v>4311196.66</v>
      </c>
      <c r="EA49" s="46">
        <f t="shared" ref="EA49:GL49" si="16">SUM(EA30:EA48)</f>
        <v>494949.45</v>
      </c>
      <c r="EB49" s="46">
        <f t="shared" si="16"/>
        <v>502596.77</v>
      </c>
      <c r="EC49" s="46">
        <f t="shared" si="16"/>
        <v>3230271.04</v>
      </c>
      <c r="ED49" s="46">
        <f t="shared" si="16"/>
        <v>14134141.98</v>
      </c>
      <c r="EE49" s="46">
        <f t="shared" si="16"/>
        <v>2583951.87</v>
      </c>
      <c r="EF49" s="46">
        <f t="shared" si="16"/>
        <v>352865.13</v>
      </c>
      <c r="EG49" s="46">
        <f t="shared" si="16"/>
        <v>338840.36</v>
      </c>
      <c r="EH49" s="46">
        <f t="shared" si="16"/>
        <v>1821152.39</v>
      </c>
      <c r="EI49" s="46">
        <f t="shared" si="16"/>
        <v>904805.94</v>
      </c>
      <c r="EJ49" s="66">
        <f t="shared" si="16"/>
        <v>65540831.210000001</v>
      </c>
      <c r="EK49" s="339">
        <f t="shared" si="16"/>
        <v>1747890.93</v>
      </c>
      <c r="EL49" s="46">
        <f t="shared" si="16"/>
        <v>3509161.4799999995</v>
      </c>
      <c r="EM49" s="46">
        <f t="shared" si="16"/>
        <v>3464782.13</v>
      </c>
      <c r="EN49" s="46">
        <f t="shared" si="16"/>
        <v>429038.58999999997</v>
      </c>
      <c r="EO49" s="46">
        <f t="shared" si="16"/>
        <v>2195636.23</v>
      </c>
      <c r="EP49" s="46">
        <f t="shared" si="16"/>
        <v>4121278.53</v>
      </c>
      <c r="EQ49" s="46">
        <f t="shared" si="16"/>
        <v>540573.56999999995</v>
      </c>
      <c r="ER49" s="46">
        <f t="shared" si="16"/>
        <v>2818919.7100000004</v>
      </c>
      <c r="ES49" s="46">
        <f t="shared" si="16"/>
        <v>199057.05</v>
      </c>
      <c r="ET49" s="46">
        <f t="shared" si="16"/>
        <v>1260308.7799999998</v>
      </c>
      <c r="EU49" s="46">
        <f t="shared" si="16"/>
        <v>3904351.47</v>
      </c>
      <c r="EV49" s="46">
        <f t="shared" si="16"/>
        <v>3259309.8400000003</v>
      </c>
      <c r="EW49" s="46">
        <f t="shared" si="16"/>
        <v>1071931.08</v>
      </c>
      <c r="EX49" s="46">
        <f t="shared" si="16"/>
        <v>185355.81000000003</v>
      </c>
      <c r="EY49" s="46">
        <f t="shared" si="16"/>
        <v>16277438.65</v>
      </c>
      <c r="EZ49" s="46">
        <f t="shared" si="16"/>
        <v>1687826.9699999997</v>
      </c>
      <c r="FA49" s="46">
        <f t="shared" si="16"/>
        <v>517931.80000000005</v>
      </c>
      <c r="FB49" s="46">
        <f t="shared" si="16"/>
        <v>1684319.63</v>
      </c>
      <c r="FC49" s="46">
        <f t="shared" si="16"/>
        <v>412512.41</v>
      </c>
      <c r="FD49" s="46">
        <f t="shared" si="16"/>
        <v>1592093.01</v>
      </c>
      <c r="FE49" s="66">
        <f t="shared" si="16"/>
        <v>67525076.769999996</v>
      </c>
      <c r="FF49" s="46">
        <f t="shared" si="16"/>
        <v>1366487.83</v>
      </c>
      <c r="FG49" s="46">
        <f t="shared" si="16"/>
        <v>672648.05</v>
      </c>
      <c r="FH49" s="46">
        <f t="shared" si="16"/>
        <v>4343178.1399999997</v>
      </c>
      <c r="FI49" s="46">
        <f t="shared" si="16"/>
        <v>4573819.9000000004</v>
      </c>
      <c r="FJ49" s="349">
        <f t="shared" si="16"/>
        <v>642041.04</v>
      </c>
      <c r="FK49" s="46">
        <f t="shared" si="16"/>
        <v>2374627.9500000002</v>
      </c>
      <c r="FL49" s="46">
        <f t="shared" si="16"/>
        <v>291677.26</v>
      </c>
      <c r="FM49" s="46">
        <f t="shared" si="16"/>
        <v>4777100.29</v>
      </c>
      <c r="FN49" s="46">
        <f t="shared" si="16"/>
        <v>5650048.1200000001</v>
      </c>
      <c r="FO49" s="46">
        <f t="shared" si="16"/>
        <v>36187765.120000005</v>
      </c>
      <c r="FP49" s="46">
        <f t="shared" si="16"/>
        <v>1171582.5999999999</v>
      </c>
      <c r="FQ49" s="46">
        <f t="shared" si="16"/>
        <v>834922.38</v>
      </c>
      <c r="FR49" s="46">
        <f t="shared" si="16"/>
        <v>4243588.78</v>
      </c>
      <c r="FS49" s="46">
        <f t="shared" si="16"/>
        <v>3462573.58</v>
      </c>
      <c r="FT49" s="46">
        <f t="shared" si="16"/>
        <v>19899155.169999998</v>
      </c>
      <c r="FU49" s="46">
        <f t="shared" si="16"/>
        <v>525890.23</v>
      </c>
      <c r="FV49" s="46">
        <f t="shared" si="16"/>
        <v>4730455.8</v>
      </c>
      <c r="FW49" s="46">
        <f t="shared" si="16"/>
        <v>406862.30000000005</v>
      </c>
      <c r="FX49" s="46">
        <f t="shared" si="16"/>
        <v>3677078.5600000005</v>
      </c>
      <c r="FY49" s="46">
        <f t="shared" si="16"/>
        <v>1777368.7100000002</v>
      </c>
      <c r="FZ49" s="66">
        <f t="shared" si="16"/>
        <v>69258224.230000004</v>
      </c>
      <c r="GA49" s="46">
        <f t="shared" si="16"/>
        <v>7698888.709999999</v>
      </c>
      <c r="GB49" s="46">
        <f t="shared" si="16"/>
        <v>2705797.88</v>
      </c>
      <c r="GC49" s="46">
        <f t="shared" si="16"/>
        <v>876966.02</v>
      </c>
      <c r="GD49" s="46">
        <f t="shared" si="16"/>
        <v>1065288.55</v>
      </c>
      <c r="GE49" s="46">
        <f t="shared" si="16"/>
        <v>1914783.5499999998</v>
      </c>
      <c r="GF49" s="46">
        <f t="shared" si="16"/>
        <v>725845.35</v>
      </c>
      <c r="GG49" s="46">
        <f t="shared" si="16"/>
        <v>6781725.8300000001</v>
      </c>
      <c r="GH49" s="46">
        <f t="shared" si="16"/>
        <v>1317387.08</v>
      </c>
      <c r="GI49" s="46">
        <f t="shared" si="16"/>
        <v>12584659.870000001</v>
      </c>
      <c r="GJ49" s="46">
        <f t="shared" si="16"/>
        <v>1545646.3699999999</v>
      </c>
      <c r="GK49" s="46">
        <f t="shared" si="16"/>
        <v>3986480.7699999996</v>
      </c>
      <c r="GL49" s="46">
        <f t="shared" si="16"/>
        <v>2909289.35</v>
      </c>
      <c r="GM49" s="46">
        <f t="shared" ref="GM49:IT49" si="17">SUM(GM30:GM48)</f>
        <v>1182299.3700000001</v>
      </c>
      <c r="GN49" s="46">
        <f t="shared" si="17"/>
        <v>1729792.3599999999</v>
      </c>
      <c r="GO49" s="46">
        <f t="shared" si="17"/>
        <v>2004256.5199999998</v>
      </c>
      <c r="GP49" s="46">
        <f t="shared" si="17"/>
        <v>15906408.600000001</v>
      </c>
      <c r="GQ49" s="46">
        <f t="shared" si="17"/>
        <v>1986118.47</v>
      </c>
      <c r="GR49" s="46">
        <f t="shared" si="17"/>
        <v>1116763.08</v>
      </c>
      <c r="GS49" s="46">
        <f t="shared" si="17"/>
        <v>2095817.28</v>
      </c>
      <c r="GT49" s="66">
        <f t="shared" si="17"/>
        <v>69582846.799999997</v>
      </c>
      <c r="GU49" s="46">
        <f t="shared" si="17"/>
        <v>2687729.73</v>
      </c>
      <c r="GV49" s="46">
        <f t="shared" si="17"/>
        <v>1141983.7699999998</v>
      </c>
      <c r="GW49" s="46">
        <f t="shared" si="17"/>
        <v>3242198.16</v>
      </c>
      <c r="GX49" s="46">
        <f t="shared" si="17"/>
        <v>603385.73</v>
      </c>
      <c r="GY49" s="46">
        <f t="shared" si="17"/>
        <v>590747.98</v>
      </c>
      <c r="GZ49" s="46">
        <f t="shared" si="17"/>
        <v>9375913.3800000008</v>
      </c>
      <c r="HA49" s="46">
        <f t="shared" si="17"/>
        <v>777535.8600000001</v>
      </c>
      <c r="HB49" s="46">
        <f t="shared" si="17"/>
        <v>1861100.8599999999</v>
      </c>
      <c r="HC49" s="46">
        <f t="shared" si="17"/>
        <v>3989537.46</v>
      </c>
      <c r="HD49" s="46">
        <f t="shared" si="17"/>
        <v>1446936.3800000001</v>
      </c>
      <c r="HE49" s="46">
        <f t="shared" si="17"/>
        <v>807640.11</v>
      </c>
      <c r="HF49" s="46">
        <f t="shared" si="17"/>
        <v>1754989.7600000002</v>
      </c>
      <c r="HG49" s="46">
        <f t="shared" si="17"/>
        <v>145522.53000000003</v>
      </c>
      <c r="HH49" s="46">
        <f t="shared" si="17"/>
        <v>15293207.530000001</v>
      </c>
      <c r="HI49" s="46">
        <f t="shared" si="17"/>
        <v>3509198.26</v>
      </c>
      <c r="HJ49" s="46">
        <f t="shared" si="17"/>
        <v>2787172.7</v>
      </c>
      <c r="HK49" s="46">
        <f t="shared" si="17"/>
        <v>2703217.65</v>
      </c>
      <c r="HL49" s="46">
        <f t="shared" si="17"/>
        <v>1181386.4879999999</v>
      </c>
      <c r="HM49" s="46">
        <f t="shared" si="17"/>
        <v>3450225</v>
      </c>
      <c r="HN49" s="46">
        <f t="shared" si="17"/>
        <v>4225386.75</v>
      </c>
      <c r="HO49" s="66">
        <f>SUM(HO30:HO48)</f>
        <v>71639636.350000009</v>
      </c>
      <c r="HP49" s="46">
        <f t="shared" si="17"/>
        <v>1231494.6000000001</v>
      </c>
      <c r="HQ49" s="46">
        <f t="shared" si="17"/>
        <v>856871.89999999991</v>
      </c>
      <c r="HR49" s="46">
        <f t="shared" si="17"/>
        <v>506722.10000000003</v>
      </c>
      <c r="HS49" s="46">
        <f t="shared" si="17"/>
        <v>10580320.699999999</v>
      </c>
      <c r="HT49" s="46">
        <f t="shared" si="17"/>
        <v>635932.44999999995</v>
      </c>
      <c r="HU49" s="46">
        <f t="shared" si="17"/>
        <v>3087171.96</v>
      </c>
      <c r="HV49" s="46">
        <f t="shared" si="17"/>
        <v>3951761.03</v>
      </c>
      <c r="HW49" s="46">
        <f t="shared" si="17"/>
        <v>1890669.84</v>
      </c>
      <c r="HX49" s="46">
        <f t="shared" si="17"/>
        <v>732325.74000000011</v>
      </c>
      <c r="HY49" s="46">
        <f t="shared" si="17"/>
        <v>18530170.379999999</v>
      </c>
      <c r="HZ49" s="46">
        <f t="shared" si="17"/>
        <v>97817.560000000012</v>
      </c>
      <c r="IA49" s="46">
        <f t="shared" si="17"/>
        <v>1387393.5</v>
      </c>
      <c r="IB49" s="46">
        <f t="shared" si="17"/>
        <v>230409.85</v>
      </c>
      <c r="IC49" s="46">
        <f t="shared" si="17"/>
        <v>31136438.369999997</v>
      </c>
      <c r="ID49" s="46">
        <f t="shared" si="17"/>
        <v>454650.81999999995</v>
      </c>
      <c r="IE49" s="46">
        <f t="shared" si="17"/>
        <v>2362145.6</v>
      </c>
      <c r="IF49" s="46">
        <f t="shared" si="17"/>
        <v>2223035.04</v>
      </c>
      <c r="IG49" s="46">
        <f t="shared" si="17"/>
        <v>2307228.3400000003</v>
      </c>
      <c r="IH49" s="46">
        <f t="shared" si="17"/>
        <v>3709097.64</v>
      </c>
      <c r="II49" s="46">
        <f t="shared" si="17"/>
        <v>366430.49000000011</v>
      </c>
      <c r="IJ49" s="66">
        <f t="shared" si="17"/>
        <v>66358156.390000001</v>
      </c>
      <c r="IK49" s="46">
        <f t="shared" si="17"/>
        <v>5921133.7300000004</v>
      </c>
      <c r="IL49" s="46">
        <f t="shared" si="17"/>
        <v>1172835.31</v>
      </c>
      <c r="IM49" s="46">
        <f t="shared" si="17"/>
        <v>91390065.159999996</v>
      </c>
      <c r="IN49" s="46">
        <f t="shared" si="17"/>
        <v>5199273.2799999993</v>
      </c>
      <c r="IO49" s="46">
        <f t="shared" si="17"/>
        <v>3175582.3200000003</v>
      </c>
      <c r="IP49" s="46">
        <f t="shared" si="17"/>
        <v>610391.15</v>
      </c>
      <c r="IQ49" s="46">
        <f t="shared" si="17"/>
        <v>2053504.53</v>
      </c>
      <c r="IR49" s="46">
        <f>SUM(IR30:IR48)</f>
        <v>34592557.060000002</v>
      </c>
      <c r="IS49" s="46">
        <f>SUM(IS30:IS48)</f>
        <v>3332279.41</v>
      </c>
      <c r="IT49" s="46">
        <f t="shared" si="17"/>
        <v>0</v>
      </c>
      <c r="IU49" s="46">
        <f>SUM(IU30:IV48)</f>
        <v>2043989018.0179996</v>
      </c>
    </row>
    <row r="50" spans="1:255" s="161" customFormat="1" ht="14.1" customHeight="1" thickTop="1">
      <c r="A50" s="3" t="s">
        <v>14</v>
      </c>
      <c r="B50" s="3"/>
      <c r="C50" s="159">
        <v>1233652.28</v>
      </c>
      <c r="D50" s="6">
        <v>254563.82</v>
      </c>
      <c r="E50" s="6">
        <v>161536.93</v>
      </c>
      <c r="F50" s="6">
        <v>508752.51</v>
      </c>
      <c r="G50" s="6">
        <v>335095.09000000003</v>
      </c>
      <c r="H50" s="6">
        <v>270561.52</v>
      </c>
      <c r="I50" s="6">
        <v>207725.27</v>
      </c>
      <c r="J50" s="6">
        <v>226722.01</v>
      </c>
      <c r="K50" s="6">
        <v>267688.67</v>
      </c>
      <c r="L50" s="6">
        <v>417552.68</v>
      </c>
      <c r="M50" s="226">
        <v>349872.82</v>
      </c>
      <c r="N50" s="6">
        <v>251846.79</v>
      </c>
      <c r="O50" s="6">
        <v>124655.2</v>
      </c>
      <c r="P50" s="6">
        <v>305341.90999999997</v>
      </c>
      <c r="Q50" s="6">
        <v>297714.58</v>
      </c>
      <c r="R50" s="6">
        <v>220803.64</v>
      </c>
      <c r="S50" s="6">
        <v>3470455.36</v>
      </c>
      <c r="T50" s="6">
        <v>309655.45</v>
      </c>
      <c r="U50" s="6">
        <v>234646.16</v>
      </c>
      <c r="V50" s="6">
        <v>226263.28</v>
      </c>
      <c r="W50" s="6">
        <v>159306.21</v>
      </c>
      <c r="X50" s="6">
        <v>214825.35</v>
      </c>
      <c r="Y50" s="6">
        <v>208405.87</v>
      </c>
      <c r="Z50" s="6">
        <v>255185.91</v>
      </c>
      <c r="AA50" s="6">
        <v>620533.29</v>
      </c>
      <c r="AB50" s="6">
        <v>209870.5</v>
      </c>
      <c r="AC50" s="6">
        <v>179941.78</v>
      </c>
      <c r="AD50" s="6">
        <v>128677.36</v>
      </c>
      <c r="AE50" s="6">
        <v>287754.69</v>
      </c>
      <c r="AF50" s="226">
        <v>278607.53999999998</v>
      </c>
      <c r="AG50" s="6">
        <v>145029.69</v>
      </c>
      <c r="AH50" s="6">
        <v>194959.71</v>
      </c>
      <c r="AI50" s="6">
        <v>125754.15</v>
      </c>
      <c r="AJ50" s="6">
        <v>186339.93</v>
      </c>
      <c r="AK50" s="6">
        <v>221748.44</v>
      </c>
      <c r="AL50" s="6">
        <v>137400.37</v>
      </c>
      <c r="AM50" s="6">
        <v>217990.13</v>
      </c>
      <c r="AN50" s="6">
        <v>719794.52</v>
      </c>
      <c r="AO50" s="6">
        <v>166057.49</v>
      </c>
      <c r="AP50" s="6">
        <v>179199.1</v>
      </c>
      <c r="AQ50" s="6">
        <v>214383.27</v>
      </c>
      <c r="AR50" s="6">
        <v>154678.95000000001</v>
      </c>
      <c r="AS50" s="6">
        <v>205186.08</v>
      </c>
      <c r="AT50" s="6">
        <v>174887.17</v>
      </c>
      <c r="AU50" s="6">
        <v>106241.5</v>
      </c>
      <c r="AV50" s="6">
        <v>167705.57999999999</v>
      </c>
      <c r="AW50" s="6">
        <v>199077.85</v>
      </c>
      <c r="AX50" s="6">
        <v>218351.04</v>
      </c>
      <c r="AY50" s="6">
        <v>717791.87</v>
      </c>
      <c r="AZ50" s="6">
        <v>706137.08</v>
      </c>
      <c r="BA50" s="6">
        <v>224994.08</v>
      </c>
      <c r="BB50" s="6">
        <v>184603.63</v>
      </c>
      <c r="BC50" s="226">
        <v>275003.33</v>
      </c>
      <c r="BD50" s="6">
        <v>243037.23</v>
      </c>
      <c r="BE50" s="6">
        <v>221529.24</v>
      </c>
      <c r="BF50" s="6">
        <v>181652.65</v>
      </c>
      <c r="BG50" s="6">
        <v>146840.60999999999</v>
      </c>
      <c r="BH50" s="6">
        <v>718472.64</v>
      </c>
      <c r="BI50" s="6">
        <v>203755.47</v>
      </c>
      <c r="BJ50" s="6">
        <v>196349.34</v>
      </c>
      <c r="BK50" s="6">
        <v>177124.91</v>
      </c>
      <c r="BL50" s="6">
        <v>160067.69</v>
      </c>
      <c r="BM50" s="6">
        <v>231508.04</v>
      </c>
      <c r="BN50" s="6">
        <v>278922.84000000003</v>
      </c>
      <c r="BO50" s="6">
        <v>212291.65</v>
      </c>
      <c r="BP50" s="6">
        <v>104542.91</v>
      </c>
      <c r="BQ50" s="6">
        <v>170501.33</v>
      </c>
      <c r="BR50" s="6">
        <v>160127.1</v>
      </c>
      <c r="BS50" s="6">
        <v>206449.63</v>
      </c>
      <c r="BT50" s="6">
        <v>134346.60999999999</v>
      </c>
      <c r="BU50" s="6">
        <v>0</v>
      </c>
      <c r="BV50" s="6">
        <v>175894.76</v>
      </c>
      <c r="BW50" s="6">
        <v>235208.12</v>
      </c>
      <c r="BX50" s="6">
        <v>175391.02</v>
      </c>
      <c r="BY50" s="226">
        <v>251460.75</v>
      </c>
      <c r="BZ50" s="6">
        <v>153226.4</v>
      </c>
      <c r="CA50" s="6">
        <v>176753.56</v>
      </c>
      <c r="CB50" s="6">
        <v>206697.95</v>
      </c>
      <c r="CC50" s="6">
        <v>203138.88</v>
      </c>
      <c r="CD50" s="6">
        <v>1074170.21</v>
      </c>
      <c r="CE50" s="367">
        <v>179808.17</v>
      </c>
      <c r="CF50" s="367">
        <v>188966.36</v>
      </c>
      <c r="CG50" s="6">
        <v>176918.66</v>
      </c>
      <c r="CH50" s="6">
        <v>2234920.59</v>
      </c>
      <c r="CI50" s="6">
        <v>178297.34</v>
      </c>
      <c r="CJ50" s="6">
        <v>135637.69</v>
      </c>
      <c r="CK50" s="6">
        <v>168293.81</v>
      </c>
      <c r="CL50" s="6">
        <v>163481.46</v>
      </c>
      <c r="CM50" s="6">
        <v>164327.91</v>
      </c>
      <c r="CN50" s="6">
        <v>376803.37</v>
      </c>
      <c r="CO50" s="6">
        <v>141944.37</v>
      </c>
      <c r="CP50" s="6">
        <v>155053.9</v>
      </c>
      <c r="CQ50" s="6">
        <v>160631.92000000001</v>
      </c>
      <c r="CR50" s="6">
        <v>124178.18</v>
      </c>
      <c r="CS50" s="226">
        <v>117086.23</v>
      </c>
      <c r="CT50" s="6">
        <v>132387.16</v>
      </c>
      <c r="CU50" s="6">
        <v>191184.81</v>
      </c>
      <c r="CV50" s="6">
        <v>96768.98</v>
      </c>
      <c r="CW50" s="6">
        <v>58681.24</v>
      </c>
      <c r="CX50" s="6">
        <v>145672.21</v>
      </c>
      <c r="CY50" s="6">
        <v>160455.13</v>
      </c>
      <c r="CZ50" s="6">
        <v>110029.94</v>
      </c>
      <c r="DA50" s="6">
        <v>131588.57</v>
      </c>
      <c r="DB50" s="6">
        <v>112105.68</v>
      </c>
      <c r="DC50" s="6">
        <v>128421.87</v>
      </c>
      <c r="DD50" s="6">
        <v>190735.6</v>
      </c>
      <c r="DE50" s="6">
        <v>126894.77</v>
      </c>
      <c r="DF50" s="6">
        <v>165595.9</v>
      </c>
      <c r="DG50" s="6">
        <f>70404.41+164409.21</f>
        <v>234813.62</v>
      </c>
      <c r="DH50" s="6">
        <v>149403.35999999999</v>
      </c>
      <c r="DI50" s="6"/>
      <c r="DJ50" s="6">
        <v>289097.43</v>
      </c>
      <c r="DK50" s="6">
        <v>197952.83</v>
      </c>
      <c r="DL50" s="6">
        <v>218925.4</v>
      </c>
      <c r="DM50" s="6">
        <v>200317.34</v>
      </c>
      <c r="DN50" s="226">
        <v>0</v>
      </c>
      <c r="DO50" s="6"/>
      <c r="DP50" s="6">
        <v>105955.14</v>
      </c>
      <c r="DQ50" s="6">
        <v>116751.39</v>
      </c>
      <c r="DR50" s="6">
        <v>1562616.36</v>
      </c>
      <c r="DS50" s="6">
        <v>97669.13</v>
      </c>
      <c r="DT50" s="6">
        <v>2294563.9300000002</v>
      </c>
      <c r="DU50" s="6">
        <v>122009.91</v>
      </c>
      <c r="DV50" s="6">
        <v>142418.81</v>
      </c>
      <c r="DW50" s="6">
        <v>169177.55</v>
      </c>
      <c r="DX50" s="6">
        <v>9703.0400000000009</v>
      </c>
      <c r="DY50" s="6">
        <v>66855.740000000005</v>
      </c>
      <c r="DZ50" s="6">
        <v>130922.01</v>
      </c>
      <c r="EA50" s="6">
        <v>491455.54</v>
      </c>
      <c r="EB50" s="6">
        <v>1563491.66</v>
      </c>
      <c r="EC50" s="6">
        <v>76886.710000000006</v>
      </c>
      <c r="ED50" s="6">
        <v>116304.51</v>
      </c>
      <c r="EE50" s="6">
        <v>95543.82</v>
      </c>
      <c r="EF50" s="6">
        <v>187294.07999999999</v>
      </c>
      <c r="EG50" s="6">
        <v>126815.67999999999</v>
      </c>
      <c r="EH50" s="6">
        <v>120426.16</v>
      </c>
      <c r="EI50" s="6">
        <v>119805.17</v>
      </c>
      <c r="EJ50" s="226">
        <v>93034.42</v>
      </c>
      <c r="EK50" s="14">
        <v>0</v>
      </c>
      <c r="EL50" s="6">
        <v>131724.56</v>
      </c>
      <c r="EM50" s="6">
        <v>140613.93</v>
      </c>
      <c r="EN50" s="6">
        <v>169390.89</v>
      </c>
      <c r="EO50" s="6">
        <v>78184.490000000005</v>
      </c>
      <c r="EP50" s="6">
        <v>117925.23</v>
      </c>
      <c r="EQ50" s="6">
        <v>121260.72</v>
      </c>
      <c r="ER50" s="6">
        <v>118536.89</v>
      </c>
      <c r="ES50" s="6">
        <v>378675.98</v>
      </c>
      <c r="ET50" s="6">
        <v>234983.8</v>
      </c>
      <c r="EU50" s="6">
        <v>181800.16</v>
      </c>
      <c r="EV50" s="6">
        <v>150732.84</v>
      </c>
      <c r="EW50" s="6">
        <v>161257.45000000001</v>
      </c>
      <c r="EX50" s="6">
        <v>156266.54</v>
      </c>
      <c r="EY50" s="6">
        <v>353934.42</v>
      </c>
      <c r="EZ50" s="6">
        <v>63360.160000000003</v>
      </c>
      <c r="FA50" s="6">
        <v>19919.57</v>
      </c>
      <c r="FB50" s="6">
        <v>138528.4</v>
      </c>
      <c r="FC50" s="6">
        <v>99476.53</v>
      </c>
      <c r="FD50" s="6">
        <v>168643.18</v>
      </c>
      <c r="FE50" s="226">
        <v>234489.08</v>
      </c>
      <c r="FF50" s="6">
        <v>151037.93</v>
      </c>
      <c r="FG50" s="6">
        <v>133771.82</v>
      </c>
      <c r="FH50" s="6">
        <v>154373.49</v>
      </c>
      <c r="FI50" s="6">
        <v>221869.31</v>
      </c>
      <c r="FJ50" s="80">
        <v>180009.60000000001</v>
      </c>
      <c r="FK50" s="6">
        <v>149462.26999999999</v>
      </c>
      <c r="FL50" s="6">
        <v>128582.63</v>
      </c>
      <c r="FM50" s="6">
        <v>169601.95</v>
      </c>
      <c r="FN50" s="6">
        <v>308549.11</v>
      </c>
      <c r="FO50" s="6">
        <v>295214.99</v>
      </c>
      <c r="FP50" s="6">
        <v>123699.9</v>
      </c>
      <c r="FQ50" s="6">
        <v>119392.15</v>
      </c>
      <c r="FR50" s="6">
        <v>132551.15</v>
      </c>
      <c r="FS50" s="6">
        <v>121584.6</v>
      </c>
      <c r="FT50" s="6">
        <v>387503.46</v>
      </c>
      <c r="FU50" s="6">
        <v>787709.45</v>
      </c>
      <c r="FV50" s="6">
        <v>230894.29</v>
      </c>
      <c r="FW50" s="6">
        <v>302215.03000000003</v>
      </c>
      <c r="FX50" s="6">
        <v>177883.84</v>
      </c>
      <c r="FY50" s="6">
        <v>199056.25</v>
      </c>
      <c r="FZ50" s="226">
        <v>52273.68</v>
      </c>
      <c r="GA50" s="6">
        <v>422050.75</v>
      </c>
      <c r="GB50" s="6">
        <v>140817.07999999999</v>
      </c>
      <c r="GC50" s="6">
        <v>138781.35999999999</v>
      </c>
      <c r="GD50" s="6">
        <v>1837052.61</v>
      </c>
      <c r="GE50" s="6">
        <v>151871.62</v>
      </c>
      <c r="GF50" s="6">
        <v>139180.60999999999</v>
      </c>
      <c r="GG50" s="6">
        <v>167766.13</v>
      </c>
      <c r="GH50" s="6">
        <v>136083.35999999999</v>
      </c>
      <c r="GI50" s="6">
        <v>354756.73</v>
      </c>
      <c r="GJ50" s="6">
        <v>135449.07999999999</v>
      </c>
      <c r="GK50" s="6">
        <v>26548.37</v>
      </c>
      <c r="GL50" s="6">
        <v>282603.90000000002</v>
      </c>
      <c r="GM50" s="6">
        <v>200987.03</v>
      </c>
      <c r="GN50" s="6">
        <v>127106.85</v>
      </c>
      <c r="GO50" s="6"/>
      <c r="GP50" s="6">
        <v>122931.31</v>
      </c>
      <c r="GQ50" s="6">
        <v>302091.62</v>
      </c>
      <c r="GR50" s="6">
        <v>142485.94</v>
      </c>
      <c r="GS50" s="6">
        <v>167398.10999999999</v>
      </c>
      <c r="GT50" s="226">
        <v>232958.52</v>
      </c>
      <c r="GU50" s="6">
        <v>100046.15</v>
      </c>
      <c r="GV50" s="6">
        <v>56645.89</v>
      </c>
      <c r="GW50" s="6">
        <v>139769.53</v>
      </c>
      <c r="GX50" s="6">
        <v>116691.31</v>
      </c>
      <c r="GY50" s="6">
        <v>134640.74</v>
      </c>
      <c r="GZ50" s="6">
        <v>96227.4</v>
      </c>
      <c r="HA50" s="6">
        <v>301845.01</v>
      </c>
      <c r="HB50" s="6">
        <v>134013.39000000001</v>
      </c>
      <c r="HC50" s="6">
        <v>132446.5</v>
      </c>
      <c r="HD50" s="6">
        <v>90465.52</v>
      </c>
      <c r="HE50" s="6">
        <v>155510.93</v>
      </c>
      <c r="HF50" s="6">
        <v>150040.25</v>
      </c>
      <c r="HG50" s="6">
        <v>110569.27</v>
      </c>
      <c r="HH50" s="6">
        <v>121289.2</v>
      </c>
      <c r="HI50" s="6">
        <v>1336971.6000000001</v>
      </c>
      <c r="HJ50" s="6">
        <v>188368.72</v>
      </c>
      <c r="HK50" s="6">
        <v>197790.77</v>
      </c>
      <c r="HL50" s="6">
        <v>183669.56</v>
      </c>
      <c r="HM50" s="6">
        <v>74304.45</v>
      </c>
      <c r="HN50" s="6">
        <v>176323.9</v>
      </c>
      <c r="HO50" s="226">
        <v>211116.21</v>
      </c>
      <c r="HP50" s="6">
        <v>224921.99</v>
      </c>
      <c r="HQ50" s="6">
        <v>230843.78</v>
      </c>
      <c r="HR50" s="6">
        <v>6544814.9199999999</v>
      </c>
      <c r="HS50" s="6">
        <v>110450.02</v>
      </c>
      <c r="HT50" s="6">
        <v>141888.26999999999</v>
      </c>
      <c r="HU50" s="6">
        <v>105368.16</v>
      </c>
      <c r="HV50" s="6">
        <v>167777.07</v>
      </c>
      <c r="HW50" s="6">
        <v>115426.48</v>
      </c>
      <c r="HX50" s="6">
        <v>162926.96</v>
      </c>
      <c r="HY50" s="6">
        <v>111628.77</v>
      </c>
      <c r="HZ50" s="6">
        <v>128624.14</v>
      </c>
      <c r="IA50" s="6">
        <v>161633</v>
      </c>
      <c r="IB50" s="6">
        <v>124216.94</v>
      </c>
      <c r="IC50" s="6">
        <v>173935</v>
      </c>
      <c r="ID50" s="6">
        <v>63328.5</v>
      </c>
      <c r="IE50" s="6">
        <v>135311.25</v>
      </c>
      <c r="IF50" s="6">
        <v>191074.36</v>
      </c>
      <c r="IG50" s="6">
        <v>177401.68</v>
      </c>
      <c r="IH50" s="6">
        <v>174991.98</v>
      </c>
      <c r="II50" s="6">
        <v>185024.84</v>
      </c>
      <c r="IJ50" s="226">
        <v>109581.95</v>
      </c>
      <c r="IK50" s="6">
        <v>175613.17</v>
      </c>
      <c r="IL50" s="6">
        <v>159559.34</v>
      </c>
      <c r="IM50" s="6">
        <v>482337.56</v>
      </c>
      <c r="IN50" s="6">
        <v>212737.65</v>
      </c>
      <c r="IO50" s="6">
        <v>520106.2</v>
      </c>
      <c r="IP50" s="6">
        <v>451697.44</v>
      </c>
      <c r="IQ50" s="6">
        <v>459989.16</v>
      </c>
      <c r="IR50" s="6">
        <v>325335.06</v>
      </c>
      <c r="IS50" s="6">
        <v>231263.44</v>
      </c>
      <c r="IT50" s="159"/>
      <c r="IU50" s="6"/>
    </row>
    <row r="51" spans="1:255" ht="14.1" customHeight="1">
      <c r="A51" s="4" t="s">
        <v>15</v>
      </c>
      <c r="B51" s="4"/>
      <c r="C51" s="156">
        <v>16800000</v>
      </c>
      <c r="D51" s="1">
        <v>27300000</v>
      </c>
      <c r="E51" s="1">
        <v>37500000</v>
      </c>
      <c r="F51" s="1">
        <v>49100000</v>
      </c>
      <c r="G51" s="1">
        <v>36900000</v>
      </c>
      <c r="H51" s="1"/>
      <c r="I51" s="1"/>
      <c r="J51" s="1"/>
      <c r="K51" s="1">
        <v>42200000</v>
      </c>
      <c r="L51" s="1"/>
      <c r="M51" s="227"/>
      <c r="N51" s="1">
        <v>31800000</v>
      </c>
      <c r="O51" s="1">
        <v>11200000</v>
      </c>
      <c r="P51" s="1">
        <v>28300000</v>
      </c>
      <c r="Q51" s="1">
        <v>9900000</v>
      </c>
      <c r="R51" s="1">
        <v>20300000</v>
      </c>
      <c r="S51" s="1"/>
      <c r="T51" s="1"/>
      <c r="U51" s="1">
        <v>2100000</v>
      </c>
      <c r="V51" s="1"/>
      <c r="W51" s="1"/>
      <c r="X51" s="1"/>
      <c r="Y51" s="1"/>
      <c r="Z51" s="1">
        <v>800000</v>
      </c>
      <c r="AA51" s="1"/>
      <c r="AB51" s="1">
        <v>10000000</v>
      </c>
      <c r="AC51" s="1">
        <v>6000000</v>
      </c>
      <c r="AD51" s="1"/>
      <c r="AE51" s="1">
        <v>350000</v>
      </c>
      <c r="AF51" s="227"/>
      <c r="AG51" s="1">
        <v>3500000</v>
      </c>
      <c r="AH51" s="1"/>
      <c r="AI51" s="1">
        <v>1200000</v>
      </c>
      <c r="AJ51" s="1"/>
      <c r="AK51" s="1">
        <v>2400000</v>
      </c>
      <c r="AL51" s="1"/>
      <c r="AM51" s="1">
        <v>1000000</v>
      </c>
      <c r="AN51" s="1">
        <v>3400000</v>
      </c>
      <c r="AO51" s="1">
        <v>1500000</v>
      </c>
      <c r="AP51" s="1">
        <v>1300000</v>
      </c>
      <c r="AQ51" s="1"/>
      <c r="AR51" s="1">
        <v>400000</v>
      </c>
      <c r="AS51" s="1"/>
      <c r="AT51" s="1">
        <v>1600000</v>
      </c>
      <c r="AU51" s="1"/>
      <c r="AV51" s="1"/>
      <c r="AW51" s="1">
        <v>3000000</v>
      </c>
      <c r="AX51" s="1"/>
      <c r="AY51" s="1"/>
      <c r="AZ51" s="1"/>
      <c r="BA51" s="1">
        <v>3133712.94</v>
      </c>
      <c r="BB51" s="1">
        <v>67100000</v>
      </c>
      <c r="BC51" s="227"/>
      <c r="BD51" s="1"/>
      <c r="BE51" s="1"/>
      <c r="BF51" s="1"/>
      <c r="BG51" s="1"/>
      <c r="BH51" s="1">
        <v>3500000</v>
      </c>
      <c r="BI51" s="1">
        <v>600000</v>
      </c>
      <c r="BJ51" s="1"/>
      <c r="BK51" s="1">
        <v>900000</v>
      </c>
      <c r="BL51" s="1"/>
      <c r="BM51" s="1"/>
      <c r="BN51" s="1"/>
      <c r="BO51" s="1"/>
      <c r="BP51" s="1"/>
      <c r="BQ51" s="1">
        <v>1200000</v>
      </c>
      <c r="BR51" s="1"/>
      <c r="BS51" s="1"/>
      <c r="BT51" s="1"/>
      <c r="BU51" s="1"/>
      <c r="BV51" s="1">
        <v>65300000</v>
      </c>
      <c r="BW51" s="1"/>
      <c r="BX51" s="1">
        <v>1100000</v>
      </c>
      <c r="BY51" s="227"/>
      <c r="BZ51" s="1"/>
      <c r="CA51" s="1"/>
      <c r="CB51" s="1"/>
      <c r="CC51" s="1"/>
      <c r="CD51" s="1">
        <v>7400000</v>
      </c>
      <c r="CE51" s="1">
        <v>36000000</v>
      </c>
      <c r="CF51" s="1">
        <v>2100000</v>
      </c>
      <c r="CG51" s="1"/>
      <c r="CH51" s="1"/>
      <c r="CI51" s="1"/>
      <c r="CJ51" s="1">
        <v>1200000</v>
      </c>
      <c r="CK51" s="1"/>
      <c r="CL51" s="1"/>
      <c r="CM51" s="1"/>
      <c r="CN51" s="1"/>
      <c r="CO51" s="1"/>
      <c r="CP51" s="1"/>
      <c r="CQ51" s="1">
        <f>70500000+900000</f>
        <v>71400000</v>
      </c>
      <c r="CR51" s="1">
        <v>3100000</v>
      </c>
      <c r="CS51" s="227"/>
      <c r="CT51" s="1"/>
      <c r="CU51" s="1"/>
      <c r="CV51" s="1"/>
      <c r="CW51" s="1">
        <v>5400000</v>
      </c>
      <c r="CX51" s="1"/>
      <c r="CY51" s="1"/>
      <c r="CZ51" s="1"/>
      <c r="DA51" s="1">
        <v>6600000</v>
      </c>
      <c r="DB51" s="1"/>
      <c r="DC51" s="1"/>
      <c r="DD51" s="1"/>
      <c r="DE51" s="1"/>
      <c r="DF51" s="1">
        <v>250000</v>
      </c>
      <c r="DG51" s="1">
        <v>9000000</v>
      </c>
      <c r="DH51" s="1">
        <v>1000000</v>
      </c>
      <c r="DI51" s="1"/>
      <c r="DJ51" s="1"/>
      <c r="DK51" s="1"/>
      <c r="DL51" s="1"/>
      <c r="DM51" s="1">
        <v>46500000</v>
      </c>
      <c r="DN51" s="227"/>
      <c r="DO51" s="1"/>
      <c r="DP51" s="1"/>
      <c r="DQ51" s="1"/>
      <c r="DR51" s="1"/>
      <c r="DS51" s="1"/>
      <c r="DT51" s="1"/>
      <c r="DU51" s="1"/>
      <c r="DV51" s="1">
        <v>2450000</v>
      </c>
      <c r="DW51" s="1">
        <v>9750000</v>
      </c>
      <c r="DX51" s="1"/>
      <c r="DY51" s="1"/>
      <c r="DZ51" s="1"/>
      <c r="EA51" s="1"/>
      <c r="EB51" s="1">
        <v>4600000</v>
      </c>
      <c r="EC51" s="1"/>
      <c r="ED51" s="1">
        <v>7650000</v>
      </c>
      <c r="EE51" s="1"/>
      <c r="EF51" s="1">
        <v>49600000</v>
      </c>
      <c r="EG51" s="1"/>
      <c r="EH51" s="1"/>
      <c r="EI51" s="1">
        <v>8650000</v>
      </c>
      <c r="EJ51" s="227"/>
      <c r="EK51" s="340">
        <v>8050000</v>
      </c>
      <c r="EL51" s="1">
        <v>1250000</v>
      </c>
      <c r="EM51" s="1"/>
      <c r="EN51" s="1"/>
      <c r="EO51" s="1"/>
      <c r="EP51" s="1"/>
      <c r="EQ51" s="1">
        <v>13700000</v>
      </c>
      <c r="ER51" s="1"/>
      <c r="ES51" s="1"/>
      <c r="ET51" s="1"/>
      <c r="EU51" s="1"/>
      <c r="EV51" s="1"/>
      <c r="EW51" s="1">
        <v>950000</v>
      </c>
      <c r="EX51" s="1"/>
      <c r="EY51" s="1"/>
      <c r="EZ51" s="1"/>
      <c r="FA51" s="1">
        <v>500000</v>
      </c>
      <c r="FB51" s="1"/>
      <c r="FC51" s="1"/>
      <c r="FD51" s="1"/>
      <c r="FE51" s="227"/>
      <c r="FF51" s="1"/>
      <c r="FG51" s="1"/>
      <c r="FH51" s="1">
        <v>8800000</v>
      </c>
      <c r="FI51" s="1"/>
      <c r="FJ51" s="80"/>
      <c r="FK51" s="1"/>
      <c r="FL51" s="1">
        <v>2550000</v>
      </c>
      <c r="FM51" s="1">
        <v>58700000</v>
      </c>
      <c r="FN51" s="1"/>
      <c r="FO51" s="1"/>
      <c r="FP51" s="1">
        <v>4150000</v>
      </c>
      <c r="FQ51" s="1"/>
      <c r="FR51" s="1"/>
      <c r="FS51" s="1"/>
      <c r="FT51" s="1"/>
      <c r="FU51" s="1"/>
      <c r="FV51" s="1"/>
      <c r="FW51" s="1"/>
      <c r="FX51" s="1"/>
      <c r="FY51" s="1">
        <v>9900000</v>
      </c>
      <c r="FZ51" s="227"/>
      <c r="GA51" s="1"/>
      <c r="GB51" s="1">
        <v>1100000</v>
      </c>
      <c r="GC51" s="1">
        <v>1950000</v>
      </c>
      <c r="GD51" s="1"/>
      <c r="GE51" s="1">
        <v>1150000</v>
      </c>
      <c r="GF51" s="1">
        <v>2050000</v>
      </c>
      <c r="GG51" s="1">
        <v>19250000</v>
      </c>
      <c r="GH51" s="1">
        <v>1900000</v>
      </c>
      <c r="GI51" s="1">
        <v>3700000</v>
      </c>
      <c r="GJ51" s="1">
        <v>20000000</v>
      </c>
      <c r="GK51" s="1"/>
      <c r="GL51" s="1"/>
      <c r="GM51" s="1">
        <v>2750000</v>
      </c>
      <c r="GN51" s="1"/>
      <c r="GO51" s="1">
        <v>3600000</v>
      </c>
      <c r="GP51" s="1"/>
      <c r="GQ51" s="1"/>
      <c r="GR51" s="1">
        <v>800000</v>
      </c>
      <c r="GS51" s="1"/>
      <c r="GT51" s="227"/>
      <c r="GU51" s="1"/>
      <c r="GV51" s="1">
        <v>6350000</v>
      </c>
      <c r="GW51" s="1"/>
      <c r="GX51" s="1">
        <v>1500000</v>
      </c>
      <c r="GY51" s="1">
        <v>600000</v>
      </c>
      <c r="GZ51" s="1"/>
      <c r="HA51" s="1">
        <v>500000</v>
      </c>
      <c r="HB51" s="1"/>
      <c r="HC51" s="1">
        <v>5850000</v>
      </c>
      <c r="HD51" s="1">
        <v>4650000</v>
      </c>
      <c r="HE51" s="1">
        <v>150000</v>
      </c>
      <c r="HF51" s="1">
        <v>2700000</v>
      </c>
      <c r="HG51" s="1"/>
      <c r="HH51" s="1"/>
      <c r="HI51" s="1">
        <v>1000000</v>
      </c>
      <c r="HJ51" s="1">
        <v>750000</v>
      </c>
      <c r="HK51" s="1">
        <v>8900000</v>
      </c>
      <c r="HL51" s="1">
        <v>2100000</v>
      </c>
      <c r="HM51" s="1"/>
      <c r="HN51" s="1"/>
      <c r="HO51" s="227"/>
      <c r="HP51" s="1">
        <v>5550000</v>
      </c>
      <c r="HQ51" s="1"/>
      <c r="HR51" s="1"/>
      <c r="HS51" s="1"/>
      <c r="HT51" s="1"/>
      <c r="HU51" s="1">
        <v>900000</v>
      </c>
      <c r="HV51" s="1"/>
      <c r="HW51" s="1"/>
      <c r="HX51" s="1"/>
      <c r="HY51" s="1"/>
      <c r="HZ51" s="1"/>
      <c r="IA51" s="1">
        <v>3250000</v>
      </c>
      <c r="IB51" s="1">
        <v>4600000</v>
      </c>
      <c r="IC51" s="1"/>
      <c r="ID51" s="1"/>
      <c r="IE51" s="1"/>
      <c r="IF51" s="1">
        <v>6400000</v>
      </c>
      <c r="IG51" s="1"/>
      <c r="IH51" s="1">
        <v>11950000</v>
      </c>
      <c r="II51" s="1">
        <v>11300000</v>
      </c>
      <c r="IJ51" s="227"/>
      <c r="IK51" s="1">
        <v>2150000</v>
      </c>
      <c r="IL51" s="1"/>
      <c r="IM51" s="1"/>
      <c r="IN51" s="1"/>
      <c r="IO51" s="1"/>
      <c r="IP51" s="1"/>
      <c r="IQ51" s="1"/>
      <c r="IR51" s="1"/>
      <c r="IS51" s="1"/>
      <c r="IT51" s="156"/>
      <c r="IU51" s="4"/>
    </row>
    <row r="52" spans="1:255" ht="14.1" customHeight="1">
      <c r="A52" s="4" t="s">
        <v>139</v>
      </c>
      <c r="B52" s="5"/>
      <c r="C52" s="370"/>
      <c r="D52" s="11"/>
      <c r="E52" s="11"/>
      <c r="F52" s="11"/>
      <c r="G52" s="11"/>
      <c r="H52" s="11"/>
      <c r="I52" s="11"/>
      <c r="J52" s="11"/>
      <c r="K52" s="11"/>
      <c r="L52" s="11"/>
      <c r="M52" s="37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37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37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37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373" t="s">
        <v>142</v>
      </c>
      <c r="CP52" s="11">
        <v>0</v>
      </c>
      <c r="CQ52" s="11">
        <v>50000000</v>
      </c>
      <c r="CR52" s="11"/>
      <c r="CS52" s="37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37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371"/>
      <c r="EK52" s="372"/>
      <c r="EL52" s="11">
        <v>10000000</v>
      </c>
      <c r="EM52" s="11"/>
      <c r="EN52" s="11"/>
      <c r="EO52" s="11"/>
      <c r="EP52" s="11"/>
      <c r="EQ52" s="11">
        <v>60000000</v>
      </c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>
        <v>15000000</v>
      </c>
      <c r="FC52" s="11"/>
      <c r="FD52" s="11"/>
      <c r="FE52" s="371"/>
      <c r="FF52" s="11"/>
      <c r="FG52" s="11"/>
      <c r="FH52" s="11"/>
      <c r="FI52" s="11"/>
      <c r="FJ52" s="80"/>
      <c r="FK52" s="11"/>
      <c r="FL52" s="11"/>
      <c r="FM52" s="11">
        <v>60000000</v>
      </c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371"/>
      <c r="GA52" s="11"/>
      <c r="GB52" s="11"/>
      <c r="GC52" s="11"/>
      <c r="GD52" s="11"/>
      <c r="GE52" s="11"/>
      <c r="GF52" s="11"/>
      <c r="GG52" s="11">
        <v>65000000</v>
      </c>
      <c r="GH52" s="11"/>
      <c r="GI52" s="11"/>
      <c r="GJ52" s="11"/>
      <c r="GK52" s="11">
        <v>20000000</v>
      </c>
      <c r="GL52" s="11"/>
      <c r="GM52" s="11"/>
      <c r="GN52" s="11"/>
      <c r="GO52" s="11"/>
      <c r="GP52" s="11"/>
      <c r="GQ52" s="11"/>
      <c r="GR52" s="11"/>
      <c r="GS52" s="11"/>
      <c r="GT52" s="37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>
        <v>2200000</v>
      </c>
      <c r="HH52" s="11"/>
      <c r="HI52" s="11"/>
      <c r="HJ52" s="11"/>
      <c r="HK52" s="11"/>
      <c r="HL52" s="11"/>
      <c r="HM52" s="11"/>
      <c r="HN52" s="11">
        <v>5500000</v>
      </c>
      <c r="HO52" s="371"/>
      <c r="HP52" s="11"/>
      <c r="HQ52" s="11">
        <v>4300000</v>
      </c>
      <c r="HR52" s="11">
        <v>2800000</v>
      </c>
      <c r="HS52" s="11">
        <v>9000000</v>
      </c>
      <c r="HT52" s="11">
        <v>16850000</v>
      </c>
      <c r="HU52" s="11"/>
      <c r="HV52" s="11">
        <v>27750000</v>
      </c>
      <c r="HW52" s="11"/>
      <c r="HX52" s="11">
        <v>5700000</v>
      </c>
      <c r="HY52" s="11"/>
      <c r="HZ52" s="11">
        <v>15100000</v>
      </c>
      <c r="IA52" s="11"/>
      <c r="IB52" s="11">
        <v>35000000</v>
      </c>
      <c r="IC52" s="11"/>
      <c r="ID52" s="11">
        <v>9550000</v>
      </c>
      <c r="IE52" s="11">
        <v>6950000</v>
      </c>
      <c r="IF52" s="11"/>
      <c r="IG52" s="11">
        <v>150000</v>
      </c>
      <c r="IH52" s="11">
        <v>50000000</v>
      </c>
      <c r="II52" s="11"/>
      <c r="IJ52" s="371"/>
      <c r="IK52" s="11"/>
      <c r="IL52" s="11">
        <v>14750000</v>
      </c>
      <c r="IM52" s="11"/>
      <c r="IN52" s="11">
        <v>15550000</v>
      </c>
      <c r="IO52" s="11">
        <v>7000000</v>
      </c>
      <c r="IP52" s="11">
        <v>19400000</v>
      </c>
      <c r="IQ52" s="11">
        <v>15550000</v>
      </c>
      <c r="IR52" s="11"/>
      <c r="IS52" s="11">
        <v>26750000</v>
      </c>
      <c r="IT52" s="370"/>
      <c r="IU52" s="4"/>
    </row>
    <row r="53" spans="1:255" ht="14.1" customHeight="1">
      <c r="A53" s="5" t="s">
        <v>39</v>
      </c>
      <c r="B53" s="13"/>
      <c r="C53" s="157">
        <f t="shared" ref="C53:I53" si="18">SUM(C49:C51)</f>
        <v>18563359.800000001</v>
      </c>
      <c r="D53" s="5">
        <f t="shared" si="18"/>
        <v>31844459.720000003</v>
      </c>
      <c r="E53" s="5">
        <f t="shared" si="18"/>
        <v>39272044.049999997</v>
      </c>
      <c r="F53" s="5">
        <f t="shared" si="18"/>
        <v>51057396.640000001</v>
      </c>
      <c r="G53" s="5">
        <f t="shared" si="18"/>
        <v>39456365.350000001</v>
      </c>
      <c r="H53" s="5">
        <f t="shared" si="18"/>
        <v>18026471.729999997</v>
      </c>
      <c r="I53" s="5">
        <f t="shared" si="18"/>
        <v>151825765.56</v>
      </c>
      <c r="J53" s="5">
        <f>SUM(J49:J51)+0.22</f>
        <v>1767362.93</v>
      </c>
      <c r="K53" s="5">
        <f t="shared" ref="K53:AP53" si="19">SUM(K49:K51)</f>
        <v>43851564.950000003</v>
      </c>
      <c r="L53" s="5">
        <f t="shared" si="19"/>
        <v>127924752.84000002</v>
      </c>
      <c r="M53" s="228">
        <f t="shared" si="19"/>
        <v>69785410.950000003</v>
      </c>
      <c r="N53" s="5">
        <f t="shared" si="19"/>
        <v>34643974.140000001</v>
      </c>
      <c r="O53" s="5">
        <f t="shared" si="19"/>
        <v>11958005.130000001</v>
      </c>
      <c r="P53" s="5">
        <f t="shared" si="19"/>
        <v>29363357.420000002</v>
      </c>
      <c r="Q53" s="5">
        <f t="shared" si="19"/>
        <v>13797868.800000001</v>
      </c>
      <c r="R53" s="5">
        <f t="shared" si="19"/>
        <v>21917523.760000002</v>
      </c>
      <c r="S53" s="5">
        <f t="shared" si="19"/>
        <v>7018747.6099999994</v>
      </c>
      <c r="T53" s="5">
        <f t="shared" si="19"/>
        <v>63863311.740000002</v>
      </c>
      <c r="U53" s="5">
        <f t="shared" si="19"/>
        <v>3050371.95</v>
      </c>
      <c r="V53" s="5">
        <f t="shared" si="19"/>
        <v>1402175.29</v>
      </c>
      <c r="W53" s="5">
        <f t="shared" si="19"/>
        <v>2991626.68</v>
      </c>
      <c r="X53" s="5">
        <f t="shared" si="19"/>
        <v>2899716.41</v>
      </c>
      <c r="Y53" s="5">
        <f t="shared" si="19"/>
        <v>1891699.65</v>
      </c>
      <c r="Z53" s="5">
        <f t="shared" si="19"/>
        <v>2660905.9900000002</v>
      </c>
      <c r="AA53" s="5">
        <f t="shared" si="19"/>
        <v>19233931.009999998</v>
      </c>
      <c r="AB53" s="5">
        <f t="shared" si="19"/>
        <v>12141560.060000001</v>
      </c>
      <c r="AC53" s="5">
        <f t="shared" si="19"/>
        <v>7409973.4299999997</v>
      </c>
      <c r="AD53" s="5">
        <f t="shared" si="19"/>
        <v>1128319.6600000001</v>
      </c>
      <c r="AE53" s="5">
        <f t="shared" si="19"/>
        <v>978999.89999999991</v>
      </c>
      <c r="AF53" s="228">
        <f t="shared" si="19"/>
        <v>68007506.37000002</v>
      </c>
      <c r="AG53" s="5">
        <f t="shared" si="19"/>
        <v>5668918.8200000003</v>
      </c>
      <c r="AH53" s="5">
        <f t="shared" si="19"/>
        <v>1795606.32</v>
      </c>
      <c r="AI53" s="5">
        <f t="shared" si="19"/>
        <v>1961888.47</v>
      </c>
      <c r="AJ53" s="5">
        <f t="shared" si="19"/>
        <v>1434601.4600000002</v>
      </c>
      <c r="AK53" s="5">
        <f t="shared" si="19"/>
        <v>7790210.8499999996</v>
      </c>
      <c r="AL53" s="5">
        <f t="shared" si="19"/>
        <v>3180797.2</v>
      </c>
      <c r="AM53" s="5">
        <f t="shared" si="19"/>
        <v>1517601.3</v>
      </c>
      <c r="AN53" s="5">
        <f t="shared" si="19"/>
        <v>8006794.21</v>
      </c>
      <c r="AO53" s="5">
        <f t="shared" si="19"/>
        <v>1770903.69</v>
      </c>
      <c r="AP53" s="5">
        <f t="shared" si="19"/>
        <v>1770295.24</v>
      </c>
      <c r="AQ53" s="5">
        <f t="shared" ref="AQ53:BV53" si="20">SUM(AQ49:AQ51)</f>
        <v>3198945.0700000003</v>
      </c>
      <c r="AR53" s="5">
        <f t="shared" si="20"/>
        <v>1443051.68</v>
      </c>
      <c r="AS53" s="5">
        <f t="shared" si="20"/>
        <v>3987381.71</v>
      </c>
      <c r="AT53" s="5">
        <f t="shared" si="20"/>
        <v>2032109.23</v>
      </c>
      <c r="AU53" s="5">
        <f t="shared" si="20"/>
        <v>3116346.39</v>
      </c>
      <c r="AV53" s="5">
        <f t="shared" si="20"/>
        <v>16661694.6</v>
      </c>
      <c r="AW53" s="5">
        <f t="shared" si="20"/>
        <v>4776621.04</v>
      </c>
      <c r="AX53" s="5">
        <f t="shared" si="20"/>
        <v>1643167.46</v>
      </c>
      <c r="AY53" s="5">
        <f t="shared" si="20"/>
        <v>1463325.77</v>
      </c>
      <c r="AZ53" s="5">
        <f t="shared" si="20"/>
        <v>1424807.98</v>
      </c>
      <c r="BA53" s="5">
        <f t="shared" si="20"/>
        <v>5147125.04</v>
      </c>
      <c r="BB53" s="5">
        <f t="shared" si="20"/>
        <v>72491050.390000001</v>
      </c>
      <c r="BC53" s="228">
        <f t="shared" si="20"/>
        <v>68971755.379999995</v>
      </c>
      <c r="BD53" s="5">
        <f t="shared" si="20"/>
        <v>1130864.6300000001</v>
      </c>
      <c r="BE53" s="5">
        <f t="shared" si="20"/>
        <v>4762031.7600000007</v>
      </c>
      <c r="BF53" s="5">
        <f t="shared" si="20"/>
        <v>5276032.3999999994</v>
      </c>
      <c r="BG53" s="5">
        <f t="shared" si="20"/>
        <v>628201.03</v>
      </c>
      <c r="BH53" s="5">
        <f t="shared" si="20"/>
        <v>7342032.6999999993</v>
      </c>
      <c r="BI53" s="5">
        <f t="shared" si="20"/>
        <v>1209023.03</v>
      </c>
      <c r="BJ53" s="5">
        <f t="shared" si="20"/>
        <v>1496538.6600000001</v>
      </c>
      <c r="BK53" s="5">
        <f t="shared" si="20"/>
        <v>4865614.75</v>
      </c>
      <c r="BL53" s="5">
        <f t="shared" si="20"/>
        <v>1259670.9499999997</v>
      </c>
      <c r="BM53" s="5">
        <f t="shared" si="20"/>
        <v>1604323.66</v>
      </c>
      <c r="BN53" s="5">
        <f t="shared" si="20"/>
        <v>4138369.2399999998</v>
      </c>
      <c r="BO53" s="5">
        <f t="shared" si="20"/>
        <v>5113987.78</v>
      </c>
      <c r="BP53" s="5">
        <f t="shared" si="20"/>
        <v>3518861.98</v>
      </c>
      <c r="BQ53" s="5">
        <f t="shared" si="20"/>
        <v>2237582.34</v>
      </c>
      <c r="BR53" s="5">
        <f t="shared" si="20"/>
        <v>15680620.050000003</v>
      </c>
      <c r="BS53" s="5">
        <f t="shared" si="20"/>
        <v>1434188</v>
      </c>
      <c r="BT53" s="5">
        <f t="shared" si="20"/>
        <v>1317099.5</v>
      </c>
      <c r="BU53" s="5">
        <f t="shared" si="20"/>
        <v>1571654.57</v>
      </c>
      <c r="BV53" s="5">
        <f t="shared" si="20"/>
        <v>70184181.680000007</v>
      </c>
      <c r="BW53" s="5">
        <f t="shared" ref="BW53:CO53" si="21">SUM(BW49:BW51)</f>
        <v>1393814.7199999997</v>
      </c>
      <c r="BX53" s="5">
        <f t="shared" si="21"/>
        <v>1510156.0699999998</v>
      </c>
      <c r="BY53" s="228">
        <f t="shared" si="21"/>
        <v>72145701.260000005</v>
      </c>
      <c r="BZ53" s="5">
        <f t="shared" si="21"/>
        <v>1973214.7099999997</v>
      </c>
      <c r="CA53" s="5">
        <f t="shared" si="21"/>
        <v>1301479.3600000001</v>
      </c>
      <c r="CB53" s="5">
        <f t="shared" si="21"/>
        <v>9889573.8899999987</v>
      </c>
      <c r="CC53" s="5">
        <f t="shared" si="21"/>
        <v>475588.83</v>
      </c>
      <c r="CD53" s="5">
        <f t="shared" si="21"/>
        <v>9006768.4199999999</v>
      </c>
      <c r="CE53" s="5">
        <f t="shared" si="21"/>
        <v>39101755.450000003</v>
      </c>
      <c r="CF53" s="5">
        <f t="shared" si="21"/>
        <v>3518935.29</v>
      </c>
      <c r="CG53" s="5">
        <f t="shared" si="21"/>
        <v>1926670.5499999998</v>
      </c>
      <c r="CH53" s="5">
        <f t="shared" si="21"/>
        <v>6396115.7200000007</v>
      </c>
      <c r="CI53" s="5">
        <f t="shared" si="21"/>
        <v>3417876.92</v>
      </c>
      <c r="CJ53" s="5">
        <f t="shared" si="21"/>
        <v>2745202.99</v>
      </c>
      <c r="CK53" s="5">
        <f t="shared" si="21"/>
        <v>1526027.58</v>
      </c>
      <c r="CL53" s="5">
        <f t="shared" si="21"/>
        <v>913710.07</v>
      </c>
      <c r="CM53" s="5">
        <f t="shared" si="21"/>
        <v>18616577.300000001</v>
      </c>
      <c r="CN53" s="5">
        <f t="shared" si="21"/>
        <v>1562837.9899999998</v>
      </c>
      <c r="CO53" s="5">
        <f t="shared" si="21"/>
        <v>1523424.9</v>
      </c>
      <c r="CP53" s="5">
        <f t="shared" ref="CP53:DU53" si="22">SUM(CP49:CP52)</f>
        <v>2117372.46</v>
      </c>
      <c r="CQ53" s="5">
        <f t="shared" si="22"/>
        <v>121873471.98999999</v>
      </c>
      <c r="CR53" s="5">
        <f t="shared" si="22"/>
        <v>7936051.4800000004</v>
      </c>
      <c r="CS53" s="374">
        <f t="shared" si="22"/>
        <v>65765473.759999998</v>
      </c>
      <c r="CT53" s="5">
        <f t="shared" si="22"/>
        <v>2567973.46</v>
      </c>
      <c r="CU53" s="5">
        <f t="shared" si="22"/>
        <v>3088365.22</v>
      </c>
      <c r="CV53" s="5">
        <f t="shared" si="22"/>
        <v>2067696.56</v>
      </c>
      <c r="CW53" s="5">
        <f t="shared" si="22"/>
        <v>7545738.4199999999</v>
      </c>
      <c r="CX53" s="5">
        <f t="shared" si="22"/>
        <v>2577593.7599999998</v>
      </c>
      <c r="CY53" s="5">
        <f t="shared" si="22"/>
        <v>1802120.2999999998</v>
      </c>
      <c r="CZ53" s="5">
        <f t="shared" si="22"/>
        <v>1661211.0199999998</v>
      </c>
      <c r="DA53" s="5">
        <f t="shared" si="22"/>
        <v>7523056.4500000002</v>
      </c>
      <c r="DB53" s="5">
        <f t="shared" si="22"/>
        <v>7283612.8899999997</v>
      </c>
      <c r="DC53" s="5">
        <f t="shared" si="22"/>
        <v>1418468.56</v>
      </c>
      <c r="DD53" s="5">
        <f t="shared" si="22"/>
        <v>15359993.299999997</v>
      </c>
      <c r="DE53" s="5">
        <f t="shared" si="22"/>
        <v>2382336.4</v>
      </c>
      <c r="DF53" s="5">
        <f t="shared" si="22"/>
        <v>2061468.88</v>
      </c>
      <c r="DG53" s="5">
        <f t="shared" si="22"/>
        <v>11007202.300000001</v>
      </c>
      <c r="DH53" s="5">
        <f t="shared" si="22"/>
        <v>1463504.07</v>
      </c>
      <c r="DI53" s="5">
        <f t="shared" si="22"/>
        <v>823022.05999999994</v>
      </c>
      <c r="DJ53" s="5">
        <f t="shared" si="22"/>
        <v>585056.6399999999</v>
      </c>
      <c r="DK53" s="5">
        <f t="shared" si="22"/>
        <v>2534788.48</v>
      </c>
      <c r="DL53" s="5">
        <f t="shared" si="22"/>
        <v>400619.62</v>
      </c>
      <c r="DM53" s="5">
        <f t="shared" si="22"/>
        <v>46827587.68</v>
      </c>
      <c r="DN53" s="374">
        <f t="shared" si="22"/>
        <v>73343176.100000009</v>
      </c>
      <c r="DO53" s="5">
        <f t="shared" si="22"/>
        <v>1028615.73</v>
      </c>
      <c r="DP53" s="5">
        <f t="shared" si="22"/>
        <v>7635581.2199999997</v>
      </c>
      <c r="DQ53" s="5">
        <f t="shared" si="22"/>
        <v>1715620.8099999998</v>
      </c>
      <c r="DR53" s="5">
        <f t="shared" si="22"/>
        <v>4407195.62</v>
      </c>
      <c r="DS53" s="5">
        <f t="shared" si="22"/>
        <v>3107904.98</v>
      </c>
      <c r="DT53" s="5">
        <f t="shared" si="22"/>
        <v>3050866.33</v>
      </c>
      <c r="DU53" s="5">
        <f t="shared" si="22"/>
        <v>5350844.41</v>
      </c>
      <c r="DV53" s="5">
        <f t="shared" ref="DV53:FA53" si="23">SUM(DV49:DV52)</f>
        <v>3928642.6500000004</v>
      </c>
      <c r="DW53" s="5">
        <f t="shared" si="23"/>
        <v>10618207.25</v>
      </c>
      <c r="DX53" s="5">
        <f t="shared" si="23"/>
        <v>4898143.2299999995</v>
      </c>
      <c r="DY53" s="5">
        <f t="shared" si="23"/>
        <v>672903.87999999989</v>
      </c>
      <c r="DZ53" s="5">
        <f t="shared" si="23"/>
        <v>4442118.67</v>
      </c>
      <c r="EA53" s="5">
        <f t="shared" si="23"/>
        <v>986404.99</v>
      </c>
      <c r="EB53" s="5">
        <f t="shared" si="23"/>
        <v>6666088.4299999997</v>
      </c>
      <c r="EC53" s="5">
        <f t="shared" si="23"/>
        <v>3307157.75</v>
      </c>
      <c r="ED53" s="5">
        <f t="shared" si="23"/>
        <v>21900446.490000002</v>
      </c>
      <c r="EE53" s="5">
        <f t="shared" si="23"/>
        <v>2679495.69</v>
      </c>
      <c r="EF53" s="5">
        <f t="shared" si="23"/>
        <v>50140159.210000001</v>
      </c>
      <c r="EG53" s="5">
        <f t="shared" si="23"/>
        <v>465656.04</v>
      </c>
      <c r="EH53" s="5">
        <f t="shared" si="23"/>
        <v>1941578.5499999998</v>
      </c>
      <c r="EI53" s="5">
        <f t="shared" si="23"/>
        <v>9674611.1099999994</v>
      </c>
      <c r="EJ53" s="374">
        <f t="shared" si="23"/>
        <v>65633865.630000003</v>
      </c>
      <c r="EK53" s="5">
        <f t="shared" si="23"/>
        <v>9797890.9299999997</v>
      </c>
      <c r="EL53" s="5">
        <f t="shared" si="23"/>
        <v>14890886.039999999</v>
      </c>
      <c r="EM53" s="5">
        <f t="shared" si="23"/>
        <v>3605396.06</v>
      </c>
      <c r="EN53" s="5">
        <f t="shared" si="23"/>
        <v>598429.48</v>
      </c>
      <c r="EO53" s="5">
        <f t="shared" si="23"/>
        <v>2273820.7200000002</v>
      </c>
      <c r="EP53" s="5">
        <f t="shared" si="23"/>
        <v>4239203.76</v>
      </c>
      <c r="EQ53" s="5">
        <f t="shared" si="23"/>
        <v>74361834.289999992</v>
      </c>
      <c r="ER53" s="5">
        <f t="shared" si="23"/>
        <v>2937456.6000000006</v>
      </c>
      <c r="ES53" s="5">
        <f t="shared" si="23"/>
        <v>577733.03</v>
      </c>
      <c r="ET53" s="5">
        <f t="shared" si="23"/>
        <v>1495292.5799999998</v>
      </c>
      <c r="EU53" s="5">
        <f t="shared" si="23"/>
        <v>4086151.6300000004</v>
      </c>
      <c r="EV53" s="5">
        <f t="shared" si="23"/>
        <v>3410042.68</v>
      </c>
      <c r="EW53" s="5">
        <f t="shared" si="23"/>
        <v>2183188.5300000003</v>
      </c>
      <c r="EX53" s="5">
        <f t="shared" si="23"/>
        <v>341622.35000000003</v>
      </c>
      <c r="EY53" s="5">
        <f t="shared" si="23"/>
        <v>16631373.07</v>
      </c>
      <c r="EZ53" s="5">
        <f t="shared" si="23"/>
        <v>1751187.1299999997</v>
      </c>
      <c r="FA53" s="5">
        <f t="shared" si="23"/>
        <v>1037851.37</v>
      </c>
      <c r="FB53" s="5">
        <f t="shared" ref="FB53:GG53" si="24">SUM(FB49:FB52)</f>
        <v>16822848.030000001</v>
      </c>
      <c r="FC53" s="5">
        <f t="shared" si="24"/>
        <v>511988.93999999994</v>
      </c>
      <c r="FD53" s="5">
        <f t="shared" si="24"/>
        <v>1760736.19</v>
      </c>
      <c r="FE53" s="374">
        <f t="shared" si="24"/>
        <v>67759565.849999994</v>
      </c>
      <c r="FF53" s="5">
        <f t="shared" si="24"/>
        <v>1517525.76</v>
      </c>
      <c r="FG53" s="5">
        <f t="shared" si="24"/>
        <v>806419.87000000011</v>
      </c>
      <c r="FH53" s="5">
        <f t="shared" si="24"/>
        <v>13297551.629999999</v>
      </c>
      <c r="FI53" s="5">
        <f t="shared" si="24"/>
        <v>4795689.21</v>
      </c>
      <c r="FJ53" s="374">
        <f t="shared" si="24"/>
        <v>822050.64</v>
      </c>
      <c r="FK53" s="5">
        <f t="shared" si="24"/>
        <v>2524090.2200000002</v>
      </c>
      <c r="FL53" s="5">
        <f t="shared" si="24"/>
        <v>2970259.89</v>
      </c>
      <c r="FM53" s="5">
        <f t="shared" si="24"/>
        <v>123646702.24000001</v>
      </c>
      <c r="FN53" s="5">
        <f t="shared" si="24"/>
        <v>5958597.2300000004</v>
      </c>
      <c r="FO53" s="5">
        <f t="shared" si="24"/>
        <v>36482980.110000007</v>
      </c>
      <c r="FP53" s="5">
        <f t="shared" si="24"/>
        <v>5445282.5</v>
      </c>
      <c r="FQ53" s="5">
        <f t="shared" si="24"/>
        <v>954314.53</v>
      </c>
      <c r="FR53" s="5">
        <f t="shared" si="24"/>
        <v>4376139.9300000006</v>
      </c>
      <c r="FS53" s="5">
        <f t="shared" si="24"/>
        <v>3584158.18</v>
      </c>
      <c r="FT53" s="5">
        <f t="shared" si="24"/>
        <v>20286658.629999999</v>
      </c>
      <c r="FU53" s="5">
        <f t="shared" si="24"/>
        <v>1313599.68</v>
      </c>
      <c r="FV53" s="5">
        <f t="shared" si="24"/>
        <v>4961350.09</v>
      </c>
      <c r="FW53" s="5">
        <f t="shared" si="24"/>
        <v>709077.33000000007</v>
      </c>
      <c r="FX53" s="5">
        <f t="shared" si="24"/>
        <v>3854962.4000000004</v>
      </c>
      <c r="FY53" s="5">
        <f t="shared" si="24"/>
        <v>11876424.960000001</v>
      </c>
      <c r="FZ53" s="374">
        <f t="shared" si="24"/>
        <v>69310497.910000011</v>
      </c>
      <c r="GA53" s="5">
        <f t="shared" si="24"/>
        <v>8120939.459999999</v>
      </c>
      <c r="GB53" s="5">
        <f t="shared" si="24"/>
        <v>3946614.96</v>
      </c>
      <c r="GC53" s="5">
        <f t="shared" si="24"/>
        <v>2965747.38</v>
      </c>
      <c r="GD53" s="5">
        <f t="shared" si="24"/>
        <v>2902341.16</v>
      </c>
      <c r="GE53" s="5">
        <f t="shared" si="24"/>
        <v>3216655.17</v>
      </c>
      <c r="GF53" s="5">
        <f t="shared" si="24"/>
        <v>2915025.96</v>
      </c>
      <c r="GG53" s="5">
        <f t="shared" si="24"/>
        <v>91199491.960000008</v>
      </c>
      <c r="GH53" s="5">
        <f t="shared" ref="GH53:HK53" si="25">SUM(GH49:GH52)</f>
        <v>3353470.44</v>
      </c>
      <c r="GI53" s="5">
        <f t="shared" si="25"/>
        <v>16639416.600000001</v>
      </c>
      <c r="GJ53" s="5">
        <f t="shared" si="25"/>
        <v>21681095.449999999</v>
      </c>
      <c r="GK53" s="5">
        <f t="shared" si="25"/>
        <v>24013029.140000001</v>
      </c>
      <c r="GL53" s="5">
        <f t="shared" si="25"/>
        <v>3191893.25</v>
      </c>
      <c r="GM53" s="5">
        <f t="shared" si="25"/>
        <v>4133286.4000000004</v>
      </c>
      <c r="GN53" s="5">
        <f t="shared" si="25"/>
        <v>1856899.21</v>
      </c>
      <c r="GO53" s="5">
        <f t="shared" si="25"/>
        <v>5604256.5199999996</v>
      </c>
      <c r="GP53" s="5">
        <f t="shared" si="25"/>
        <v>16029339.910000002</v>
      </c>
      <c r="GQ53" s="5">
        <f t="shared" si="25"/>
        <v>2288210.09</v>
      </c>
      <c r="GR53" s="5">
        <f t="shared" si="25"/>
        <v>2059249.02</v>
      </c>
      <c r="GS53" s="5">
        <f t="shared" si="25"/>
        <v>2263215.39</v>
      </c>
      <c r="GT53" s="374">
        <f t="shared" si="25"/>
        <v>69815805.319999993</v>
      </c>
      <c r="GU53" s="5">
        <f t="shared" si="25"/>
        <v>2787775.88</v>
      </c>
      <c r="GV53" s="5">
        <f t="shared" si="25"/>
        <v>7548629.6600000001</v>
      </c>
      <c r="GW53" s="5">
        <f t="shared" si="25"/>
        <v>3381967.69</v>
      </c>
      <c r="GX53" s="5">
        <f t="shared" si="25"/>
        <v>2220077.04</v>
      </c>
      <c r="GY53" s="5">
        <f t="shared" si="25"/>
        <v>1325388.72</v>
      </c>
      <c r="GZ53" s="5">
        <f t="shared" si="25"/>
        <v>9472140.7800000012</v>
      </c>
      <c r="HA53" s="5">
        <f t="shared" si="25"/>
        <v>1579380.87</v>
      </c>
      <c r="HB53" s="5">
        <f t="shared" si="25"/>
        <v>1995114.25</v>
      </c>
      <c r="HC53" s="5">
        <f t="shared" si="25"/>
        <v>9971983.9600000009</v>
      </c>
      <c r="HD53" s="5">
        <f t="shared" si="25"/>
        <v>6187401.9000000004</v>
      </c>
      <c r="HE53" s="5">
        <f t="shared" si="25"/>
        <v>1113151.04</v>
      </c>
      <c r="HF53" s="5">
        <f t="shared" si="25"/>
        <v>4605030.01</v>
      </c>
      <c r="HG53" s="5">
        <f t="shared" si="25"/>
        <v>2456091.7999999998</v>
      </c>
      <c r="HH53" s="5">
        <f t="shared" si="25"/>
        <v>15414496.73</v>
      </c>
      <c r="HI53" s="5">
        <f t="shared" si="25"/>
        <v>5846169.8599999994</v>
      </c>
      <c r="HJ53" s="5">
        <f t="shared" si="25"/>
        <v>3725541.4200000004</v>
      </c>
      <c r="HK53" s="5">
        <f t="shared" si="25"/>
        <v>11801008.42</v>
      </c>
      <c r="HL53" s="5">
        <f t="shared" ref="HL53:IQ53" si="26">SUM(HL49:HL52)</f>
        <v>3465056.048</v>
      </c>
      <c r="HM53" s="5">
        <f t="shared" si="26"/>
        <v>3524529.45</v>
      </c>
      <c r="HN53" s="5">
        <f t="shared" si="26"/>
        <v>9901710.6500000004</v>
      </c>
      <c r="HO53" s="374">
        <f t="shared" si="26"/>
        <v>71850752.560000002</v>
      </c>
      <c r="HP53" s="5">
        <f t="shared" si="26"/>
        <v>7006416.5899999999</v>
      </c>
      <c r="HQ53" s="5">
        <f t="shared" si="26"/>
        <v>5387715.6799999997</v>
      </c>
      <c r="HR53" s="5">
        <f t="shared" si="26"/>
        <v>9851537.0199999996</v>
      </c>
      <c r="HS53" s="5">
        <f t="shared" si="26"/>
        <v>19690770.719999999</v>
      </c>
      <c r="HT53" s="5">
        <f t="shared" si="26"/>
        <v>17627820.719999999</v>
      </c>
      <c r="HU53" s="5">
        <f t="shared" si="26"/>
        <v>4092540.12</v>
      </c>
      <c r="HV53" s="5">
        <f t="shared" si="26"/>
        <v>31869538.100000001</v>
      </c>
      <c r="HW53" s="5">
        <f t="shared" si="26"/>
        <v>2006096.32</v>
      </c>
      <c r="HX53" s="5">
        <f t="shared" si="26"/>
        <v>6595252.7000000002</v>
      </c>
      <c r="HY53" s="5">
        <f t="shared" si="26"/>
        <v>18641799.149999999</v>
      </c>
      <c r="HZ53" s="5">
        <f t="shared" si="26"/>
        <v>15326441.699999999</v>
      </c>
      <c r="IA53" s="5">
        <f t="shared" si="26"/>
        <v>4799026.5</v>
      </c>
      <c r="IB53" s="5">
        <f t="shared" si="26"/>
        <v>39954626.789999999</v>
      </c>
      <c r="IC53" s="5">
        <f t="shared" si="26"/>
        <v>31310373.369999997</v>
      </c>
      <c r="ID53" s="5">
        <f t="shared" si="26"/>
        <v>10067979.32</v>
      </c>
      <c r="IE53" s="5">
        <f t="shared" si="26"/>
        <v>9447456.8499999996</v>
      </c>
      <c r="IF53" s="5">
        <f t="shared" si="26"/>
        <v>8814109.4000000004</v>
      </c>
      <c r="IG53" s="5">
        <f t="shared" si="26"/>
        <v>2634630.0200000005</v>
      </c>
      <c r="IH53" s="5">
        <f t="shared" si="26"/>
        <v>65834089.620000005</v>
      </c>
      <c r="II53" s="5">
        <f t="shared" si="26"/>
        <v>11851455.33</v>
      </c>
      <c r="IJ53" s="374">
        <f t="shared" si="26"/>
        <v>66467738.340000004</v>
      </c>
      <c r="IK53" s="5">
        <f t="shared" si="26"/>
        <v>8246746.9000000004</v>
      </c>
      <c r="IL53" s="5">
        <f t="shared" si="26"/>
        <v>16082394.65</v>
      </c>
      <c r="IM53" s="5">
        <f t="shared" si="26"/>
        <v>91872402.719999999</v>
      </c>
      <c r="IN53" s="5">
        <f t="shared" si="26"/>
        <v>20962010.93</v>
      </c>
      <c r="IO53" s="5">
        <f t="shared" si="26"/>
        <v>10695688.52</v>
      </c>
      <c r="IP53" s="5">
        <f t="shared" si="26"/>
        <v>20462088.59</v>
      </c>
      <c r="IQ53" s="5">
        <f t="shared" si="26"/>
        <v>18063493.690000001</v>
      </c>
      <c r="IR53" s="5">
        <f>SUM(IR49:IR52)</f>
        <v>34917892.120000005</v>
      </c>
      <c r="IS53" s="5">
        <f>SUM(IS49:IS52)</f>
        <v>30313542.850000001</v>
      </c>
      <c r="IT53" s="5">
        <f>SUM(IT49:IT52)</f>
        <v>0</v>
      </c>
      <c r="IU53" s="5">
        <f>SUM(IU49:IV52)</f>
        <v>2043989018.0179996</v>
      </c>
    </row>
    <row r="54" spans="1:255" s="42" customFormat="1" ht="14.1" customHeight="1" thickBot="1">
      <c r="A54" s="64" t="s">
        <v>40</v>
      </c>
      <c r="B54" s="60"/>
      <c r="C54" s="60">
        <f t="shared" ref="C54:BN54" si="27">+C6+C27-C53</f>
        <v>113098.01999999955</v>
      </c>
      <c r="D54" s="60">
        <f t="shared" si="27"/>
        <v>130273.01999999583</v>
      </c>
      <c r="E54" s="60">
        <f t="shared" si="27"/>
        <v>111667.01999999583</v>
      </c>
      <c r="F54" s="60">
        <f t="shared" si="27"/>
        <v>131863.02000000328</v>
      </c>
      <c r="G54" s="60">
        <f t="shared" si="27"/>
        <v>120762.01999999583</v>
      </c>
      <c r="H54" s="60">
        <f t="shared" si="27"/>
        <v>128182.01999999583</v>
      </c>
      <c r="I54" s="60">
        <f t="shared" si="27"/>
        <v>233490.01999998093</v>
      </c>
      <c r="J54" s="60">
        <f t="shared" si="27"/>
        <v>114201.79999998095</v>
      </c>
      <c r="K54" s="60">
        <f t="shared" si="27"/>
        <v>120344.79999998212</v>
      </c>
      <c r="L54" s="60">
        <f t="shared" si="27"/>
        <v>120851.79999996722</v>
      </c>
      <c r="M54" s="67">
        <f t="shared" si="27"/>
        <v>154096.69999995828</v>
      </c>
      <c r="N54" s="60">
        <f t="shared" si="27"/>
        <v>149491.89999995381</v>
      </c>
      <c r="O54" s="60">
        <f t="shared" si="27"/>
        <v>177303.89999995381</v>
      </c>
      <c r="P54" s="60">
        <f t="shared" si="27"/>
        <v>114214.89999995008</v>
      </c>
      <c r="Q54" s="60">
        <f t="shared" si="27"/>
        <v>108437.89999995008</v>
      </c>
      <c r="R54" s="60">
        <f t="shared" si="27"/>
        <v>111160.89999994636</v>
      </c>
      <c r="S54" s="60">
        <f t="shared" si="27"/>
        <v>119050.89999994636</v>
      </c>
      <c r="T54" s="60">
        <f t="shared" si="27"/>
        <v>114770.89999994636</v>
      </c>
      <c r="U54" s="60">
        <f t="shared" si="27"/>
        <v>104932.89999994636</v>
      </c>
      <c r="V54" s="60">
        <f t="shared" si="27"/>
        <v>121574.89999994636</v>
      </c>
      <c r="W54" s="60">
        <f t="shared" si="27"/>
        <v>166787.89999994636</v>
      </c>
      <c r="X54" s="60">
        <f t="shared" si="27"/>
        <v>130803.89999994589</v>
      </c>
      <c r="Y54" s="60">
        <f t="shared" si="27"/>
        <v>114318.89999994612</v>
      </c>
      <c r="Z54" s="60">
        <f t="shared" si="27"/>
        <v>130181.89999994542</v>
      </c>
      <c r="AA54" s="60">
        <f t="shared" si="27"/>
        <v>183670.89999995008</v>
      </c>
      <c r="AB54" s="60">
        <f t="shared" si="27"/>
        <v>175295.89999995008</v>
      </c>
      <c r="AC54" s="60">
        <f t="shared" si="27"/>
        <v>186348.89999995008</v>
      </c>
      <c r="AD54" s="60">
        <f t="shared" si="27"/>
        <v>177991.89999994985</v>
      </c>
      <c r="AE54" s="60">
        <f t="shared" si="27"/>
        <v>119531.89999995008</v>
      </c>
      <c r="AF54" s="67">
        <f t="shared" si="27"/>
        <v>194826.89999993145</v>
      </c>
      <c r="AG54" s="60">
        <f t="shared" si="27"/>
        <v>146073.89999993145</v>
      </c>
      <c r="AH54" s="60">
        <f t="shared" si="27"/>
        <v>985857.89999993122</v>
      </c>
      <c r="AI54" s="60">
        <f t="shared" si="27"/>
        <v>154948.89999993122</v>
      </c>
      <c r="AJ54" s="60">
        <f t="shared" si="27"/>
        <v>100131.89999993099</v>
      </c>
      <c r="AK54" s="60">
        <f t="shared" si="27"/>
        <v>99999.899999931455</v>
      </c>
      <c r="AL54" s="60">
        <f t="shared" si="27"/>
        <v>99999.899999931455</v>
      </c>
      <c r="AM54" s="60">
        <f t="shared" si="27"/>
        <v>108143.89999993122</v>
      </c>
      <c r="AN54" s="60">
        <f t="shared" si="27"/>
        <v>116172.89999993239</v>
      </c>
      <c r="AO54" s="60">
        <f t="shared" si="27"/>
        <v>111172.89999993262</v>
      </c>
      <c r="AP54" s="60">
        <f t="shared" si="27"/>
        <v>115273.89999993285</v>
      </c>
      <c r="AQ54" s="60">
        <f t="shared" si="27"/>
        <v>122411.89999993239</v>
      </c>
      <c r="AR54" s="60">
        <f t="shared" si="27"/>
        <v>366036.89999993239</v>
      </c>
      <c r="AS54" s="60">
        <f t="shared" si="27"/>
        <v>165251.89999993239</v>
      </c>
      <c r="AT54" s="60">
        <f t="shared" si="27"/>
        <v>208744.89999993285</v>
      </c>
      <c r="AU54" s="60">
        <f t="shared" si="27"/>
        <v>183688.89999993285</v>
      </c>
      <c r="AV54" s="60">
        <f t="shared" si="27"/>
        <v>142160.89999993332</v>
      </c>
      <c r="AW54" s="60">
        <f t="shared" si="27"/>
        <v>110778.89999993332</v>
      </c>
      <c r="AX54" s="60">
        <f t="shared" si="27"/>
        <v>211555.89999993332</v>
      </c>
      <c r="AY54" s="60">
        <f t="shared" si="27"/>
        <v>130434.89999993332</v>
      </c>
      <c r="AZ54" s="60">
        <f t="shared" si="27"/>
        <v>162981.89999993355</v>
      </c>
      <c r="BA54" s="60">
        <f t="shared" si="27"/>
        <v>119257.89999993239</v>
      </c>
      <c r="BB54" s="60">
        <f t="shared" si="27"/>
        <v>124282.89999993145</v>
      </c>
      <c r="BC54" s="67">
        <f t="shared" si="27"/>
        <v>128894.89999993145</v>
      </c>
      <c r="BD54" s="60">
        <f t="shared" si="27"/>
        <v>111196.89999993122</v>
      </c>
      <c r="BE54" s="60">
        <f t="shared" si="27"/>
        <v>117759.89999993052</v>
      </c>
      <c r="BF54" s="60">
        <f t="shared" si="27"/>
        <v>162326.89999993145</v>
      </c>
      <c r="BG54" s="60">
        <f t="shared" si="27"/>
        <v>145999.89999993145</v>
      </c>
      <c r="BH54" s="60">
        <f t="shared" si="27"/>
        <v>114939.89999993145</v>
      </c>
      <c r="BI54" s="60">
        <f t="shared" si="27"/>
        <v>108179.89999993145</v>
      </c>
      <c r="BJ54" s="60">
        <f t="shared" si="27"/>
        <v>130926.89999993145</v>
      </c>
      <c r="BK54" s="60">
        <f t="shared" si="27"/>
        <v>132177.89999993145</v>
      </c>
      <c r="BL54" s="60">
        <f t="shared" si="27"/>
        <v>110908.89999993169</v>
      </c>
      <c r="BM54" s="60">
        <f t="shared" si="27"/>
        <v>106568.89999993169</v>
      </c>
      <c r="BN54" s="60">
        <f t="shared" si="27"/>
        <v>138481.89999993192</v>
      </c>
      <c r="BO54" s="60">
        <f t="shared" ref="BO54:DZ54" si="28">+BO6+BO27-BO53</f>
        <v>187327.89999993239</v>
      </c>
      <c r="BP54" s="60">
        <f t="shared" si="28"/>
        <v>175938.89999993239</v>
      </c>
      <c r="BQ54" s="60">
        <f t="shared" si="28"/>
        <v>146548.89999993239</v>
      </c>
      <c r="BR54" s="60">
        <f t="shared" si="28"/>
        <v>140876.89999992959</v>
      </c>
      <c r="BS54" s="60">
        <f t="shared" si="28"/>
        <v>246929.89999992959</v>
      </c>
      <c r="BT54" s="60">
        <f t="shared" si="28"/>
        <v>124919.89999992959</v>
      </c>
      <c r="BU54" s="60">
        <f t="shared" si="28"/>
        <v>-251313.10000007087</v>
      </c>
      <c r="BV54" s="60">
        <f t="shared" si="28"/>
        <v>126514.89999993145</v>
      </c>
      <c r="BW54" s="60">
        <f t="shared" si="28"/>
        <v>117316.89999993169</v>
      </c>
      <c r="BX54" s="60">
        <f t="shared" si="28"/>
        <v>102585.89999993192</v>
      </c>
      <c r="BY54" s="67">
        <f t="shared" si="28"/>
        <v>104120.89999993145</v>
      </c>
      <c r="BZ54" s="60">
        <f t="shared" si="28"/>
        <v>153742.89999993169</v>
      </c>
      <c r="CA54" s="60">
        <f t="shared" si="28"/>
        <v>172902.89999993145</v>
      </c>
      <c r="CB54" s="60">
        <f t="shared" si="28"/>
        <v>117529.89999993332</v>
      </c>
      <c r="CC54" s="60">
        <f t="shared" si="28"/>
        <v>107577.89999993326</v>
      </c>
      <c r="CD54" s="60">
        <f t="shared" si="28"/>
        <v>104127.89999993332</v>
      </c>
      <c r="CE54" s="60">
        <f t="shared" si="28"/>
        <v>112196.89999993145</v>
      </c>
      <c r="CF54" s="60">
        <f t="shared" si="28"/>
        <v>108129.89999993145</v>
      </c>
      <c r="CG54" s="60">
        <f t="shared" si="28"/>
        <v>142155.89999993145</v>
      </c>
      <c r="CH54" s="60">
        <f t="shared" si="28"/>
        <v>147153.89999993145</v>
      </c>
      <c r="CI54" s="60">
        <f t="shared" si="28"/>
        <v>137383.89999993145</v>
      </c>
      <c r="CJ54" s="60">
        <f t="shared" si="28"/>
        <v>141262.89999993145</v>
      </c>
      <c r="CK54" s="60">
        <f t="shared" si="28"/>
        <v>132836.89999993145</v>
      </c>
      <c r="CL54" s="60">
        <f t="shared" si="28"/>
        <v>113878.89999993157</v>
      </c>
      <c r="CM54" s="60">
        <f t="shared" si="28"/>
        <v>117025.89999993145</v>
      </c>
      <c r="CN54" s="60">
        <f t="shared" si="28"/>
        <v>103425.89999993169</v>
      </c>
      <c r="CO54" s="60">
        <f t="shared" si="28"/>
        <v>120153.89999993169</v>
      </c>
      <c r="CP54" s="60">
        <f t="shared" si="28"/>
        <v>192524.89999993145</v>
      </c>
      <c r="CQ54" s="60">
        <f t="shared" si="28"/>
        <v>137248.89999993145</v>
      </c>
      <c r="CR54" s="60">
        <f t="shared" si="28"/>
        <v>141449.89999993145</v>
      </c>
      <c r="CS54" s="67">
        <f t="shared" si="28"/>
        <v>114700.89999993145</v>
      </c>
      <c r="CT54" s="60">
        <f t="shared" si="28"/>
        <v>207345.89999993145</v>
      </c>
      <c r="CU54" s="60">
        <f t="shared" si="28"/>
        <v>248175.89999993099</v>
      </c>
      <c r="CV54" s="60">
        <f t="shared" si="28"/>
        <v>307676.89999993099</v>
      </c>
      <c r="CW54" s="60">
        <f t="shared" si="28"/>
        <v>223474.89999993145</v>
      </c>
      <c r="CX54" s="60">
        <f t="shared" si="28"/>
        <v>110803.89999993145</v>
      </c>
      <c r="CY54" s="60">
        <f t="shared" si="28"/>
        <v>460358.89999993145</v>
      </c>
      <c r="CZ54" s="60">
        <f t="shared" si="28"/>
        <v>209310.89999993169</v>
      </c>
      <c r="DA54" s="60">
        <f t="shared" si="28"/>
        <v>215062.89999993145</v>
      </c>
      <c r="DB54" s="60">
        <f t="shared" si="28"/>
        <v>190867.89999993145</v>
      </c>
      <c r="DC54" s="60">
        <f t="shared" si="28"/>
        <v>102203.89999993145</v>
      </c>
      <c r="DD54" s="60">
        <f t="shared" si="28"/>
        <v>121735.89999993518</v>
      </c>
      <c r="DE54" s="60">
        <f t="shared" si="28"/>
        <v>115561.89999993518</v>
      </c>
      <c r="DF54" s="60">
        <f t="shared" si="28"/>
        <v>100910.89999993518</v>
      </c>
      <c r="DG54" s="60">
        <f t="shared" si="28"/>
        <v>99999.89999993518</v>
      </c>
      <c r="DH54" s="60">
        <f t="shared" si="28"/>
        <v>99999.99999993504</v>
      </c>
      <c r="DI54" s="60">
        <f t="shared" si="28"/>
        <v>-147457.15000006498</v>
      </c>
      <c r="DJ54" s="60">
        <f t="shared" si="28"/>
        <v>99999.999999935157</v>
      </c>
      <c r="DK54" s="60">
        <f t="shared" si="28"/>
        <v>99999.999999935273</v>
      </c>
      <c r="DL54" s="60">
        <f t="shared" si="28"/>
        <v>99999.999999935273</v>
      </c>
      <c r="DM54" s="60">
        <f t="shared" si="28"/>
        <v>99999.999999932945</v>
      </c>
      <c r="DN54" s="67">
        <f t="shared" si="28"/>
        <v>537701.37999992073</v>
      </c>
      <c r="DO54" s="60">
        <f t="shared" si="28"/>
        <v>421653.9599999208</v>
      </c>
      <c r="DP54" s="60">
        <f t="shared" si="28"/>
        <v>220650.99999992084</v>
      </c>
      <c r="DQ54" s="60">
        <f t="shared" si="28"/>
        <v>144692.99999992107</v>
      </c>
      <c r="DR54" s="60">
        <f t="shared" si="28"/>
        <v>120624.99999992084</v>
      </c>
      <c r="DS54" s="60">
        <f t="shared" si="28"/>
        <v>140284.9999999213</v>
      </c>
      <c r="DT54" s="60">
        <f t="shared" si="28"/>
        <v>130413.9999999213</v>
      </c>
      <c r="DU54" s="60">
        <f t="shared" si="28"/>
        <v>120263.99999992177</v>
      </c>
      <c r="DV54" s="60">
        <f t="shared" si="28"/>
        <v>106461.9999999213</v>
      </c>
      <c r="DW54" s="60">
        <f t="shared" si="28"/>
        <v>196428.99999992363</v>
      </c>
      <c r="DX54" s="60">
        <f t="shared" si="28"/>
        <v>477959.99999992456</v>
      </c>
      <c r="DY54" s="60">
        <f t="shared" si="28"/>
        <v>132189.99999992456</v>
      </c>
      <c r="DZ54" s="60">
        <f t="shared" si="28"/>
        <v>100631.99999992456</v>
      </c>
      <c r="EA54" s="60">
        <f t="shared" ref="EA54:GL54" si="29">+EA6+EA27-EA53</f>
        <v>99999.999999924796</v>
      </c>
      <c r="EB54" s="60">
        <f t="shared" si="29"/>
        <v>195399.99999992456</v>
      </c>
      <c r="EC54" s="60">
        <f t="shared" si="29"/>
        <v>168228.99999992456</v>
      </c>
      <c r="ED54" s="60">
        <f t="shared" si="29"/>
        <v>129865.99999992177</v>
      </c>
      <c r="EE54" s="60">
        <f t="shared" si="29"/>
        <v>140973.99999992177</v>
      </c>
      <c r="EF54" s="60">
        <f t="shared" si="29"/>
        <v>102815.99999991804</v>
      </c>
      <c r="EG54" s="60">
        <f t="shared" si="29"/>
        <v>129008.03549991798</v>
      </c>
      <c r="EH54" s="60">
        <f t="shared" si="29"/>
        <v>123664.03549991827</v>
      </c>
      <c r="EI54" s="60">
        <f t="shared" si="29"/>
        <v>138173.03549991921</v>
      </c>
      <c r="EJ54" s="67">
        <f t="shared" si="29"/>
        <v>347652.03549992293</v>
      </c>
      <c r="EK54" s="353">
        <f t="shared" si="29"/>
        <v>265855.40549992397</v>
      </c>
      <c r="EL54" s="60">
        <f t="shared" si="29"/>
        <v>113680.03549992666</v>
      </c>
      <c r="EM54" s="60">
        <f t="shared" si="29"/>
        <v>105175.03549992666</v>
      </c>
      <c r="EN54" s="60">
        <f t="shared" si="29"/>
        <v>104458.03549992666</v>
      </c>
      <c r="EO54" s="60">
        <f t="shared" si="29"/>
        <v>164486.03549992666</v>
      </c>
      <c r="EP54" s="60">
        <f t="shared" si="29"/>
        <v>145376.03549992666</v>
      </c>
      <c r="EQ54" s="60">
        <f t="shared" si="29"/>
        <v>129886.03549993038</v>
      </c>
      <c r="ER54" s="60">
        <f t="shared" si="29"/>
        <v>160982.03549992992</v>
      </c>
      <c r="ES54" s="60">
        <f t="shared" si="29"/>
        <v>141688.03549992992</v>
      </c>
      <c r="ET54" s="60">
        <f t="shared" si="29"/>
        <v>123601.01549993013</v>
      </c>
      <c r="EU54" s="60">
        <f t="shared" si="29"/>
        <v>104506.01549992943</v>
      </c>
      <c r="EV54" s="60">
        <f t="shared" si="29"/>
        <v>169584.01549992943</v>
      </c>
      <c r="EW54" s="60">
        <f t="shared" si="29"/>
        <v>121195.01549992897</v>
      </c>
      <c r="EX54" s="60">
        <f t="shared" si="29"/>
        <v>132022.01549992891</v>
      </c>
      <c r="EY54" s="60">
        <f t="shared" si="29"/>
        <v>156838.0154999271</v>
      </c>
      <c r="EZ54" s="60">
        <f t="shared" si="29"/>
        <v>466586.01549992734</v>
      </c>
      <c r="FA54" s="60">
        <f t="shared" si="29"/>
        <v>233550.01549992722</v>
      </c>
      <c r="FB54" s="60">
        <f t="shared" si="29"/>
        <v>128263.0154999271</v>
      </c>
      <c r="FC54" s="60">
        <f t="shared" si="29"/>
        <v>192149.0154999271</v>
      </c>
      <c r="FD54" s="60">
        <f t="shared" si="29"/>
        <v>141491.0154999271</v>
      </c>
      <c r="FE54" s="67">
        <f t="shared" si="29"/>
        <v>122052.01549991965</v>
      </c>
      <c r="FF54" s="60">
        <f t="shared" si="29"/>
        <v>113670.01549991965</v>
      </c>
      <c r="FG54" s="60">
        <f t="shared" si="29"/>
        <v>132882.01549991954</v>
      </c>
      <c r="FH54" s="60">
        <f t="shared" si="29"/>
        <v>120319.98549992032</v>
      </c>
      <c r="FI54" s="60">
        <f t="shared" si="29"/>
        <v>103236.98549992032</v>
      </c>
      <c r="FJ54" s="350">
        <f t="shared" si="29"/>
        <v>101441.98549992032</v>
      </c>
      <c r="FK54" s="60">
        <f t="shared" si="29"/>
        <v>127378.98549991986</v>
      </c>
      <c r="FL54" s="60">
        <f t="shared" si="29"/>
        <v>131938.98549991986</v>
      </c>
      <c r="FM54" s="60">
        <f t="shared" si="29"/>
        <v>103917.98549990356</v>
      </c>
      <c r="FN54" s="60">
        <f t="shared" si="29"/>
        <v>114045.98549990356</v>
      </c>
      <c r="FO54" s="60">
        <f t="shared" si="29"/>
        <v>138333.98549989611</v>
      </c>
      <c r="FP54" s="60">
        <f t="shared" si="29"/>
        <v>138767.98549989611</v>
      </c>
      <c r="FQ54" s="60">
        <f t="shared" si="29"/>
        <v>127739.98549989611</v>
      </c>
      <c r="FR54" s="60">
        <f t="shared" si="29"/>
        <v>125725.98549989518</v>
      </c>
      <c r="FS54" s="60">
        <f t="shared" si="29"/>
        <v>102376.98549989518</v>
      </c>
      <c r="FT54" s="60">
        <f t="shared" si="29"/>
        <v>368657.98549989611</v>
      </c>
      <c r="FU54" s="60">
        <f t="shared" si="29"/>
        <v>362321.98549989611</v>
      </c>
      <c r="FV54" s="60">
        <f t="shared" si="29"/>
        <v>130180.98549989704</v>
      </c>
      <c r="FW54" s="60">
        <f t="shared" si="29"/>
        <v>105246.98549989704</v>
      </c>
      <c r="FX54" s="60">
        <f t="shared" si="29"/>
        <v>110931.98549989704</v>
      </c>
      <c r="FY54" s="60">
        <f t="shared" si="29"/>
        <v>120002.98549989611</v>
      </c>
      <c r="FZ54" s="67">
        <f t="shared" si="29"/>
        <v>230530.98549987376</v>
      </c>
      <c r="GA54" s="60">
        <f t="shared" si="29"/>
        <v>188886.98549987469</v>
      </c>
      <c r="GB54" s="60">
        <f t="shared" si="29"/>
        <v>138201.98549987469</v>
      </c>
      <c r="GC54" s="60">
        <f t="shared" si="29"/>
        <v>137830.98549987469</v>
      </c>
      <c r="GD54" s="60">
        <f t="shared" si="29"/>
        <v>105072.98549987469</v>
      </c>
      <c r="GE54" s="60">
        <f t="shared" si="29"/>
        <v>135604.98549987562</v>
      </c>
      <c r="GF54" s="60">
        <f t="shared" si="29"/>
        <v>104808.98549987562</v>
      </c>
      <c r="GG54" s="60">
        <f t="shared" si="29"/>
        <v>104627.98549985886</v>
      </c>
      <c r="GH54" s="60">
        <f t="shared" si="29"/>
        <v>103502.98549985886</v>
      </c>
      <c r="GI54" s="60">
        <f t="shared" si="29"/>
        <v>108058.98549985886</v>
      </c>
      <c r="GJ54" s="60">
        <f t="shared" si="29"/>
        <v>193077.98549985886</v>
      </c>
      <c r="GK54" s="60">
        <f t="shared" si="29"/>
        <v>310255.98549985886</v>
      </c>
      <c r="GL54" s="60">
        <f t="shared" si="29"/>
        <v>185404.98549985886</v>
      </c>
      <c r="GM54" s="60">
        <f t="shared" ref="GM54:IT54" si="30">+GM6+GM27-GM53</f>
        <v>135694.98549985886</v>
      </c>
      <c r="GN54" s="60">
        <f t="shared" si="30"/>
        <v>661362.98549985886</v>
      </c>
      <c r="GO54" s="60">
        <f t="shared" si="30"/>
        <v>336714.07549985964</v>
      </c>
      <c r="GP54" s="60">
        <f t="shared" si="30"/>
        <v>142751.98549985699</v>
      </c>
      <c r="GQ54" s="60">
        <f t="shared" si="30"/>
        <v>114664.98549985699</v>
      </c>
      <c r="GR54" s="60">
        <f t="shared" si="30"/>
        <v>134470.98549985653</v>
      </c>
      <c r="GS54" s="60">
        <f t="shared" si="30"/>
        <v>129005.98549985653</v>
      </c>
      <c r="GT54" s="67">
        <f t="shared" si="30"/>
        <v>118402.98549985886</v>
      </c>
      <c r="GU54" s="60">
        <f t="shared" si="30"/>
        <v>167388.98549985886</v>
      </c>
      <c r="GV54" s="60">
        <f t="shared" si="30"/>
        <v>300978.98549985886</v>
      </c>
      <c r="GW54" s="60">
        <f t="shared" si="30"/>
        <v>176518.88549985876</v>
      </c>
      <c r="GX54" s="60">
        <f t="shared" si="30"/>
        <v>379585.88549985876</v>
      </c>
      <c r="GY54" s="60">
        <f t="shared" si="30"/>
        <v>151320.88549985876</v>
      </c>
      <c r="GZ54" s="60">
        <f t="shared" si="30"/>
        <v>195936.88549985737</v>
      </c>
      <c r="HA54" s="60">
        <f t="shared" si="30"/>
        <v>152333.88549985713</v>
      </c>
      <c r="HB54" s="60">
        <f t="shared" si="30"/>
        <v>103133.88549985737</v>
      </c>
      <c r="HC54" s="60">
        <f t="shared" si="30"/>
        <v>100003.88549985737</v>
      </c>
      <c r="HD54" s="60">
        <f t="shared" si="30"/>
        <v>100014.88549985643</v>
      </c>
      <c r="HE54" s="60">
        <f t="shared" si="30"/>
        <v>103283.88549985643</v>
      </c>
      <c r="HF54" s="60">
        <f t="shared" si="30"/>
        <v>125021.88549985643</v>
      </c>
      <c r="HG54" s="60">
        <f t="shared" si="30"/>
        <v>187856.8854998569</v>
      </c>
      <c r="HH54" s="60">
        <f t="shared" si="30"/>
        <v>188205.88549985737</v>
      </c>
      <c r="HI54" s="60">
        <f t="shared" si="30"/>
        <v>199790.8854998583</v>
      </c>
      <c r="HJ54" s="60">
        <f t="shared" si="30"/>
        <v>111813.88549985783</v>
      </c>
      <c r="HK54" s="60">
        <f t="shared" si="30"/>
        <v>118334.88549985737</v>
      </c>
      <c r="HL54" s="60">
        <f t="shared" si="30"/>
        <v>119605.88749985723</v>
      </c>
      <c r="HM54" s="60">
        <f t="shared" si="30"/>
        <v>643787.88749985723</v>
      </c>
      <c r="HN54" s="60">
        <f t="shared" si="30"/>
        <v>136663.88749985769</v>
      </c>
      <c r="HO54" s="67">
        <f t="shared" si="30"/>
        <v>121964.88749985397</v>
      </c>
      <c r="HP54" s="60">
        <f t="shared" si="30"/>
        <v>109522.88749985397</v>
      </c>
      <c r="HQ54" s="60">
        <f t="shared" si="30"/>
        <v>168929.88749985397</v>
      </c>
      <c r="HR54" s="60">
        <f t="shared" si="30"/>
        <v>130268.88749985397</v>
      </c>
      <c r="HS54" s="60">
        <f t="shared" si="30"/>
        <v>176959.88749985769</v>
      </c>
      <c r="HT54" s="60">
        <f t="shared" si="30"/>
        <v>116647.88749986142</v>
      </c>
      <c r="HU54" s="60">
        <f t="shared" si="30"/>
        <v>107065.88749986142</v>
      </c>
      <c r="HV54" s="60">
        <f t="shared" si="30"/>
        <v>100318.88749986142</v>
      </c>
      <c r="HW54" s="60">
        <f t="shared" si="30"/>
        <v>99999.887499861652</v>
      </c>
      <c r="HX54" s="60">
        <f t="shared" si="30"/>
        <v>99999.887499861419</v>
      </c>
      <c r="HY54" s="60">
        <f t="shared" si="30"/>
        <v>100019.88749986142</v>
      </c>
      <c r="HZ54" s="60">
        <f t="shared" si="30"/>
        <v>99999.887499861419</v>
      </c>
      <c r="IA54" s="60">
        <f t="shared" si="30"/>
        <v>99999.887499860488</v>
      </c>
      <c r="IB54" s="60">
        <f t="shared" si="30"/>
        <v>99999.88749986887</v>
      </c>
      <c r="IC54" s="60">
        <f t="shared" si="30"/>
        <v>535593.94749987125</v>
      </c>
      <c r="ID54" s="60">
        <f t="shared" si="30"/>
        <v>373543.94749987125</v>
      </c>
      <c r="IE54" s="60">
        <f t="shared" si="30"/>
        <v>173783.04749987088</v>
      </c>
      <c r="IF54" s="60">
        <f t="shared" si="30"/>
        <v>110719.04749987088</v>
      </c>
      <c r="IG54" s="60">
        <f t="shared" si="30"/>
        <v>137500.04749986995</v>
      </c>
      <c r="IH54" s="60">
        <f t="shared" si="30"/>
        <v>122890.04749987274</v>
      </c>
      <c r="II54" s="60">
        <f t="shared" si="30"/>
        <v>255428.04749987274</v>
      </c>
      <c r="IJ54" s="67">
        <f t="shared" si="30"/>
        <v>239144.04749987274</v>
      </c>
      <c r="IK54" s="60">
        <f t="shared" si="30"/>
        <v>115242.04749987274</v>
      </c>
      <c r="IL54" s="60">
        <f t="shared" si="30"/>
        <v>152325.04749987274</v>
      </c>
      <c r="IM54" s="60">
        <f t="shared" si="30"/>
        <v>121021.04749986529</v>
      </c>
      <c r="IN54" s="60">
        <f t="shared" si="30"/>
        <v>105405.04749986157</v>
      </c>
      <c r="IO54" s="60">
        <f t="shared" si="30"/>
        <v>161567.04749986157</v>
      </c>
      <c r="IP54" s="60">
        <f t="shared" si="30"/>
        <v>199640.04749986157</v>
      </c>
      <c r="IQ54" s="60">
        <f t="shared" si="30"/>
        <v>128551.04749986157</v>
      </c>
      <c r="IR54" s="60">
        <f>+IR6+IR27-IR53</f>
        <v>103900.04749986529</v>
      </c>
      <c r="IS54" s="60">
        <f>+IS6+IS27-IS53</f>
        <v>101728.04749986157</v>
      </c>
      <c r="IT54" s="60">
        <f t="shared" si="30"/>
        <v>101728.04749986157</v>
      </c>
      <c r="IU54" s="60"/>
    </row>
    <row r="55" spans="1:255" ht="14.1" customHeight="1">
      <c r="A55" s="7" t="s">
        <v>16</v>
      </c>
      <c r="B55" s="14"/>
      <c r="C55" s="39">
        <v>16800000</v>
      </c>
      <c r="D55" s="7">
        <v>27300000</v>
      </c>
      <c r="E55" s="7">
        <v>37500000</v>
      </c>
      <c r="F55" s="7">
        <v>49100000</v>
      </c>
      <c r="G55" s="7">
        <v>36900000</v>
      </c>
      <c r="H55" s="7">
        <v>-2600000</v>
      </c>
      <c r="I55" s="7">
        <v>-140600000</v>
      </c>
      <c r="J55" s="7">
        <v>-250000</v>
      </c>
      <c r="K55" s="7">
        <v>42200000</v>
      </c>
      <c r="L55" s="7">
        <v>-52000000</v>
      </c>
      <c r="M55" s="229">
        <v>-41800000</v>
      </c>
      <c r="N55" s="7">
        <v>31800000</v>
      </c>
      <c r="O55" s="7">
        <v>11200000</v>
      </c>
      <c r="P55" s="7">
        <v>28300000</v>
      </c>
      <c r="Q55" s="7">
        <v>9900000</v>
      </c>
      <c r="R55" s="7">
        <v>20300000</v>
      </c>
      <c r="S55" s="7">
        <v>-2400000</v>
      </c>
      <c r="T55" s="7">
        <v>-57900000</v>
      </c>
      <c r="U55" s="7">
        <v>2100000</v>
      </c>
      <c r="V55" s="7">
        <v>-450000</v>
      </c>
      <c r="W55" s="7">
        <v>-350000</v>
      </c>
      <c r="X55" s="7">
        <v>-1300000</v>
      </c>
      <c r="Y55" s="7">
        <v>-600000</v>
      </c>
      <c r="Z55" s="7">
        <v>800000</v>
      </c>
      <c r="AA55" s="7">
        <f t="shared" ref="AA55:CL55" si="31">-AA20+AA51</f>
        <v>-16600000</v>
      </c>
      <c r="AB55" s="7">
        <f t="shared" si="31"/>
        <v>10000000</v>
      </c>
      <c r="AC55" s="7">
        <f t="shared" si="31"/>
        <v>6000000</v>
      </c>
      <c r="AD55" s="7">
        <f t="shared" si="31"/>
        <v>0</v>
      </c>
      <c r="AE55" s="7">
        <f t="shared" si="31"/>
        <v>350000</v>
      </c>
      <c r="AF55" s="354">
        <f t="shared" si="31"/>
        <v>-67000000</v>
      </c>
      <c r="AG55" s="7">
        <f t="shared" si="31"/>
        <v>3500000</v>
      </c>
      <c r="AH55" s="7">
        <f t="shared" si="31"/>
        <v>-700000</v>
      </c>
      <c r="AI55" s="7">
        <f t="shared" si="31"/>
        <v>1200000</v>
      </c>
      <c r="AJ55" s="7">
        <f t="shared" si="31"/>
        <v>-1100000</v>
      </c>
      <c r="AK55" s="7">
        <f t="shared" si="31"/>
        <v>2400000</v>
      </c>
      <c r="AL55" s="7">
        <f t="shared" si="31"/>
        <v>-2600000</v>
      </c>
      <c r="AM55" s="7">
        <f t="shared" si="31"/>
        <v>1000000</v>
      </c>
      <c r="AN55" s="7">
        <f t="shared" si="31"/>
        <v>3400000</v>
      </c>
      <c r="AO55" s="7">
        <f t="shared" si="31"/>
        <v>1500000</v>
      </c>
      <c r="AP55" s="7">
        <f t="shared" si="31"/>
        <v>1300000</v>
      </c>
      <c r="AQ55" s="7">
        <f t="shared" si="31"/>
        <v>-2600000</v>
      </c>
      <c r="AR55" s="7">
        <f t="shared" si="31"/>
        <v>400000</v>
      </c>
      <c r="AS55" s="7">
        <f t="shared" si="31"/>
        <v>-2900000</v>
      </c>
      <c r="AT55" s="7">
        <f t="shared" si="31"/>
        <v>1600000</v>
      </c>
      <c r="AU55" s="7">
        <f t="shared" si="31"/>
        <v>-200000</v>
      </c>
      <c r="AV55" s="7">
        <f t="shared" si="31"/>
        <v>-15600000</v>
      </c>
      <c r="AW55" s="7">
        <f t="shared" si="31"/>
        <v>3000000</v>
      </c>
      <c r="AX55" s="7">
        <f t="shared" si="31"/>
        <v>-300000</v>
      </c>
      <c r="AY55" s="7">
        <f t="shared" si="31"/>
        <v>-500000</v>
      </c>
      <c r="AZ55" s="7">
        <f t="shared" si="31"/>
        <v>0</v>
      </c>
      <c r="BA55" s="7">
        <f t="shared" si="31"/>
        <v>3133712.94</v>
      </c>
      <c r="BB55" s="7">
        <f t="shared" si="31"/>
        <v>67100000</v>
      </c>
      <c r="BC55" s="354">
        <f t="shared" si="31"/>
        <v>-68700000</v>
      </c>
      <c r="BD55" s="7">
        <f t="shared" si="31"/>
        <v>-700000</v>
      </c>
      <c r="BE55" s="7">
        <f t="shared" si="31"/>
        <v>-4200000</v>
      </c>
      <c r="BF55" s="7">
        <f t="shared" si="31"/>
        <v>-5000000</v>
      </c>
      <c r="BG55" s="7">
        <f t="shared" si="31"/>
        <v>0</v>
      </c>
      <c r="BH55" s="7">
        <f t="shared" si="31"/>
        <v>3500000</v>
      </c>
      <c r="BI55" s="7">
        <f t="shared" si="31"/>
        <v>600000</v>
      </c>
      <c r="BJ55" s="7">
        <f t="shared" si="31"/>
        <v>-500000</v>
      </c>
      <c r="BK55" s="7">
        <f t="shared" si="31"/>
        <v>900000</v>
      </c>
      <c r="BL55" s="7">
        <f t="shared" si="31"/>
        <v>-700000</v>
      </c>
      <c r="BM55" s="7">
        <f t="shared" si="31"/>
        <v>-1400000</v>
      </c>
      <c r="BN55" s="7">
        <f t="shared" si="31"/>
        <v>-3400000</v>
      </c>
      <c r="BO55" s="7">
        <f t="shared" si="31"/>
        <v>-4600000</v>
      </c>
      <c r="BP55" s="7">
        <f t="shared" si="31"/>
        <v>-2600000</v>
      </c>
      <c r="BQ55" s="7">
        <f t="shared" si="31"/>
        <v>1200000</v>
      </c>
      <c r="BR55" s="7">
        <f t="shared" si="31"/>
        <v>-8200000</v>
      </c>
      <c r="BS55" s="7">
        <f t="shared" si="31"/>
        <v>-1000000</v>
      </c>
      <c r="BT55" s="7">
        <f t="shared" si="31"/>
        <v>-400000</v>
      </c>
      <c r="BU55" s="7">
        <f t="shared" si="31"/>
        <v>-100000</v>
      </c>
      <c r="BV55" s="7">
        <f t="shared" si="31"/>
        <v>65300000</v>
      </c>
      <c r="BW55" s="7">
        <f t="shared" si="31"/>
        <v>-800000</v>
      </c>
      <c r="BX55" s="7">
        <f t="shared" si="31"/>
        <v>1000000</v>
      </c>
      <c r="BY55" s="354">
        <f t="shared" si="31"/>
        <v>-70500000</v>
      </c>
      <c r="BZ55" s="7">
        <f t="shared" si="31"/>
        <v>-1600000</v>
      </c>
      <c r="CA55" s="7">
        <f t="shared" si="31"/>
        <v>-400000</v>
      </c>
      <c r="CB55" s="7">
        <f t="shared" si="31"/>
        <v>-9600000</v>
      </c>
      <c r="CC55" s="7">
        <f t="shared" si="31"/>
        <v>-100000</v>
      </c>
      <c r="CD55" s="7">
        <f t="shared" si="31"/>
        <v>7400000</v>
      </c>
      <c r="CE55" s="7">
        <f t="shared" si="31"/>
        <v>36000000</v>
      </c>
      <c r="CF55" s="7">
        <f t="shared" si="31"/>
        <v>2100000</v>
      </c>
      <c r="CG55" s="7">
        <f t="shared" si="31"/>
        <v>-1400000</v>
      </c>
      <c r="CH55" s="7">
        <f t="shared" si="31"/>
        <v>-5300000</v>
      </c>
      <c r="CI55" s="7">
        <f t="shared" si="31"/>
        <v>-600000</v>
      </c>
      <c r="CJ55" s="7">
        <f t="shared" si="31"/>
        <v>1200000</v>
      </c>
      <c r="CK55" s="7">
        <f t="shared" si="31"/>
        <v>-700000</v>
      </c>
      <c r="CL55" s="7">
        <f t="shared" si="31"/>
        <v>-350000</v>
      </c>
      <c r="CM55" s="7">
        <f t="shared" ref="CM55:EX55" si="32">-CM20+CM51</f>
        <v>-16000000</v>
      </c>
      <c r="CN55" s="7">
        <f t="shared" si="32"/>
        <v>-750000</v>
      </c>
      <c r="CO55" s="7">
        <f t="shared" si="32"/>
        <v>-800000</v>
      </c>
      <c r="CP55" s="7">
        <f t="shared" si="32"/>
        <v>-250000</v>
      </c>
      <c r="CQ55" s="7">
        <f t="shared" si="32"/>
        <v>71400000</v>
      </c>
      <c r="CR55" s="7">
        <f t="shared" si="32"/>
        <v>3100000</v>
      </c>
      <c r="CS55" s="354">
        <f t="shared" si="32"/>
        <v>-64900000</v>
      </c>
      <c r="CT55" s="7">
        <f t="shared" si="32"/>
        <v>-850000</v>
      </c>
      <c r="CU55" s="7">
        <f t="shared" si="32"/>
        <v>-100000</v>
      </c>
      <c r="CV55" s="7">
        <f t="shared" si="32"/>
        <v>-1600000</v>
      </c>
      <c r="CW55" s="7">
        <f t="shared" si="32"/>
        <v>5400000</v>
      </c>
      <c r="CX55" s="7">
        <f t="shared" si="32"/>
        <v>-1900000</v>
      </c>
      <c r="CY55" s="7">
        <f t="shared" si="32"/>
        <v>-1200000</v>
      </c>
      <c r="CZ55" s="7">
        <f t="shared" si="32"/>
        <v>-1150000</v>
      </c>
      <c r="DA55" s="7">
        <f t="shared" si="32"/>
        <v>6600000</v>
      </c>
      <c r="DB55" s="7">
        <f t="shared" si="32"/>
        <v>-2650000</v>
      </c>
      <c r="DC55" s="7">
        <f t="shared" si="32"/>
        <v>-950000</v>
      </c>
      <c r="DD55" s="7">
        <f t="shared" si="32"/>
        <v>-14800000</v>
      </c>
      <c r="DE55" s="7">
        <f t="shared" si="32"/>
        <v>-1400000</v>
      </c>
      <c r="DF55" s="7">
        <f t="shared" si="32"/>
        <v>250000</v>
      </c>
      <c r="DG55" s="7">
        <f t="shared" si="32"/>
        <v>9000000</v>
      </c>
      <c r="DH55" s="7">
        <f t="shared" si="32"/>
        <v>1000000</v>
      </c>
      <c r="DI55" s="7">
        <f t="shared" si="32"/>
        <v>-200000</v>
      </c>
      <c r="DJ55" s="7">
        <f t="shared" si="32"/>
        <v>-300000</v>
      </c>
      <c r="DK55" s="7">
        <f t="shared" si="32"/>
        <v>-1800000</v>
      </c>
      <c r="DL55" s="7">
        <f t="shared" si="32"/>
        <v>-150000</v>
      </c>
      <c r="DM55" s="7">
        <f t="shared" si="32"/>
        <v>46500000</v>
      </c>
      <c r="DN55" s="354">
        <f t="shared" si="32"/>
        <v>-65000000</v>
      </c>
      <c r="DO55" s="7">
        <f t="shared" si="32"/>
        <v>-500000</v>
      </c>
      <c r="DP55" s="7">
        <f t="shared" si="32"/>
        <v>-7350000</v>
      </c>
      <c r="DQ55" s="7">
        <f t="shared" si="32"/>
        <v>-1050000</v>
      </c>
      <c r="DR55" s="7">
        <f t="shared" si="32"/>
        <v>-1350000</v>
      </c>
      <c r="DS55" s="7">
        <f t="shared" si="32"/>
        <v>-1200000</v>
      </c>
      <c r="DT55" s="7">
        <f t="shared" si="32"/>
        <v>-2800000</v>
      </c>
      <c r="DU55" s="7">
        <f t="shared" si="32"/>
        <v>-2800000</v>
      </c>
      <c r="DV55" s="7">
        <f t="shared" si="32"/>
        <v>2450000</v>
      </c>
      <c r="DW55" s="7">
        <f t="shared" si="32"/>
        <v>9750000</v>
      </c>
      <c r="DX55" s="7">
        <f t="shared" si="32"/>
        <v>-1950000</v>
      </c>
      <c r="DY55" s="7">
        <f t="shared" si="32"/>
        <v>0</v>
      </c>
      <c r="DZ55" s="7">
        <f t="shared" si="32"/>
        <v>-4100000</v>
      </c>
      <c r="EA55" s="7">
        <f t="shared" si="32"/>
        <v>-150000</v>
      </c>
      <c r="EB55" s="7">
        <f t="shared" si="32"/>
        <v>4600000</v>
      </c>
      <c r="EC55" s="7">
        <f t="shared" si="32"/>
        <v>-1650000</v>
      </c>
      <c r="ED55" s="7">
        <f t="shared" si="32"/>
        <v>7650000</v>
      </c>
      <c r="EE55" s="7">
        <f t="shared" si="32"/>
        <v>-2350000</v>
      </c>
      <c r="EF55" s="7">
        <f t="shared" si="32"/>
        <v>49600000</v>
      </c>
      <c r="EG55" s="7">
        <f t="shared" si="32"/>
        <v>-100000</v>
      </c>
      <c r="EH55" s="7">
        <f t="shared" si="32"/>
        <v>-1800000</v>
      </c>
      <c r="EI55" s="7">
        <f t="shared" si="32"/>
        <v>8650000</v>
      </c>
      <c r="EJ55" s="229">
        <f t="shared" si="32"/>
        <v>-65350000</v>
      </c>
      <c r="EK55" s="7">
        <f t="shared" si="32"/>
        <v>8050000</v>
      </c>
      <c r="EL55" s="7">
        <f t="shared" si="32"/>
        <v>1250000</v>
      </c>
      <c r="EM55" s="7">
        <f t="shared" si="32"/>
        <v>-1900000</v>
      </c>
      <c r="EN55" s="7">
        <f t="shared" si="32"/>
        <v>-450000</v>
      </c>
      <c r="EO55" s="7">
        <f t="shared" si="32"/>
        <v>-2100000</v>
      </c>
      <c r="EP55" s="7">
        <f t="shared" si="32"/>
        <v>-4100000</v>
      </c>
      <c r="EQ55" s="7">
        <f t="shared" si="32"/>
        <v>13700000</v>
      </c>
      <c r="ER55" s="7">
        <f t="shared" si="32"/>
        <v>-2750000</v>
      </c>
      <c r="ES55" s="7">
        <f t="shared" si="32"/>
        <v>-250000</v>
      </c>
      <c r="ET55" s="7">
        <f t="shared" si="32"/>
        <v>-950000</v>
      </c>
      <c r="EU55" s="7">
        <f t="shared" si="32"/>
        <v>-3550000</v>
      </c>
      <c r="EV55" s="7">
        <f t="shared" si="32"/>
        <v>-2400000</v>
      </c>
      <c r="EW55" s="7">
        <f t="shared" si="32"/>
        <v>950000</v>
      </c>
      <c r="EX55" s="7">
        <f t="shared" si="32"/>
        <v>-100000</v>
      </c>
      <c r="EY55" s="7">
        <f t="shared" ref="EY55:HH55" si="33">-EY20+EY51</f>
        <v>0</v>
      </c>
      <c r="EZ55" s="7">
        <f t="shared" si="33"/>
        <v>-1300000</v>
      </c>
      <c r="FA55" s="7">
        <f t="shared" si="33"/>
        <v>500000</v>
      </c>
      <c r="FB55" s="7">
        <f t="shared" si="33"/>
        <v>-1500000</v>
      </c>
      <c r="FC55" s="7">
        <f t="shared" si="33"/>
        <v>-300000</v>
      </c>
      <c r="FD55" s="7">
        <f t="shared" si="33"/>
        <v>-1500000</v>
      </c>
      <c r="FE55" s="354">
        <f t="shared" si="33"/>
        <v>0</v>
      </c>
      <c r="FF55" s="7">
        <f t="shared" si="33"/>
        <v>-1200000</v>
      </c>
      <c r="FG55" s="7">
        <f t="shared" si="33"/>
        <v>-600000</v>
      </c>
      <c r="FH55" s="7">
        <f t="shared" si="33"/>
        <v>8800000</v>
      </c>
      <c r="FI55" s="7">
        <f t="shared" si="33"/>
        <v>-4500000</v>
      </c>
      <c r="FJ55" s="79">
        <f t="shared" si="33"/>
        <v>-350000</v>
      </c>
      <c r="FK55" s="7">
        <f t="shared" si="33"/>
        <v>-1800000</v>
      </c>
      <c r="FL55" s="7">
        <f t="shared" si="33"/>
        <v>2550000</v>
      </c>
      <c r="FM55" s="7">
        <f t="shared" si="33"/>
        <v>58700000</v>
      </c>
      <c r="FN55" s="7">
        <f t="shared" si="33"/>
        <v>-4300000</v>
      </c>
      <c r="FO55" s="7">
        <f t="shared" si="33"/>
        <v>-33250000</v>
      </c>
      <c r="FP55" s="7">
        <f t="shared" si="33"/>
        <v>4150000</v>
      </c>
      <c r="FQ55" s="7">
        <f t="shared" si="33"/>
        <v>-350000</v>
      </c>
      <c r="FR55" s="7">
        <f t="shared" si="33"/>
        <v>-3900000</v>
      </c>
      <c r="FS55" s="7">
        <f t="shared" si="33"/>
        <v>-3400000</v>
      </c>
      <c r="FT55" s="7">
        <f t="shared" si="33"/>
        <v>-16250000</v>
      </c>
      <c r="FU55" s="7">
        <f t="shared" si="33"/>
        <v>-350000</v>
      </c>
      <c r="FV55" s="7">
        <f t="shared" si="33"/>
        <v>-300000</v>
      </c>
      <c r="FW55" s="7">
        <f t="shared" si="33"/>
        <v>-100000</v>
      </c>
      <c r="FX55" s="7">
        <f t="shared" si="33"/>
        <v>-3000000</v>
      </c>
      <c r="FY55" s="7">
        <f t="shared" si="33"/>
        <v>9900000</v>
      </c>
      <c r="FZ55" s="354">
        <f t="shared" si="33"/>
        <v>0</v>
      </c>
      <c r="GA55" s="7">
        <f t="shared" si="33"/>
        <v>-6850000</v>
      </c>
      <c r="GB55" s="7">
        <f t="shared" si="33"/>
        <v>1100000</v>
      </c>
      <c r="GC55" s="7">
        <f t="shared" si="33"/>
        <v>1950000</v>
      </c>
      <c r="GD55" s="7">
        <f t="shared" si="33"/>
        <v>-1900000</v>
      </c>
      <c r="GE55" s="7">
        <f t="shared" si="33"/>
        <v>1150000</v>
      </c>
      <c r="GF55" s="7">
        <f t="shared" si="33"/>
        <v>2050000</v>
      </c>
      <c r="GG55" s="7">
        <f t="shared" si="33"/>
        <v>19250000</v>
      </c>
      <c r="GH55" s="7">
        <f t="shared" si="33"/>
        <v>1900000</v>
      </c>
      <c r="GI55" s="7">
        <f t="shared" si="33"/>
        <v>3700000</v>
      </c>
      <c r="GJ55" s="7">
        <f t="shared" si="33"/>
        <v>19850000</v>
      </c>
      <c r="GK55" s="7">
        <f t="shared" si="33"/>
        <v>-22700000</v>
      </c>
      <c r="GL55" s="7">
        <f t="shared" si="33"/>
        <v>-1750000</v>
      </c>
      <c r="GM55" s="7">
        <f t="shared" si="33"/>
        <v>2750000</v>
      </c>
      <c r="GN55" s="7">
        <f>-GN20+GN51</f>
        <v>-400000</v>
      </c>
      <c r="GO55" s="7">
        <f t="shared" si="33"/>
        <v>3600000</v>
      </c>
      <c r="GP55" s="7">
        <f t="shared" si="33"/>
        <v>-14500000</v>
      </c>
      <c r="GQ55" s="7">
        <f t="shared" si="33"/>
        <v>-600000</v>
      </c>
      <c r="GR55" s="7">
        <f t="shared" si="33"/>
        <v>800000</v>
      </c>
      <c r="GS55" s="7">
        <f t="shared" si="33"/>
        <v>-900000</v>
      </c>
      <c r="GT55" s="354">
        <f t="shared" si="33"/>
        <v>-13400000</v>
      </c>
      <c r="GU55" s="7">
        <f t="shared" si="33"/>
        <v>-1950000</v>
      </c>
      <c r="GV55" s="7">
        <f t="shared" si="33"/>
        <v>6350000</v>
      </c>
      <c r="GW55" s="7">
        <f t="shared" si="33"/>
        <v>-2700000</v>
      </c>
      <c r="GX55" s="7">
        <f t="shared" si="33"/>
        <v>1500000</v>
      </c>
      <c r="GY55" s="7">
        <f t="shared" si="33"/>
        <v>600000</v>
      </c>
      <c r="GZ55" s="7">
        <f t="shared" si="33"/>
        <v>-7750000</v>
      </c>
      <c r="HA55" s="7">
        <f t="shared" si="33"/>
        <v>500000</v>
      </c>
      <c r="HB55" s="7">
        <f t="shared" si="33"/>
        <v>-250000</v>
      </c>
      <c r="HC55" s="7">
        <f t="shared" si="33"/>
        <v>5850000</v>
      </c>
      <c r="HD55" s="7">
        <f t="shared" si="33"/>
        <v>4650000</v>
      </c>
      <c r="HE55" s="7">
        <f t="shared" si="33"/>
        <v>150000</v>
      </c>
      <c r="HF55" s="7">
        <f t="shared" si="33"/>
        <v>2700000</v>
      </c>
      <c r="HG55" s="7">
        <f t="shared" si="33"/>
        <v>0</v>
      </c>
      <c r="HH55" s="7">
        <f t="shared" si="33"/>
        <v>-11150000</v>
      </c>
      <c r="HI55" s="7">
        <f t="shared" ref="HI55:IU55" si="34">-HI20+HI51</f>
        <v>-2700000</v>
      </c>
      <c r="HJ55" s="7">
        <f t="shared" si="34"/>
        <v>750000</v>
      </c>
      <c r="HK55" s="7">
        <f t="shared" si="34"/>
        <v>8900000</v>
      </c>
      <c r="HL55" s="7">
        <f t="shared" si="34"/>
        <v>2100000</v>
      </c>
      <c r="HM55" s="7">
        <f t="shared" si="34"/>
        <v>-600000</v>
      </c>
      <c r="HN55" s="7">
        <f t="shared" si="34"/>
        <v>0</v>
      </c>
      <c r="HO55" s="354">
        <f t="shared" si="34"/>
        <v>-17050000</v>
      </c>
      <c r="HP55" s="7">
        <f t="shared" si="34"/>
        <v>5550000</v>
      </c>
      <c r="HQ55" s="7">
        <f t="shared" si="34"/>
        <v>0</v>
      </c>
      <c r="HR55" s="7">
        <f t="shared" si="34"/>
        <v>0</v>
      </c>
      <c r="HS55" s="7">
        <f t="shared" si="34"/>
        <v>0</v>
      </c>
      <c r="HT55" s="7">
        <f t="shared" si="34"/>
        <v>0</v>
      </c>
      <c r="HU55" s="7">
        <f t="shared" si="34"/>
        <v>900000</v>
      </c>
      <c r="HV55" s="7">
        <f t="shared" si="34"/>
        <v>0</v>
      </c>
      <c r="HW55" s="7">
        <f t="shared" si="34"/>
        <v>-1000000</v>
      </c>
      <c r="HX55" s="7">
        <f t="shared" si="34"/>
        <v>0</v>
      </c>
      <c r="HY55" s="7">
        <f t="shared" si="34"/>
        <v>0</v>
      </c>
      <c r="HZ55" s="7">
        <f t="shared" si="34"/>
        <v>0</v>
      </c>
      <c r="IA55" s="7">
        <f t="shared" si="34"/>
        <v>2950000</v>
      </c>
      <c r="IB55" s="7">
        <f t="shared" si="34"/>
        <v>4600000</v>
      </c>
      <c r="IC55" s="7">
        <f t="shared" si="34"/>
        <v>0</v>
      </c>
      <c r="ID55" s="7">
        <f t="shared" si="34"/>
        <v>0</v>
      </c>
      <c r="IE55" s="7">
        <f t="shared" si="34"/>
        <v>0</v>
      </c>
      <c r="IF55" s="7">
        <f t="shared" si="34"/>
        <v>6400000</v>
      </c>
      <c r="IG55" s="7">
        <f t="shared" si="34"/>
        <v>0</v>
      </c>
      <c r="IH55" s="7">
        <f t="shared" si="34"/>
        <v>11950000</v>
      </c>
      <c r="II55" s="7">
        <f t="shared" si="34"/>
        <v>11300000</v>
      </c>
      <c r="IJ55" s="354">
        <f t="shared" si="34"/>
        <v>-25700000</v>
      </c>
      <c r="IK55" s="7">
        <f t="shared" si="34"/>
        <v>2150000</v>
      </c>
      <c r="IL55" s="7">
        <f t="shared" si="34"/>
        <v>0</v>
      </c>
      <c r="IM55" s="7">
        <f t="shared" si="34"/>
        <v>-900000</v>
      </c>
      <c r="IN55" s="7">
        <f t="shared" si="34"/>
        <v>0</v>
      </c>
      <c r="IO55" s="7">
        <f t="shared" si="34"/>
        <v>0</v>
      </c>
      <c r="IP55" s="7">
        <f t="shared" si="34"/>
        <v>0</v>
      </c>
      <c r="IQ55" s="7">
        <f t="shared" si="34"/>
        <v>0</v>
      </c>
      <c r="IR55" s="7">
        <f>-IR20+IR51</f>
        <v>0</v>
      </c>
      <c r="IS55" s="7">
        <f>-IS20+IS51</f>
        <v>0</v>
      </c>
      <c r="IT55" s="7">
        <f t="shared" si="34"/>
        <v>0</v>
      </c>
      <c r="IU55" s="7">
        <f t="shared" si="34"/>
        <v>0</v>
      </c>
    </row>
    <row r="56" spans="1:255" ht="14.1" customHeight="1">
      <c r="A56" s="21"/>
      <c r="B56" s="14"/>
      <c r="C56" s="152"/>
      <c r="M56" s="213"/>
      <c r="T56" s="124"/>
      <c r="AF56" s="213"/>
      <c r="BC56" s="213"/>
      <c r="BY56" s="213"/>
      <c r="CS56" s="213"/>
      <c r="CZ56" s="8"/>
      <c r="DN56" s="213"/>
      <c r="DR56" s="8"/>
      <c r="EB56" s="8"/>
      <c r="EJ56" s="213"/>
      <c r="EK56" s="140"/>
      <c r="EQ56" s="8"/>
      <c r="FD56" s="8"/>
      <c r="FE56" s="213"/>
      <c r="FJ56" s="71"/>
      <c r="FZ56" s="213"/>
      <c r="GT56" s="213"/>
      <c r="HO56" s="213"/>
      <c r="IJ56" s="213"/>
      <c r="IS56" s="124">
        <f>SUM(C46:IS46)</f>
        <v>397155945.02799994</v>
      </c>
    </row>
    <row r="57" spans="1:255" ht="14.1" customHeight="1">
      <c r="A57" s="22" t="s">
        <v>23</v>
      </c>
      <c r="B57" s="22" t="s">
        <v>42</v>
      </c>
      <c r="C57" s="152"/>
      <c r="M57" s="213"/>
      <c r="AF57" s="213"/>
      <c r="BC57" s="213"/>
      <c r="BY57" s="213"/>
      <c r="CS57" s="213"/>
      <c r="CZ57" s="8"/>
      <c r="DN57" s="213"/>
      <c r="DR57" s="8"/>
      <c r="EB57" s="8"/>
      <c r="EJ57" s="213"/>
      <c r="EK57" s="140"/>
      <c r="EQ57" s="8"/>
      <c r="FD57" s="8"/>
      <c r="FE57" s="213"/>
      <c r="FJ57" s="71"/>
      <c r="FZ57" s="213"/>
      <c r="GT57" s="213"/>
      <c r="HO57" s="213"/>
      <c r="IJ57" s="213"/>
    </row>
    <row r="58" spans="1:255" ht="14.1" customHeight="1">
      <c r="A58" s="14" t="s">
        <v>17</v>
      </c>
      <c r="B58" s="14"/>
      <c r="C58" s="39">
        <f>131287033.45+133339.3</f>
        <v>131420372.75</v>
      </c>
      <c r="D58" s="14">
        <f t="shared" ref="D58:U58" si="35">C58+D55</f>
        <v>158720372.75</v>
      </c>
      <c r="E58" s="14">
        <f t="shared" si="35"/>
        <v>196220372.75</v>
      </c>
      <c r="F58" s="14">
        <f t="shared" si="35"/>
        <v>245320372.75</v>
      </c>
      <c r="G58" s="14">
        <f t="shared" si="35"/>
        <v>282220372.75</v>
      </c>
      <c r="H58" s="14">
        <f t="shared" si="35"/>
        <v>279620372.75</v>
      </c>
      <c r="I58" s="14">
        <f t="shared" si="35"/>
        <v>139020372.75</v>
      </c>
      <c r="J58" s="14">
        <f t="shared" si="35"/>
        <v>138770372.75</v>
      </c>
      <c r="K58" s="14">
        <f t="shared" si="35"/>
        <v>180970372.75</v>
      </c>
      <c r="L58" s="14">
        <f t="shared" si="35"/>
        <v>128970372.75</v>
      </c>
      <c r="M58" s="230">
        <f t="shared" si="35"/>
        <v>87170372.75</v>
      </c>
      <c r="N58" s="14">
        <f t="shared" si="35"/>
        <v>118970372.75</v>
      </c>
      <c r="O58" s="14">
        <f t="shared" si="35"/>
        <v>130170372.75</v>
      </c>
      <c r="P58" s="14">
        <f t="shared" si="35"/>
        <v>158470372.75</v>
      </c>
      <c r="Q58" s="14">
        <f t="shared" si="35"/>
        <v>168370372.75</v>
      </c>
      <c r="R58" s="14">
        <f t="shared" si="35"/>
        <v>188670372.75</v>
      </c>
      <c r="S58" s="14">
        <f t="shared" si="35"/>
        <v>186270372.75</v>
      </c>
      <c r="T58" s="14">
        <f t="shared" si="35"/>
        <v>128370372.75</v>
      </c>
      <c r="U58" s="14">
        <f t="shared" si="35"/>
        <v>130470372.75</v>
      </c>
      <c r="V58" s="39">
        <f>U58+V55+116108.11</f>
        <v>130136480.86</v>
      </c>
      <c r="W58" s="14">
        <f t="shared" ref="W58:AR58" si="36">V58+W55</f>
        <v>129786480.86</v>
      </c>
      <c r="X58" s="14">
        <f t="shared" si="36"/>
        <v>128486480.86</v>
      </c>
      <c r="Y58" s="14">
        <f t="shared" si="36"/>
        <v>127886480.86</v>
      </c>
      <c r="Z58" s="14">
        <f t="shared" si="36"/>
        <v>128686480.86</v>
      </c>
      <c r="AA58" s="14">
        <f t="shared" si="36"/>
        <v>112086480.86</v>
      </c>
      <c r="AB58" s="14">
        <f t="shared" si="36"/>
        <v>122086480.86</v>
      </c>
      <c r="AC58" s="14">
        <f t="shared" si="36"/>
        <v>128086480.86</v>
      </c>
      <c r="AD58" s="14">
        <f t="shared" si="36"/>
        <v>128086480.86</v>
      </c>
      <c r="AE58" s="14">
        <f t="shared" si="36"/>
        <v>128436480.86</v>
      </c>
      <c r="AF58" s="230">
        <f t="shared" si="36"/>
        <v>61436480.859999999</v>
      </c>
      <c r="AG58" s="14">
        <f t="shared" si="36"/>
        <v>64936480.859999999</v>
      </c>
      <c r="AH58" s="14">
        <f t="shared" si="36"/>
        <v>64236480.859999999</v>
      </c>
      <c r="AI58" s="14">
        <f t="shared" si="36"/>
        <v>65436480.859999999</v>
      </c>
      <c r="AJ58" s="14">
        <f t="shared" si="36"/>
        <v>64336480.859999999</v>
      </c>
      <c r="AK58" s="14">
        <f t="shared" si="36"/>
        <v>66736480.859999999</v>
      </c>
      <c r="AL58" s="14">
        <f t="shared" si="36"/>
        <v>64136480.859999999</v>
      </c>
      <c r="AM58" s="14">
        <f t="shared" si="36"/>
        <v>65136480.859999999</v>
      </c>
      <c r="AN58" s="14">
        <f t="shared" si="36"/>
        <v>68536480.859999999</v>
      </c>
      <c r="AO58" s="14">
        <f t="shared" si="36"/>
        <v>70036480.859999999</v>
      </c>
      <c r="AP58" s="14">
        <f t="shared" si="36"/>
        <v>71336480.859999999</v>
      </c>
      <c r="AQ58" s="14">
        <f t="shared" si="36"/>
        <v>68736480.859999999</v>
      </c>
      <c r="AR58" s="39">
        <f t="shared" si="36"/>
        <v>69136480.859999999</v>
      </c>
      <c r="AS58" s="14">
        <f>AR58+AS55+48734.95</f>
        <v>66285215.810000002</v>
      </c>
      <c r="AT58" s="14">
        <f t="shared" ref="AT58:BN58" si="37">AS58+AT55</f>
        <v>67885215.810000002</v>
      </c>
      <c r="AU58" s="14">
        <f t="shared" si="37"/>
        <v>67685215.810000002</v>
      </c>
      <c r="AV58" s="14">
        <f t="shared" si="37"/>
        <v>52085215.810000002</v>
      </c>
      <c r="AW58" s="14">
        <f t="shared" si="37"/>
        <v>55085215.810000002</v>
      </c>
      <c r="AX58" s="14">
        <f t="shared" si="37"/>
        <v>54785215.810000002</v>
      </c>
      <c r="AY58" s="14">
        <f t="shared" si="37"/>
        <v>54285215.810000002</v>
      </c>
      <c r="AZ58" s="14">
        <f t="shared" si="37"/>
        <v>54285215.810000002</v>
      </c>
      <c r="BA58" s="14">
        <f t="shared" si="37"/>
        <v>57418928.75</v>
      </c>
      <c r="BB58" s="14">
        <f t="shared" si="37"/>
        <v>124518928.75</v>
      </c>
      <c r="BC58" s="230">
        <f t="shared" si="37"/>
        <v>55818928.75</v>
      </c>
      <c r="BD58" s="14">
        <f t="shared" si="37"/>
        <v>55118928.75</v>
      </c>
      <c r="BE58" s="14">
        <f t="shared" si="37"/>
        <v>50918928.75</v>
      </c>
      <c r="BF58" s="14">
        <f t="shared" si="37"/>
        <v>45918928.75</v>
      </c>
      <c r="BG58" s="14">
        <f t="shared" si="37"/>
        <v>45918928.75</v>
      </c>
      <c r="BH58" s="14">
        <f t="shared" si="37"/>
        <v>49418928.75</v>
      </c>
      <c r="BI58" s="14">
        <f t="shared" si="37"/>
        <v>50018928.75</v>
      </c>
      <c r="BJ58" s="14">
        <f t="shared" si="37"/>
        <v>49518928.75</v>
      </c>
      <c r="BK58" s="14">
        <f t="shared" si="37"/>
        <v>50418928.75</v>
      </c>
      <c r="BL58" s="14">
        <f t="shared" si="37"/>
        <v>49718928.75</v>
      </c>
      <c r="BM58" s="14">
        <f t="shared" si="37"/>
        <v>48318928.75</v>
      </c>
      <c r="BN58" s="39">
        <f t="shared" si="37"/>
        <v>44918928.75</v>
      </c>
      <c r="BO58" s="14">
        <f>BN58+BO55+23479.09</f>
        <v>40342407.840000004</v>
      </c>
      <c r="BP58" s="14">
        <f t="shared" ref="BP58:CH58" si="38">BO58+BP55</f>
        <v>37742407.840000004</v>
      </c>
      <c r="BQ58" s="14">
        <f t="shared" si="38"/>
        <v>38942407.840000004</v>
      </c>
      <c r="BR58" s="14">
        <f t="shared" si="38"/>
        <v>30742407.840000004</v>
      </c>
      <c r="BS58" s="14">
        <f t="shared" si="38"/>
        <v>29742407.840000004</v>
      </c>
      <c r="BT58" s="14">
        <f t="shared" si="38"/>
        <v>29342407.840000004</v>
      </c>
      <c r="BU58" s="14">
        <f t="shared" si="38"/>
        <v>29242407.840000004</v>
      </c>
      <c r="BV58" s="14">
        <f t="shared" si="38"/>
        <v>94542407.840000004</v>
      </c>
      <c r="BW58" s="14">
        <f t="shared" si="38"/>
        <v>93742407.840000004</v>
      </c>
      <c r="BX58" s="14">
        <f t="shared" si="38"/>
        <v>94742407.840000004</v>
      </c>
      <c r="BY58" s="230">
        <f t="shared" si="38"/>
        <v>24242407.840000004</v>
      </c>
      <c r="BZ58" s="14">
        <f t="shared" si="38"/>
        <v>22642407.840000004</v>
      </c>
      <c r="CA58" s="14">
        <f t="shared" si="38"/>
        <v>22242407.840000004</v>
      </c>
      <c r="CB58" s="14">
        <f t="shared" si="38"/>
        <v>12642407.840000004</v>
      </c>
      <c r="CC58" s="14">
        <f t="shared" si="38"/>
        <v>12542407.840000004</v>
      </c>
      <c r="CD58" s="14">
        <f t="shared" si="38"/>
        <v>19942407.840000004</v>
      </c>
      <c r="CE58" s="14">
        <f t="shared" si="38"/>
        <v>55942407.840000004</v>
      </c>
      <c r="CF58" s="14">
        <f t="shared" si="38"/>
        <v>58042407.840000004</v>
      </c>
      <c r="CG58" s="14">
        <f t="shared" si="38"/>
        <v>56642407.840000004</v>
      </c>
      <c r="CH58" s="39">
        <f t="shared" si="38"/>
        <v>51342407.840000004</v>
      </c>
      <c r="CI58" s="14">
        <v>50756664.189999998</v>
      </c>
      <c r="CJ58" s="14">
        <f t="shared" ref="CJ58:DO58" si="39">CI58+CJ55</f>
        <v>51956664.189999998</v>
      </c>
      <c r="CK58" s="14">
        <f t="shared" si="39"/>
        <v>51256664.189999998</v>
      </c>
      <c r="CL58" s="14">
        <f t="shared" si="39"/>
        <v>50906664.189999998</v>
      </c>
      <c r="CM58" s="14">
        <f t="shared" si="39"/>
        <v>34906664.189999998</v>
      </c>
      <c r="CN58" s="14">
        <f t="shared" si="39"/>
        <v>34156664.189999998</v>
      </c>
      <c r="CO58" s="14">
        <f t="shared" si="39"/>
        <v>33356664.189999998</v>
      </c>
      <c r="CP58" s="14">
        <f t="shared" si="39"/>
        <v>33106664.189999998</v>
      </c>
      <c r="CQ58" s="14">
        <f t="shared" si="39"/>
        <v>104506664.19</v>
      </c>
      <c r="CR58" s="14">
        <f t="shared" si="39"/>
        <v>107606664.19</v>
      </c>
      <c r="CS58" s="230">
        <f t="shared" si="39"/>
        <v>42706664.189999998</v>
      </c>
      <c r="CT58" s="14">
        <f t="shared" si="39"/>
        <v>41856664.189999998</v>
      </c>
      <c r="CU58" s="14">
        <f t="shared" si="39"/>
        <v>41756664.189999998</v>
      </c>
      <c r="CV58" s="14">
        <f t="shared" si="39"/>
        <v>40156664.189999998</v>
      </c>
      <c r="CW58" s="14">
        <f t="shared" si="39"/>
        <v>45556664.189999998</v>
      </c>
      <c r="CX58" s="14">
        <f t="shared" si="39"/>
        <v>43656664.189999998</v>
      </c>
      <c r="CY58" s="14">
        <f t="shared" si="39"/>
        <v>42456664.189999998</v>
      </c>
      <c r="CZ58" s="14">
        <f t="shared" si="39"/>
        <v>41306664.189999998</v>
      </c>
      <c r="DA58" s="14">
        <f t="shared" si="39"/>
        <v>47906664.189999998</v>
      </c>
      <c r="DB58" s="14">
        <f t="shared" si="39"/>
        <v>45256664.189999998</v>
      </c>
      <c r="DC58" s="14">
        <f t="shared" si="39"/>
        <v>44306664.189999998</v>
      </c>
      <c r="DD58" s="39">
        <f t="shared" si="39"/>
        <v>29506664.189999998</v>
      </c>
      <c r="DE58" s="14">
        <v>28120931.109999999</v>
      </c>
      <c r="DF58" s="14">
        <f t="shared" si="39"/>
        <v>28370931.109999999</v>
      </c>
      <c r="DG58" s="14">
        <f t="shared" si="39"/>
        <v>37370931.109999999</v>
      </c>
      <c r="DH58" s="14">
        <f t="shared" si="39"/>
        <v>38370931.109999999</v>
      </c>
      <c r="DI58" s="14">
        <f t="shared" si="39"/>
        <v>38170931.109999999</v>
      </c>
      <c r="DJ58" s="14">
        <f t="shared" si="39"/>
        <v>37870931.109999999</v>
      </c>
      <c r="DK58" s="14">
        <f t="shared" si="39"/>
        <v>36070931.109999999</v>
      </c>
      <c r="DL58" s="14">
        <f t="shared" si="39"/>
        <v>35920931.109999999</v>
      </c>
      <c r="DM58" s="14">
        <f t="shared" si="39"/>
        <v>82420931.109999999</v>
      </c>
      <c r="DN58" s="230">
        <f t="shared" si="39"/>
        <v>17420931.109999999</v>
      </c>
      <c r="DO58" s="14">
        <f t="shared" si="39"/>
        <v>16920931.109999999</v>
      </c>
      <c r="DP58" s="14">
        <f t="shared" ref="DP58:EU58" si="40">DO58+DP55</f>
        <v>9570931.1099999994</v>
      </c>
      <c r="DQ58" s="14">
        <f t="shared" si="40"/>
        <v>8520931.1099999994</v>
      </c>
      <c r="DR58" s="14">
        <f t="shared" si="40"/>
        <v>7170931.1099999994</v>
      </c>
      <c r="DS58" s="14">
        <f t="shared" si="40"/>
        <v>5970931.1099999994</v>
      </c>
      <c r="DT58" s="14">
        <f t="shared" si="40"/>
        <v>3170931.1099999994</v>
      </c>
      <c r="DU58" s="14">
        <f t="shared" si="40"/>
        <v>370931.1099999994</v>
      </c>
      <c r="DV58" s="14">
        <f t="shared" si="40"/>
        <v>2820931.1099999994</v>
      </c>
      <c r="DW58" s="14">
        <f t="shared" si="40"/>
        <v>12570931.109999999</v>
      </c>
      <c r="DX58" s="14">
        <f t="shared" si="40"/>
        <v>10620931.109999999</v>
      </c>
      <c r="DY58" s="14">
        <f t="shared" si="40"/>
        <v>10620931.109999999</v>
      </c>
      <c r="DZ58" s="39">
        <f>DY58+DZ55+4765.54</f>
        <v>6525696.6499999994</v>
      </c>
      <c r="EA58" s="14">
        <f t="shared" si="40"/>
        <v>6375696.6499999994</v>
      </c>
      <c r="EB58" s="14">
        <f t="shared" si="40"/>
        <v>10975696.649999999</v>
      </c>
      <c r="EC58" s="14">
        <f t="shared" si="40"/>
        <v>9325696.6499999985</v>
      </c>
      <c r="ED58" s="14">
        <f t="shared" si="40"/>
        <v>16975696.649999999</v>
      </c>
      <c r="EE58" s="14">
        <f t="shared" si="40"/>
        <v>14625696.649999999</v>
      </c>
      <c r="EF58" s="14">
        <f t="shared" si="40"/>
        <v>64225696.649999999</v>
      </c>
      <c r="EG58" s="14">
        <f t="shared" si="40"/>
        <v>64125696.649999999</v>
      </c>
      <c r="EH58" s="14">
        <f t="shared" si="40"/>
        <v>62325696.649999999</v>
      </c>
      <c r="EI58" s="14">
        <f t="shared" si="40"/>
        <v>70975696.650000006</v>
      </c>
      <c r="EJ58" s="230">
        <f t="shared" si="40"/>
        <v>5625696.650000006</v>
      </c>
      <c r="EK58" s="14">
        <f t="shared" si="40"/>
        <v>13675696.650000006</v>
      </c>
      <c r="EL58" s="14">
        <f t="shared" si="40"/>
        <v>14925696.650000006</v>
      </c>
      <c r="EM58" s="14">
        <f t="shared" si="40"/>
        <v>13025696.650000006</v>
      </c>
      <c r="EN58" s="14">
        <f t="shared" si="40"/>
        <v>12575696.650000006</v>
      </c>
      <c r="EO58" s="14">
        <f t="shared" si="40"/>
        <v>10475696.650000006</v>
      </c>
      <c r="EP58" s="14">
        <f t="shared" si="40"/>
        <v>6375696.650000006</v>
      </c>
      <c r="EQ58" s="14">
        <f t="shared" si="40"/>
        <v>20075696.650000006</v>
      </c>
      <c r="ER58" s="14">
        <f t="shared" si="40"/>
        <v>17325696.650000006</v>
      </c>
      <c r="ES58" s="14">
        <f t="shared" si="40"/>
        <v>17075696.650000006</v>
      </c>
      <c r="ET58" s="14">
        <f t="shared" si="40"/>
        <v>16125696.650000006</v>
      </c>
      <c r="EU58" s="39">
        <f t="shared" si="40"/>
        <v>12575696.650000006</v>
      </c>
      <c r="EV58" s="14">
        <f t="shared" ref="EV58:GA58" si="41">EU58+EV55</f>
        <v>10175696.650000006</v>
      </c>
      <c r="EW58" s="14">
        <f t="shared" si="41"/>
        <v>11125696.650000006</v>
      </c>
      <c r="EX58" s="14">
        <f t="shared" si="41"/>
        <v>11025696.650000006</v>
      </c>
      <c r="EY58" s="14">
        <f t="shared" si="41"/>
        <v>11025696.650000006</v>
      </c>
      <c r="EZ58" s="14">
        <f t="shared" si="41"/>
        <v>9725696.650000006</v>
      </c>
      <c r="FA58" s="14">
        <f t="shared" si="41"/>
        <v>10225696.650000006</v>
      </c>
      <c r="FB58" s="14">
        <f t="shared" si="41"/>
        <v>8725696.650000006</v>
      </c>
      <c r="FC58" s="14">
        <f t="shared" si="41"/>
        <v>8425696.650000006</v>
      </c>
      <c r="FD58" s="14">
        <f t="shared" si="41"/>
        <v>6925696.650000006</v>
      </c>
      <c r="FE58" s="230">
        <f t="shared" si="41"/>
        <v>6925696.650000006</v>
      </c>
      <c r="FF58" s="14">
        <f t="shared" si="41"/>
        <v>5725696.650000006</v>
      </c>
      <c r="FG58" s="14">
        <f t="shared" si="41"/>
        <v>5125696.650000006</v>
      </c>
      <c r="FH58" s="14">
        <f t="shared" si="41"/>
        <v>13925696.650000006</v>
      </c>
      <c r="FI58" s="14">
        <f t="shared" si="41"/>
        <v>9425696.650000006</v>
      </c>
      <c r="FJ58" s="80">
        <f t="shared" si="41"/>
        <v>9075696.650000006</v>
      </c>
      <c r="FK58" s="14">
        <f t="shared" si="41"/>
        <v>7275696.650000006</v>
      </c>
      <c r="FL58" s="14">
        <f t="shared" si="41"/>
        <v>9825696.650000006</v>
      </c>
      <c r="FM58" s="14">
        <f t="shared" si="41"/>
        <v>68525696.650000006</v>
      </c>
      <c r="FN58" s="14">
        <f t="shared" si="41"/>
        <v>64225696.650000006</v>
      </c>
      <c r="FO58" s="14">
        <f t="shared" si="41"/>
        <v>30975696.650000006</v>
      </c>
      <c r="FP58" s="39">
        <f t="shared" si="41"/>
        <v>35125696.650000006</v>
      </c>
      <c r="FQ58" s="14">
        <f t="shared" si="41"/>
        <v>34775696.650000006</v>
      </c>
      <c r="FR58" s="14">
        <f t="shared" si="41"/>
        <v>30875696.650000006</v>
      </c>
      <c r="FS58" s="14">
        <f t="shared" si="41"/>
        <v>27475696.650000006</v>
      </c>
      <c r="FT58" s="14">
        <f t="shared" si="41"/>
        <v>11225696.650000006</v>
      </c>
      <c r="FU58" s="14">
        <f t="shared" si="41"/>
        <v>10875696.650000006</v>
      </c>
      <c r="FV58" s="14">
        <f t="shared" si="41"/>
        <v>10575696.650000006</v>
      </c>
      <c r="FW58" s="14">
        <f t="shared" si="41"/>
        <v>10475696.650000006</v>
      </c>
      <c r="FX58" s="14">
        <f t="shared" si="41"/>
        <v>7475696.650000006</v>
      </c>
      <c r="FY58" s="14">
        <f t="shared" si="41"/>
        <v>17375696.650000006</v>
      </c>
      <c r="FZ58" s="230">
        <f t="shared" si="41"/>
        <v>17375696.650000006</v>
      </c>
      <c r="GA58" s="14">
        <f t="shared" si="41"/>
        <v>10525696.650000006</v>
      </c>
      <c r="GB58" s="14">
        <f t="shared" ref="GB58:HF58" si="42">GA58+GB55</f>
        <v>11625696.650000006</v>
      </c>
      <c r="GC58" s="14">
        <f t="shared" si="42"/>
        <v>13575696.650000006</v>
      </c>
      <c r="GD58" s="14">
        <f t="shared" si="42"/>
        <v>11675696.650000006</v>
      </c>
      <c r="GE58" s="14">
        <f t="shared" si="42"/>
        <v>12825696.650000006</v>
      </c>
      <c r="GF58" s="14">
        <f t="shared" si="42"/>
        <v>14875696.650000006</v>
      </c>
      <c r="GG58" s="14">
        <f t="shared" si="42"/>
        <v>34125696.650000006</v>
      </c>
      <c r="GH58" s="14">
        <f t="shared" si="42"/>
        <v>36025696.650000006</v>
      </c>
      <c r="GI58" s="14">
        <f t="shared" si="42"/>
        <v>39725696.650000006</v>
      </c>
      <c r="GJ58" s="14">
        <f t="shared" si="42"/>
        <v>59575696.650000006</v>
      </c>
      <c r="GK58" s="39">
        <f t="shared" si="42"/>
        <v>36875696.650000006</v>
      </c>
      <c r="GL58" s="14">
        <f t="shared" si="42"/>
        <v>35125696.650000006</v>
      </c>
      <c r="GM58" s="14">
        <f t="shared" si="42"/>
        <v>37875696.650000006</v>
      </c>
      <c r="GN58" s="14">
        <f t="shared" si="42"/>
        <v>37475696.650000006</v>
      </c>
      <c r="GO58" s="14">
        <f t="shared" si="42"/>
        <v>41075696.650000006</v>
      </c>
      <c r="GP58" s="14">
        <f t="shared" si="42"/>
        <v>26575696.650000006</v>
      </c>
      <c r="GQ58" s="14">
        <f t="shared" si="42"/>
        <v>25975696.650000006</v>
      </c>
      <c r="GR58" s="14">
        <f t="shared" si="42"/>
        <v>26775696.650000006</v>
      </c>
      <c r="GS58" s="14">
        <f t="shared" si="42"/>
        <v>25875696.650000006</v>
      </c>
      <c r="GT58" s="230">
        <f t="shared" si="42"/>
        <v>12475696.650000006</v>
      </c>
      <c r="GU58" s="14">
        <f t="shared" si="42"/>
        <v>10525696.650000006</v>
      </c>
      <c r="GV58" s="14">
        <f t="shared" si="42"/>
        <v>16875696.650000006</v>
      </c>
      <c r="GW58" s="14">
        <f t="shared" si="42"/>
        <v>14175696.650000006</v>
      </c>
      <c r="GX58" s="14">
        <f t="shared" si="42"/>
        <v>15675696.650000006</v>
      </c>
      <c r="GY58" s="14">
        <f t="shared" si="42"/>
        <v>16275696.650000006</v>
      </c>
      <c r="GZ58" s="14">
        <f t="shared" si="42"/>
        <v>8525696.650000006</v>
      </c>
      <c r="HA58" s="14">
        <f t="shared" si="42"/>
        <v>9025696.650000006</v>
      </c>
      <c r="HB58" s="14">
        <f t="shared" si="42"/>
        <v>8775696.650000006</v>
      </c>
      <c r="HC58" s="14">
        <f t="shared" si="42"/>
        <v>14625696.650000006</v>
      </c>
      <c r="HD58" s="39">
        <f t="shared" si="42"/>
        <v>19275696.650000006</v>
      </c>
      <c r="HE58" s="14">
        <f t="shared" si="42"/>
        <v>19425696.650000006</v>
      </c>
      <c r="HF58" s="14">
        <f t="shared" si="42"/>
        <v>22125696.650000006</v>
      </c>
      <c r="HG58" s="14">
        <f t="shared" ref="HG58:IK58" si="43">HF58+HG55</f>
        <v>22125696.650000006</v>
      </c>
      <c r="HH58" s="14">
        <f t="shared" si="43"/>
        <v>10975696.650000006</v>
      </c>
      <c r="HI58" s="14">
        <f t="shared" si="43"/>
        <v>8275696.650000006</v>
      </c>
      <c r="HJ58" s="14">
        <v>9035381.5800000001</v>
      </c>
      <c r="HK58" s="14">
        <f t="shared" si="43"/>
        <v>17935381.579999998</v>
      </c>
      <c r="HL58" s="14">
        <f t="shared" si="43"/>
        <v>20035381.579999998</v>
      </c>
      <c r="HM58" s="14">
        <f t="shared" si="43"/>
        <v>19435381.579999998</v>
      </c>
      <c r="HN58" s="14">
        <f t="shared" si="43"/>
        <v>19435381.579999998</v>
      </c>
      <c r="HO58" s="230">
        <f t="shared" si="43"/>
        <v>2385381.5799999982</v>
      </c>
      <c r="HP58" s="14">
        <f t="shared" si="43"/>
        <v>7935381.5799999982</v>
      </c>
      <c r="HQ58" s="14">
        <f t="shared" si="43"/>
        <v>7935381.5799999982</v>
      </c>
      <c r="HR58" s="14">
        <f t="shared" si="43"/>
        <v>7935381.5799999982</v>
      </c>
      <c r="HS58" s="14">
        <f t="shared" si="43"/>
        <v>7935381.5799999982</v>
      </c>
      <c r="HT58" s="14">
        <f t="shared" si="43"/>
        <v>7935381.5799999982</v>
      </c>
      <c r="HU58" s="14">
        <f t="shared" si="43"/>
        <v>8835381.5799999982</v>
      </c>
      <c r="HV58" s="14">
        <f t="shared" si="43"/>
        <v>8835381.5799999982</v>
      </c>
      <c r="HW58" s="14">
        <f t="shared" si="43"/>
        <v>7835381.5799999982</v>
      </c>
      <c r="HX58" s="14">
        <f t="shared" si="43"/>
        <v>7835381.5799999982</v>
      </c>
      <c r="HY58" s="14">
        <f t="shared" si="43"/>
        <v>7835381.5799999982</v>
      </c>
      <c r="HZ58" s="39">
        <f t="shared" si="43"/>
        <v>7835381.5799999982</v>
      </c>
      <c r="IA58" s="14">
        <f t="shared" si="43"/>
        <v>10785381.579999998</v>
      </c>
      <c r="IB58" s="14">
        <f t="shared" si="43"/>
        <v>15385381.579999998</v>
      </c>
      <c r="IC58" s="14">
        <f t="shared" si="43"/>
        <v>15385381.579999998</v>
      </c>
      <c r="ID58" s="14">
        <f t="shared" si="43"/>
        <v>15385381.579999998</v>
      </c>
      <c r="IE58" s="14">
        <f t="shared" si="43"/>
        <v>15385381.579999998</v>
      </c>
      <c r="IF58" s="14">
        <f t="shared" si="43"/>
        <v>21785381.579999998</v>
      </c>
      <c r="IG58" s="14">
        <f t="shared" si="43"/>
        <v>21785381.579999998</v>
      </c>
      <c r="IH58" s="14">
        <f t="shared" si="43"/>
        <v>33735381.579999998</v>
      </c>
      <c r="II58" s="14">
        <f t="shared" si="43"/>
        <v>45035381.579999998</v>
      </c>
      <c r="IJ58" s="230">
        <f t="shared" si="43"/>
        <v>19335381.579999998</v>
      </c>
      <c r="IK58" s="14">
        <f t="shared" si="43"/>
        <v>21485381.579999998</v>
      </c>
      <c r="IL58" s="14">
        <f t="shared" ref="IL58:IT58" si="44">IK58+IL55</f>
        <v>21485381.579999998</v>
      </c>
      <c r="IM58" s="14">
        <f t="shared" si="44"/>
        <v>20585381.579999998</v>
      </c>
      <c r="IN58" s="14">
        <f t="shared" si="44"/>
        <v>20585381.579999998</v>
      </c>
      <c r="IO58" s="14">
        <f t="shared" si="44"/>
        <v>20585381.579999998</v>
      </c>
      <c r="IP58" s="14">
        <f t="shared" si="44"/>
        <v>20585381.579999998</v>
      </c>
      <c r="IQ58" s="14">
        <f t="shared" si="44"/>
        <v>20585381.579999998</v>
      </c>
      <c r="IR58" s="14">
        <f>IQ58+IR55</f>
        <v>20585381.579999998</v>
      </c>
      <c r="IS58" s="14">
        <f>IR58+IS55</f>
        <v>20585381.579999998</v>
      </c>
      <c r="IT58" s="39">
        <f t="shared" si="44"/>
        <v>20585381.579999998</v>
      </c>
      <c r="IU58" s="14"/>
    </row>
    <row r="59" spans="1:255" ht="14.1" customHeight="1">
      <c r="A59" s="14" t="s">
        <v>140</v>
      </c>
      <c r="B59" s="14"/>
      <c r="C59" s="39"/>
      <c r="D59" s="14"/>
      <c r="E59" s="14"/>
      <c r="F59" s="14"/>
      <c r="G59" s="14"/>
      <c r="H59" s="14"/>
      <c r="I59" s="14"/>
      <c r="J59" s="14"/>
      <c r="K59" s="14"/>
      <c r="L59" s="14"/>
      <c r="M59" s="230"/>
      <c r="N59" s="14"/>
      <c r="O59" s="14"/>
      <c r="P59" s="14"/>
      <c r="Q59" s="14"/>
      <c r="R59" s="14"/>
      <c r="S59" s="14"/>
      <c r="T59" s="14"/>
      <c r="U59" s="14"/>
      <c r="V59" s="39"/>
      <c r="W59" s="14"/>
      <c r="X59" s="14"/>
      <c r="Y59" s="14"/>
      <c r="Z59" s="14"/>
      <c r="AA59" s="14"/>
      <c r="AB59" s="14"/>
      <c r="AC59" s="14"/>
      <c r="AD59" s="14"/>
      <c r="AE59" s="14"/>
      <c r="AF59" s="230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39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230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39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230"/>
      <c r="BZ59" s="14"/>
      <c r="CA59" s="14"/>
      <c r="CB59" s="14"/>
      <c r="CC59" s="14"/>
      <c r="CD59" s="14"/>
      <c r="CE59" s="14"/>
      <c r="CF59" s="14"/>
      <c r="CG59" s="14"/>
      <c r="CH59" s="39"/>
      <c r="CI59" s="14"/>
      <c r="CJ59" s="14"/>
      <c r="CK59" s="14"/>
      <c r="CL59" s="14"/>
      <c r="CM59" s="14"/>
      <c r="CN59" s="14"/>
      <c r="CO59" s="14">
        <v>0</v>
      </c>
      <c r="CP59" s="14">
        <f t="shared" ref="CP59:DU59" si="45">+CO59-CP21+CP52</f>
        <v>0</v>
      </c>
      <c r="CQ59" s="14">
        <f t="shared" si="45"/>
        <v>50000000</v>
      </c>
      <c r="CR59" s="14">
        <f t="shared" si="45"/>
        <v>50000000</v>
      </c>
      <c r="CS59" s="230">
        <f t="shared" si="45"/>
        <v>50000000</v>
      </c>
      <c r="CT59" s="14">
        <f t="shared" si="45"/>
        <v>50000000</v>
      </c>
      <c r="CU59" s="14">
        <f t="shared" si="45"/>
        <v>50000000</v>
      </c>
      <c r="CV59" s="14">
        <f t="shared" si="45"/>
        <v>50000000</v>
      </c>
      <c r="CW59" s="14">
        <f t="shared" si="45"/>
        <v>50000000</v>
      </c>
      <c r="CX59" s="14">
        <f t="shared" si="45"/>
        <v>50000000</v>
      </c>
      <c r="CY59" s="14">
        <f t="shared" si="45"/>
        <v>50000000</v>
      </c>
      <c r="CZ59" s="14">
        <f t="shared" si="45"/>
        <v>50000000</v>
      </c>
      <c r="DA59" s="14">
        <f t="shared" si="45"/>
        <v>50000000</v>
      </c>
      <c r="DB59" s="14">
        <f t="shared" si="45"/>
        <v>50000000</v>
      </c>
      <c r="DC59" s="14">
        <f t="shared" si="45"/>
        <v>50000000</v>
      </c>
      <c r="DD59" s="14">
        <f t="shared" si="45"/>
        <v>50000000</v>
      </c>
      <c r="DE59" s="14">
        <f>+DD59-DE21+DE52+8219.1</f>
        <v>50008219.100000001</v>
      </c>
      <c r="DF59" s="14">
        <f t="shared" si="45"/>
        <v>50008219.100000001</v>
      </c>
      <c r="DG59" s="14">
        <f t="shared" si="45"/>
        <v>50008219.100000001</v>
      </c>
      <c r="DH59" s="14">
        <f t="shared" si="45"/>
        <v>50008219.100000001</v>
      </c>
      <c r="DI59" s="14">
        <f t="shared" si="45"/>
        <v>50008219.100000001</v>
      </c>
      <c r="DJ59" s="14">
        <f t="shared" si="45"/>
        <v>50008219.100000001</v>
      </c>
      <c r="DK59" s="14">
        <f t="shared" si="45"/>
        <v>50008219.100000001</v>
      </c>
      <c r="DL59" s="14">
        <f t="shared" si="45"/>
        <v>50008219.100000001</v>
      </c>
      <c r="DM59" s="14">
        <f t="shared" si="45"/>
        <v>25008219.100000001</v>
      </c>
      <c r="DN59" s="230">
        <f t="shared" si="45"/>
        <v>25008219.100000001</v>
      </c>
      <c r="DO59" s="14">
        <f t="shared" si="45"/>
        <v>25008219.100000001</v>
      </c>
      <c r="DP59" s="14">
        <f t="shared" si="45"/>
        <v>25008219.100000001</v>
      </c>
      <c r="DQ59" s="14">
        <f t="shared" si="45"/>
        <v>25008219.100000001</v>
      </c>
      <c r="DR59" s="14">
        <f t="shared" si="45"/>
        <v>25008219.100000001</v>
      </c>
      <c r="DS59" s="14">
        <f t="shared" si="45"/>
        <v>25008219.100000001</v>
      </c>
      <c r="DT59" s="14">
        <f t="shared" si="45"/>
        <v>25008219.100000001</v>
      </c>
      <c r="DU59" s="14">
        <f t="shared" si="45"/>
        <v>25008219.100000001</v>
      </c>
      <c r="DV59" s="14">
        <f t="shared" ref="DV59:FA59" si="46">+DU59-DV21+DV52</f>
        <v>25008219.100000001</v>
      </c>
      <c r="DW59" s="14">
        <f t="shared" si="46"/>
        <v>25008219.100000001</v>
      </c>
      <c r="DX59" s="14">
        <f t="shared" si="46"/>
        <v>25008219.100000001</v>
      </c>
      <c r="DY59" s="14">
        <f t="shared" si="46"/>
        <v>25008219.100000001</v>
      </c>
      <c r="DZ59" s="14">
        <v>25032059.870000001</v>
      </c>
      <c r="EA59" s="14">
        <f t="shared" si="46"/>
        <v>25032059.870000001</v>
      </c>
      <c r="EB59" s="14">
        <f t="shared" si="46"/>
        <v>25032059.870000001</v>
      </c>
      <c r="EC59" s="14">
        <f t="shared" si="46"/>
        <v>25032059.870000001</v>
      </c>
      <c r="ED59" s="14">
        <f t="shared" si="46"/>
        <v>5032059.870000001</v>
      </c>
      <c r="EE59" s="14">
        <f t="shared" si="46"/>
        <v>5032059.870000001</v>
      </c>
      <c r="EF59" s="14">
        <f t="shared" si="46"/>
        <v>5032059.870000001</v>
      </c>
      <c r="EG59" s="14">
        <f t="shared" si="46"/>
        <v>5032059.870000001</v>
      </c>
      <c r="EH59" s="14">
        <f t="shared" si="46"/>
        <v>5032059.870000001</v>
      </c>
      <c r="EI59" s="14">
        <f t="shared" si="46"/>
        <v>5032059.870000001</v>
      </c>
      <c r="EJ59" s="230">
        <f t="shared" si="46"/>
        <v>5032059.870000001</v>
      </c>
      <c r="EK59" s="14">
        <f t="shared" si="46"/>
        <v>5032059.870000001</v>
      </c>
      <c r="EL59" s="14">
        <f t="shared" si="46"/>
        <v>15032059.870000001</v>
      </c>
      <c r="EM59" s="14">
        <f t="shared" si="46"/>
        <v>15032059.870000001</v>
      </c>
      <c r="EN59" s="14">
        <f t="shared" si="46"/>
        <v>15032059.870000001</v>
      </c>
      <c r="EO59" s="14">
        <f t="shared" si="46"/>
        <v>15032059.870000001</v>
      </c>
      <c r="EP59" s="14">
        <f t="shared" si="46"/>
        <v>15032059.870000001</v>
      </c>
      <c r="EQ59" s="14">
        <f t="shared" si="46"/>
        <v>75032059.870000005</v>
      </c>
      <c r="ER59" s="14">
        <f t="shared" si="46"/>
        <v>75032059.870000005</v>
      </c>
      <c r="ES59" s="14">
        <f t="shared" si="46"/>
        <v>75032059.870000005</v>
      </c>
      <c r="ET59" s="14">
        <f t="shared" si="46"/>
        <v>75032059.870000005</v>
      </c>
      <c r="EU59" s="14">
        <f t="shared" si="46"/>
        <v>75032059.870000005</v>
      </c>
      <c r="EV59" s="14">
        <f t="shared" si="46"/>
        <v>75032059.870000005</v>
      </c>
      <c r="EW59" s="14">
        <f t="shared" si="46"/>
        <v>75032059.870000005</v>
      </c>
      <c r="EX59" s="14">
        <f t="shared" si="46"/>
        <v>75032059.870000005</v>
      </c>
      <c r="EY59" s="14">
        <f t="shared" si="46"/>
        <v>59532059.870000005</v>
      </c>
      <c r="EZ59" s="14">
        <f t="shared" si="46"/>
        <v>59532059.870000005</v>
      </c>
      <c r="FA59" s="14">
        <f t="shared" si="46"/>
        <v>59532059.870000005</v>
      </c>
      <c r="FB59" s="14">
        <f t="shared" ref="FB59:GG59" si="47">+FA59-FB21+FB52</f>
        <v>74532059.870000005</v>
      </c>
      <c r="FC59" s="14">
        <f t="shared" si="47"/>
        <v>74532059.870000005</v>
      </c>
      <c r="FD59" s="14">
        <f t="shared" si="47"/>
        <v>74532059.870000005</v>
      </c>
      <c r="FE59" s="230">
        <f t="shared" si="47"/>
        <v>7832059.8700000048</v>
      </c>
      <c r="FF59" s="14">
        <f t="shared" si="47"/>
        <v>7832059.8700000048</v>
      </c>
      <c r="FG59" s="14">
        <f t="shared" si="47"/>
        <v>7832059.8700000048</v>
      </c>
      <c r="FH59" s="14">
        <f t="shared" si="47"/>
        <v>7832059.8700000048</v>
      </c>
      <c r="FI59" s="14">
        <f t="shared" si="47"/>
        <v>7832059.8700000048</v>
      </c>
      <c r="FJ59" s="230">
        <f t="shared" si="47"/>
        <v>7832059.8700000048</v>
      </c>
      <c r="FK59" s="14">
        <f t="shared" si="47"/>
        <v>7832059.8700000048</v>
      </c>
      <c r="FL59" s="14">
        <f t="shared" si="47"/>
        <v>7832059.8700000048</v>
      </c>
      <c r="FM59" s="14">
        <f t="shared" si="47"/>
        <v>67832059.870000005</v>
      </c>
      <c r="FN59" s="14">
        <f t="shared" si="47"/>
        <v>67832059.870000005</v>
      </c>
      <c r="FO59" s="14">
        <f t="shared" si="47"/>
        <v>67832059.870000005</v>
      </c>
      <c r="FP59" s="14">
        <f t="shared" si="47"/>
        <v>67832059.870000005</v>
      </c>
      <c r="FQ59" s="14">
        <f t="shared" si="47"/>
        <v>67832059.870000005</v>
      </c>
      <c r="FR59" s="14">
        <f t="shared" si="47"/>
        <v>67832059.870000005</v>
      </c>
      <c r="FS59" s="14">
        <f t="shared" si="47"/>
        <v>67832059.870000005</v>
      </c>
      <c r="FT59" s="14">
        <f t="shared" si="47"/>
        <v>67832059.870000005</v>
      </c>
      <c r="FU59" s="14">
        <f t="shared" si="47"/>
        <v>67832059.870000005</v>
      </c>
      <c r="FV59" s="14">
        <f t="shared" si="47"/>
        <v>67832059.870000005</v>
      </c>
      <c r="FW59" s="14">
        <f t="shared" si="47"/>
        <v>67832059.870000005</v>
      </c>
      <c r="FX59" s="14">
        <f t="shared" si="47"/>
        <v>67832059.870000005</v>
      </c>
      <c r="FY59" s="14">
        <f t="shared" si="47"/>
        <v>67832059.870000005</v>
      </c>
      <c r="FZ59" s="230">
        <f t="shared" si="47"/>
        <v>8132059.8700000048</v>
      </c>
      <c r="GA59" s="14">
        <f t="shared" si="47"/>
        <v>8132059.8700000048</v>
      </c>
      <c r="GB59" s="14">
        <f t="shared" si="47"/>
        <v>8132059.8700000048</v>
      </c>
      <c r="GC59" s="14">
        <f t="shared" si="47"/>
        <v>8132059.8700000048</v>
      </c>
      <c r="GD59" s="14">
        <f t="shared" si="47"/>
        <v>8132059.8700000048</v>
      </c>
      <c r="GE59" s="14">
        <f t="shared" si="47"/>
        <v>8132059.8700000048</v>
      </c>
      <c r="GF59" s="14">
        <f t="shared" si="47"/>
        <v>8132059.8700000048</v>
      </c>
      <c r="GG59" s="14">
        <f t="shared" si="47"/>
        <v>73132059.870000005</v>
      </c>
      <c r="GH59" s="14">
        <f t="shared" ref="GH59:HK59" si="48">+GG59-GH21+GH52</f>
        <v>73132059.870000005</v>
      </c>
      <c r="GI59" s="14">
        <f t="shared" si="48"/>
        <v>73132059.870000005</v>
      </c>
      <c r="GJ59" s="14">
        <f t="shared" si="48"/>
        <v>73132059.870000005</v>
      </c>
      <c r="GK59" s="14">
        <f t="shared" si="48"/>
        <v>93132059.870000005</v>
      </c>
      <c r="GL59" s="14">
        <f t="shared" si="48"/>
        <v>93132059.870000005</v>
      </c>
      <c r="GM59" s="14">
        <f t="shared" si="48"/>
        <v>93132059.870000005</v>
      </c>
      <c r="GN59" s="14">
        <f t="shared" si="48"/>
        <v>93132059.870000005</v>
      </c>
      <c r="GO59" s="14">
        <f t="shared" si="48"/>
        <v>93132059.870000005</v>
      </c>
      <c r="GP59" s="14">
        <f t="shared" si="48"/>
        <v>93132059.870000005</v>
      </c>
      <c r="GQ59" s="14">
        <f t="shared" si="48"/>
        <v>93132059.870000005</v>
      </c>
      <c r="GR59" s="14">
        <f t="shared" si="48"/>
        <v>93132059.870000005</v>
      </c>
      <c r="GS59" s="14">
        <f t="shared" si="48"/>
        <v>93132059.870000005</v>
      </c>
      <c r="GT59" s="230">
        <f t="shared" si="48"/>
        <v>38132059.870000005</v>
      </c>
      <c r="GU59" s="14">
        <f t="shared" si="48"/>
        <v>38132059.870000005</v>
      </c>
      <c r="GV59" s="14">
        <f t="shared" si="48"/>
        <v>38132059.870000005</v>
      </c>
      <c r="GW59" s="14">
        <f t="shared" si="48"/>
        <v>38132059.870000005</v>
      </c>
      <c r="GX59" s="14">
        <f t="shared" si="48"/>
        <v>38132059.870000005</v>
      </c>
      <c r="GY59" s="14">
        <f t="shared" si="48"/>
        <v>38132059.870000005</v>
      </c>
      <c r="GZ59" s="14">
        <f t="shared" si="48"/>
        <v>38132059.870000005</v>
      </c>
      <c r="HA59" s="14">
        <f t="shared" si="48"/>
        <v>38132059.870000005</v>
      </c>
      <c r="HB59" s="14">
        <f t="shared" si="48"/>
        <v>38132059.870000005</v>
      </c>
      <c r="HC59" s="14">
        <f t="shared" si="48"/>
        <v>38132059.870000005</v>
      </c>
      <c r="HD59" s="14">
        <f t="shared" si="48"/>
        <v>38132059.870000005</v>
      </c>
      <c r="HE59" s="14">
        <f t="shared" si="48"/>
        <v>38132059.870000005</v>
      </c>
      <c r="HF59" s="14">
        <f t="shared" si="48"/>
        <v>38132059.870000005</v>
      </c>
      <c r="HG59" s="14">
        <v>40436235.420000002</v>
      </c>
      <c r="HH59" s="14">
        <f t="shared" si="48"/>
        <v>40436235.420000002</v>
      </c>
      <c r="HI59" s="14">
        <f t="shared" si="48"/>
        <v>40436235.420000002</v>
      </c>
      <c r="HJ59" s="14">
        <f t="shared" si="48"/>
        <v>40436235.420000002</v>
      </c>
      <c r="HK59" s="14">
        <f t="shared" si="48"/>
        <v>40436235.420000002</v>
      </c>
      <c r="HL59" s="14">
        <f t="shared" ref="HL59:IU59" si="49">+HK59-HL21+HL52</f>
        <v>40436235.420000002</v>
      </c>
      <c r="HM59" s="14">
        <f t="shared" si="49"/>
        <v>40436235.420000002</v>
      </c>
      <c r="HN59" s="14">
        <f t="shared" si="49"/>
        <v>45936235.420000002</v>
      </c>
      <c r="HO59" s="230">
        <f t="shared" si="49"/>
        <v>5036235.4200000018</v>
      </c>
      <c r="HP59" s="14">
        <f t="shared" si="49"/>
        <v>5036235.4200000018</v>
      </c>
      <c r="HQ59" s="14">
        <f t="shared" si="49"/>
        <v>9336235.4200000018</v>
      </c>
      <c r="HR59" s="14">
        <f t="shared" si="49"/>
        <v>5736235.4200000018</v>
      </c>
      <c r="HS59" s="14">
        <f t="shared" si="49"/>
        <v>14736235.420000002</v>
      </c>
      <c r="HT59" s="14">
        <f t="shared" si="49"/>
        <v>31586235.420000002</v>
      </c>
      <c r="HU59" s="14">
        <f t="shared" si="49"/>
        <v>31586235.420000002</v>
      </c>
      <c r="HV59" s="14">
        <f t="shared" si="49"/>
        <v>59336235.420000002</v>
      </c>
      <c r="HW59" s="14">
        <f t="shared" si="49"/>
        <v>59336235.420000002</v>
      </c>
      <c r="HX59" s="14">
        <f t="shared" si="49"/>
        <v>65036235.420000002</v>
      </c>
      <c r="HY59" s="14">
        <f t="shared" si="49"/>
        <v>55686235.420000002</v>
      </c>
      <c r="HZ59" s="14">
        <f t="shared" si="49"/>
        <v>70786235.420000002</v>
      </c>
      <c r="IA59" s="14">
        <f t="shared" si="49"/>
        <v>70786235.420000002</v>
      </c>
      <c r="IB59" s="14">
        <f t="shared" si="49"/>
        <v>105786235.42</v>
      </c>
      <c r="IC59" s="14">
        <f t="shared" si="49"/>
        <v>105786235.42</v>
      </c>
      <c r="ID59" s="14">
        <f t="shared" si="49"/>
        <v>115336235.42</v>
      </c>
      <c r="IE59" s="14">
        <f t="shared" si="49"/>
        <v>122286235.42</v>
      </c>
      <c r="IF59" s="14">
        <f t="shared" si="49"/>
        <v>122286235.42</v>
      </c>
      <c r="IG59" s="14">
        <f t="shared" si="49"/>
        <v>122436235.42</v>
      </c>
      <c r="IH59" s="14">
        <f t="shared" si="49"/>
        <v>172436235.42000002</v>
      </c>
      <c r="II59" s="14">
        <f t="shared" si="49"/>
        <v>172436235.42000002</v>
      </c>
      <c r="IJ59" s="230">
        <f t="shared" si="49"/>
        <v>147436235.42000002</v>
      </c>
      <c r="IK59" s="14">
        <f t="shared" si="49"/>
        <v>147436235.42000002</v>
      </c>
      <c r="IL59" s="14">
        <f t="shared" si="49"/>
        <v>162186235.42000002</v>
      </c>
      <c r="IM59" s="14">
        <f t="shared" si="49"/>
        <v>82986235.420000017</v>
      </c>
      <c r="IN59" s="14">
        <f t="shared" si="49"/>
        <v>98536235.420000017</v>
      </c>
      <c r="IO59" s="14">
        <f t="shared" si="49"/>
        <v>105536235.42000002</v>
      </c>
      <c r="IP59" s="14">
        <f t="shared" si="49"/>
        <v>124936235.42000002</v>
      </c>
      <c r="IQ59" s="14">
        <f t="shared" si="49"/>
        <v>140486235.42000002</v>
      </c>
      <c r="IR59" s="14">
        <f>+IQ59-IR21+IR52</f>
        <v>140486235.42000002</v>
      </c>
      <c r="IS59" s="14">
        <f>+IR59-IS21+IS52</f>
        <v>167236235.42000002</v>
      </c>
      <c r="IT59" s="14">
        <f t="shared" si="49"/>
        <v>167236235.42000002</v>
      </c>
      <c r="IU59" s="14">
        <f t="shared" si="49"/>
        <v>167236235.42000002</v>
      </c>
    </row>
    <row r="60" spans="1:255" ht="14.1" customHeight="1">
      <c r="A60" s="14" t="s">
        <v>69</v>
      </c>
      <c r="B60" s="14"/>
      <c r="C60" s="39">
        <v>0</v>
      </c>
      <c r="D60" s="14">
        <f t="shared" ref="D60:U60" si="50">+C60</f>
        <v>0</v>
      </c>
      <c r="E60" s="14">
        <f t="shared" si="50"/>
        <v>0</v>
      </c>
      <c r="F60" s="14">
        <f t="shared" si="50"/>
        <v>0</v>
      </c>
      <c r="G60" s="14">
        <f t="shared" si="50"/>
        <v>0</v>
      </c>
      <c r="H60" s="14">
        <f t="shared" si="50"/>
        <v>0</v>
      </c>
      <c r="I60" s="14">
        <f t="shared" si="50"/>
        <v>0</v>
      </c>
      <c r="J60" s="14">
        <f t="shared" si="50"/>
        <v>0</v>
      </c>
      <c r="K60" s="14">
        <f t="shared" si="50"/>
        <v>0</v>
      </c>
      <c r="L60" s="14">
        <f t="shared" si="50"/>
        <v>0</v>
      </c>
      <c r="M60" s="230">
        <f t="shared" si="50"/>
        <v>0</v>
      </c>
      <c r="N60" s="14">
        <f t="shared" si="50"/>
        <v>0</v>
      </c>
      <c r="O60" s="14">
        <f t="shared" si="50"/>
        <v>0</v>
      </c>
      <c r="P60" s="14">
        <f t="shared" si="50"/>
        <v>0</v>
      </c>
      <c r="Q60" s="14">
        <f t="shared" si="50"/>
        <v>0</v>
      </c>
      <c r="R60" s="14">
        <f t="shared" si="50"/>
        <v>0</v>
      </c>
      <c r="S60" s="14">
        <f t="shared" si="50"/>
        <v>0</v>
      </c>
      <c r="T60" s="14">
        <f t="shared" si="50"/>
        <v>0</v>
      </c>
      <c r="U60" s="14">
        <f t="shared" si="50"/>
        <v>0</v>
      </c>
      <c r="V60" s="14">
        <v>0</v>
      </c>
      <c r="W60" s="14">
        <f t="shared" ref="W60:BB60" si="51">+V60</f>
        <v>0</v>
      </c>
      <c r="X60" s="14">
        <f t="shared" si="51"/>
        <v>0</v>
      </c>
      <c r="Y60" s="14">
        <f t="shared" si="51"/>
        <v>0</v>
      </c>
      <c r="Z60" s="14">
        <f t="shared" si="51"/>
        <v>0</v>
      </c>
      <c r="AA60" s="14">
        <f t="shared" si="51"/>
        <v>0</v>
      </c>
      <c r="AB60" s="14">
        <f t="shared" si="51"/>
        <v>0</v>
      </c>
      <c r="AC60" s="14">
        <f t="shared" si="51"/>
        <v>0</v>
      </c>
      <c r="AD60" s="14">
        <f t="shared" si="51"/>
        <v>0</v>
      </c>
      <c r="AE60" s="14">
        <f t="shared" si="51"/>
        <v>0</v>
      </c>
      <c r="AF60" s="230">
        <f t="shared" si="51"/>
        <v>0</v>
      </c>
      <c r="AG60" s="14">
        <f t="shared" si="51"/>
        <v>0</v>
      </c>
      <c r="AH60" s="14">
        <f t="shared" si="51"/>
        <v>0</v>
      </c>
      <c r="AI60" s="14">
        <f t="shared" si="51"/>
        <v>0</v>
      </c>
      <c r="AJ60" s="14">
        <f t="shared" si="51"/>
        <v>0</v>
      </c>
      <c r="AK60" s="14">
        <f t="shared" si="51"/>
        <v>0</v>
      </c>
      <c r="AL60" s="14">
        <f t="shared" si="51"/>
        <v>0</v>
      </c>
      <c r="AM60" s="14">
        <f t="shared" si="51"/>
        <v>0</v>
      </c>
      <c r="AN60" s="14">
        <f t="shared" si="51"/>
        <v>0</v>
      </c>
      <c r="AO60" s="14">
        <f t="shared" si="51"/>
        <v>0</v>
      </c>
      <c r="AP60" s="14">
        <f t="shared" si="51"/>
        <v>0</v>
      </c>
      <c r="AQ60" s="14">
        <f t="shared" si="51"/>
        <v>0</v>
      </c>
      <c r="AR60" s="14">
        <f t="shared" si="51"/>
        <v>0</v>
      </c>
      <c r="AS60" s="14">
        <f t="shared" si="51"/>
        <v>0</v>
      </c>
      <c r="AT60" s="14">
        <f t="shared" si="51"/>
        <v>0</v>
      </c>
      <c r="AU60" s="14">
        <f t="shared" si="51"/>
        <v>0</v>
      </c>
      <c r="AV60" s="14">
        <f t="shared" si="51"/>
        <v>0</v>
      </c>
      <c r="AW60" s="14">
        <f t="shared" si="51"/>
        <v>0</v>
      </c>
      <c r="AX60" s="14">
        <f t="shared" si="51"/>
        <v>0</v>
      </c>
      <c r="AY60" s="14">
        <f t="shared" si="51"/>
        <v>0</v>
      </c>
      <c r="AZ60" s="14">
        <f t="shared" si="51"/>
        <v>0</v>
      </c>
      <c r="BA60" s="14">
        <f t="shared" si="51"/>
        <v>0</v>
      </c>
      <c r="BB60" s="14">
        <f t="shared" si="51"/>
        <v>0</v>
      </c>
      <c r="BC60" s="230">
        <f t="shared" ref="BC60:CH60" si="52">+BB60</f>
        <v>0</v>
      </c>
      <c r="BD60" s="14">
        <f t="shared" si="52"/>
        <v>0</v>
      </c>
      <c r="BE60" s="14">
        <f t="shared" si="52"/>
        <v>0</v>
      </c>
      <c r="BF60" s="14">
        <f t="shared" si="52"/>
        <v>0</v>
      </c>
      <c r="BG60" s="14">
        <f t="shared" si="52"/>
        <v>0</v>
      </c>
      <c r="BH60" s="14">
        <f t="shared" si="52"/>
        <v>0</v>
      </c>
      <c r="BI60" s="14">
        <f t="shared" si="52"/>
        <v>0</v>
      </c>
      <c r="BJ60" s="14">
        <f t="shared" si="52"/>
        <v>0</v>
      </c>
      <c r="BK60" s="14">
        <f t="shared" si="52"/>
        <v>0</v>
      </c>
      <c r="BL60" s="14">
        <f t="shared" si="52"/>
        <v>0</v>
      </c>
      <c r="BM60" s="14">
        <f t="shared" si="52"/>
        <v>0</v>
      </c>
      <c r="BN60" s="14">
        <f t="shared" si="52"/>
        <v>0</v>
      </c>
      <c r="BO60" s="14">
        <f t="shared" si="52"/>
        <v>0</v>
      </c>
      <c r="BP60" s="14">
        <f t="shared" si="52"/>
        <v>0</v>
      </c>
      <c r="BQ60" s="14">
        <f t="shared" si="52"/>
        <v>0</v>
      </c>
      <c r="BR60" s="14">
        <f t="shared" si="52"/>
        <v>0</v>
      </c>
      <c r="BS60" s="14">
        <f t="shared" si="52"/>
        <v>0</v>
      </c>
      <c r="BT60" s="14">
        <f t="shared" si="52"/>
        <v>0</v>
      </c>
      <c r="BU60" s="14">
        <f t="shared" si="52"/>
        <v>0</v>
      </c>
      <c r="BV60" s="14">
        <f t="shared" si="52"/>
        <v>0</v>
      </c>
      <c r="BW60" s="14">
        <f t="shared" si="52"/>
        <v>0</v>
      </c>
      <c r="BX60" s="14">
        <f t="shared" si="52"/>
        <v>0</v>
      </c>
      <c r="BY60" s="230">
        <f t="shared" si="52"/>
        <v>0</v>
      </c>
      <c r="BZ60" s="14">
        <f t="shared" si="52"/>
        <v>0</v>
      </c>
      <c r="CA60" s="14">
        <f t="shared" si="52"/>
        <v>0</v>
      </c>
      <c r="CB60" s="14">
        <f t="shared" si="52"/>
        <v>0</v>
      </c>
      <c r="CC60" s="14">
        <f t="shared" si="52"/>
        <v>0</v>
      </c>
      <c r="CD60" s="14">
        <f t="shared" si="52"/>
        <v>0</v>
      </c>
      <c r="CE60" s="14">
        <f t="shared" si="52"/>
        <v>0</v>
      </c>
      <c r="CF60" s="14">
        <f t="shared" si="52"/>
        <v>0</v>
      </c>
      <c r="CG60" s="14">
        <f t="shared" si="52"/>
        <v>0</v>
      </c>
      <c r="CH60" s="14">
        <f t="shared" si="52"/>
        <v>0</v>
      </c>
      <c r="CI60" s="14">
        <f t="shared" ref="CI60:DM60" si="53">+CH60</f>
        <v>0</v>
      </c>
      <c r="CJ60" s="14">
        <f t="shared" si="53"/>
        <v>0</v>
      </c>
      <c r="CK60" s="14">
        <f t="shared" si="53"/>
        <v>0</v>
      </c>
      <c r="CL60" s="14">
        <f t="shared" si="53"/>
        <v>0</v>
      </c>
      <c r="CM60" s="14">
        <f t="shared" si="53"/>
        <v>0</v>
      </c>
      <c r="CN60" s="14">
        <f t="shared" si="53"/>
        <v>0</v>
      </c>
      <c r="CO60" s="14">
        <f t="shared" si="53"/>
        <v>0</v>
      </c>
      <c r="CP60" s="14">
        <f t="shared" si="53"/>
        <v>0</v>
      </c>
      <c r="CQ60" s="14">
        <f t="shared" si="53"/>
        <v>0</v>
      </c>
      <c r="CR60" s="14">
        <f t="shared" si="53"/>
        <v>0</v>
      </c>
      <c r="CS60" s="230">
        <f t="shared" si="53"/>
        <v>0</v>
      </c>
      <c r="CT60" s="14">
        <f t="shared" si="53"/>
        <v>0</v>
      </c>
      <c r="CU60" s="14">
        <f t="shared" si="53"/>
        <v>0</v>
      </c>
      <c r="CV60" s="14">
        <f t="shared" si="53"/>
        <v>0</v>
      </c>
      <c r="CW60" s="14">
        <f t="shared" si="53"/>
        <v>0</v>
      </c>
      <c r="CX60" s="14">
        <f t="shared" si="53"/>
        <v>0</v>
      </c>
      <c r="CY60" s="14">
        <f t="shared" si="53"/>
        <v>0</v>
      </c>
      <c r="CZ60" s="14">
        <f t="shared" si="53"/>
        <v>0</v>
      </c>
      <c r="DA60" s="14">
        <f t="shared" si="53"/>
        <v>0</v>
      </c>
      <c r="DB60" s="14">
        <f t="shared" si="53"/>
        <v>0</v>
      </c>
      <c r="DC60" s="14">
        <f t="shared" si="53"/>
        <v>0</v>
      </c>
      <c r="DD60" s="14">
        <f t="shared" si="53"/>
        <v>0</v>
      </c>
      <c r="DE60" s="14">
        <f t="shared" si="53"/>
        <v>0</v>
      </c>
      <c r="DF60" s="14">
        <f t="shared" si="53"/>
        <v>0</v>
      </c>
      <c r="DG60" s="14">
        <f t="shared" si="53"/>
        <v>0</v>
      </c>
      <c r="DH60" s="14">
        <f t="shared" si="53"/>
        <v>0</v>
      </c>
      <c r="DI60" s="14">
        <f t="shared" si="53"/>
        <v>0</v>
      </c>
      <c r="DJ60" s="14">
        <f t="shared" si="53"/>
        <v>0</v>
      </c>
      <c r="DK60" s="14">
        <f t="shared" si="53"/>
        <v>0</v>
      </c>
      <c r="DL60" s="14">
        <f t="shared" si="53"/>
        <v>0</v>
      </c>
      <c r="DM60" s="14">
        <f t="shared" si="53"/>
        <v>0</v>
      </c>
      <c r="DN60" s="243">
        <f>+DN70</f>
        <v>0</v>
      </c>
      <c r="DO60" s="14">
        <f t="shared" ref="DO60:EI60" si="54">+DN60</f>
        <v>0</v>
      </c>
      <c r="DP60" s="14">
        <f t="shared" si="54"/>
        <v>0</v>
      </c>
      <c r="DQ60" s="14">
        <f t="shared" si="54"/>
        <v>0</v>
      </c>
      <c r="DR60" s="14">
        <f t="shared" si="54"/>
        <v>0</v>
      </c>
      <c r="DS60" s="14">
        <f t="shared" si="54"/>
        <v>0</v>
      </c>
      <c r="DT60" s="14">
        <f t="shared" si="54"/>
        <v>0</v>
      </c>
      <c r="DU60" s="14">
        <f t="shared" si="54"/>
        <v>0</v>
      </c>
      <c r="DV60" s="14">
        <f t="shared" si="54"/>
        <v>0</v>
      </c>
      <c r="DW60" s="14">
        <f t="shared" si="54"/>
        <v>0</v>
      </c>
      <c r="DX60" s="14">
        <f t="shared" si="54"/>
        <v>0</v>
      </c>
      <c r="DY60" s="14">
        <f t="shared" si="54"/>
        <v>0</v>
      </c>
      <c r="DZ60" s="14">
        <f t="shared" si="54"/>
        <v>0</v>
      </c>
      <c r="EA60" s="14">
        <f t="shared" si="54"/>
        <v>0</v>
      </c>
      <c r="EB60" s="14">
        <f t="shared" si="54"/>
        <v>0</v>
      </c>
      <c r="EC60" s="14">
        <f t="shared" si="54"/>
        <v>0</v>
      </c>
      <c r="ED60" s="14">
        <f t="shared" si="54"/>
        <v>0</v>
      </c>
      <c r="EE60" s="14">
        <f t="shared" si="54"/>
        <v>0</v>
      </c>
      <c r="EF60" s="14">
        <f t="shared" si="54"/>
        <v>0</v>
      </c>
      <c r="EG60" s="14">
        <f t="shared" si="54"/>
        <v>0</v>
      </c>
      <c r="EH60" s="14">
        <f t="shared" si="54"/>
        <v>0</v>
      </c>
      <c r="EI60" s="14">
        <f t="shared" si="54"/>
        <v>0</v>
      </c>
      <c r="EJ60" s="243">
        <v>0</v>
      </c>
      <c r="EK60" s="14">
        <f t="shared" ref="EK60:FD60" si="55">+EJ60</f>
        <v>0</v>
      </c>
      <c r="EL60" s="14">
        <f t="shared" si="55"/>
        <v>0</v>
      </c>
      <c r="EM60" s="14">
        <f t="shared" si="55"/>
        <v>0</v>
      </c>
      <c r="EN60" s="14">
        <f t="shared" si="55"/>
        <v>0</v>
      </c>
      <c r="EO60" s="14">
        <f t="shared" si="55"/>
        <v>0</v>
      </c>
      <c r="EP60" s="14">
        <f t="shared" si="55"/>
        <v>0</v>
      </c>
      <c r="EQ60" s="14">
        <f t="shared" si="55"/>
        <v>0</v>
      </c>
      <c r="ER60" s="14">
        <f t="shared" si="55"/>
        <v>0</v>
      </c>
      <c r="ES60" s="14">
        <f t="shared" si="55"/>
        <v>0</v>
      </c>
      <c r="ET60" s="14">
        <f t="shared" si="55"/>
        <v>0</v>
      </c>
      <c r="EU60" s="39">
        <f t="shared" si="55"/>
        <v>0</v>
      </c>
      <c r="EV60" s="14">
        <f t="shared" si="55"/>
        <v>0</v>
      </c>
      <c r="EW60" s="14">
        <f t="shared" si="55"/>
        <v>0</v>
      </c>
      <c r="EX60" s="14">
        <f t="shared" si="55"/>
        <v>0</v>
      </c>
      <c r="EY60" s="14">
        <f t="shared" si="55"/>
        <v>0</v>
      </c>
      <c r="EZ60" s="14">
        <f t="shared" si="55"/>
        <v>0</v>
      </c>
      <c r="FA60" s="14">
        <f t="shared" si="55"/>
        <v>0</v>
      </c>
      <c r="FB60" s="14">
        <f t="shared" si="55"/>
        <v>0</v>
      </c>
      <c r="FC60" s="14">
        <f t="shared" si="55"/>
        <v>0</v>
      </c>
      <c r="FD60" s="14">
        <f t="shared" si="55"/>
        <v>0</v>
      </c>
      <c r="FE60" s="243">
        <v>0</v>
      </c>
      <c r="FF60" s="14">
        <f t="shared" ref="FF60:GK60" si="56">+FE60</f>
        <v>0</v>
      </c>
      <c r="FG60" s="14">
        <f t="shared" si="56"/>
        <v>0</v>
      </c>
      <c r="FH60" s="14">
        <f t="shared" si="56"/>
        <v>0</v>
      </c>
      <c r="FI60" s="14">
        <f t="shared" si="56"/>
        <v>0</v>
      </c>
      <c r="FJ60" s="80">
        <f t="shared" si="56"/>
        <v>0</v>
      </c>
      <c r="FK60" s="14">
        <f t="shared" si="56"/>
        <v>0</v>
      </c>
      <c r="FL60" s="14">
        <f t="shared" si="56"/>
        <v>0</v>
      </c>
      <c r="FM60" s="14">
        <f t="shared" si="56"/>
        <v>0</v>
      </c>
      <c r="FN60" s="14">
        <f t="shared" si="56"/>
        <v>0</v>
      </c>
      <c r="FO60" s="14">
        <f t="shared" si="56"/>
        <v>0</v>
      </c>
      <c r="FP60" s="39">
        <f t="shared" si="56"/>
        <v>0</v>
      </c>
      <c r="FQ60" s="14">
        <f t="shared" si="56"/>
        <v>0</v>
      </c>
      <c r="FR60" s="14">
        <f t="shared" si="56"/>
        <v>0</v>
      </c>
      <c r="FS60" s="14">
        <f t="shared" si="56"/>
        <v>0</v>
      </c>
      <c r="FT60" s="14">
        <f t="shared" si="56"/>
        <v>0</v>
      </c>
      <c r="FU60" s="14">
        <f t="shared" si="56"/>
        <v>0</v>
      </c>
      <c r="FV60" s="14">
        <f t="shared" si="56"/>
        <v>0</v>
      </c>
      <c r="FW60" s="14">
        <f t="shared" si="56"/>
        <v>0</v>
      </c>
      <c r="FX60" s="14">
        <f t="shared" si="56"/>
        <v>0</v>
      </c>
      <c r="FY60" s="14">
        <f t="shared" si="56"/>
        <v>0</v>
      </c>
      <c r="FZ60" s="230">
        <f>+FZ70</f>
        <v>0</v>
      </c>
      <c r="GA60" s="14">
        <f t="shared" si="56"/>
        <v>0</v>
      </c>
      <c r="GB60" s="14">
        <f t="shared" si="56"/>
        <v>0</v>
      </c>
      <c r="GC60" s="14">
        <f t="shared" si="56"/>
        <v>0</v>
      </c>
      <c r="GD60" s="14">
        <f t="shared" si="56"/>
        <v>0</v>
      </c>
      <c r="GE60" s="14">
        <f t="shared" si="56"/>
        <v>0</v>
      </c>
      <c r="GF60" s="14">
        <f t="shared" si="56"/>
        <v>0</v>
      </c>
      <c r="GG60" s="14">
        <f t="shared" si="56"/>
        <v>0</v>
      </c>
      <c r="GH60" s="14">
        <f t="shared" si="56"/>
        <v>0</v>
      </c>
      <c r="GI60" s="14">
        <f t="shared" si="56"/>
        <v>0</v>
      </c>
      <c r="GJ60" s="14">
        <f t="shared" si="56"/>
        <v>0</v>
      </c>
      <c r="GK60" s="39">
        <f t="shared" si="56"/>
        <v>0</v>
      </c>
      <c r="GL60" s="14">
        <f t="shared" ref="GL60:HO60" si="57">+GK60</f>
        <v>0</v>
      </c>
      <c r="GM60" s="14">
        <f t="shared" si="57"/>
        <v>0</v>
      </c>
      <c r="GN60" s="14">
        <f t="shared" si="57"/>
        <v>0</v>
      </c>
      <c r="GO60" s="14">
        <f t="shared" si="57"/>
        <v>0</v>
      </c>
      <c r="GP60" s="14">
        <f t="shared" si="57"/>
        <v>0</v>
      </c>
      <c r="GQ60" s="14">
        <f t="shared" si="57"/>
        <v>0</v>
      </c>
      <c r="GR60" s="14">
        <f t="shared" si="57"/>
        <v>0</v>
      </c>
      <c r="GS60" s="14">
        <f t="shared" si="57"/>
        <v>0</v>
      </c>
      <c r="GT60" s="230">
        <f t="shared" si="57"/>
        <v>0</v>
      </c>
      <c r="GU60" s="14">
        <f t="shared" si="57"/>
        <v>0</v>
      </c>
      <c r="GV60" s="14">
        <f t="shared" si="57"/>
        <v>0</v>
      </c>
      <c r="GW60" s="14">
        <f t="shared" si="57"/>
        <v>0</v>
      </c>
      <c r="GX60" s="14">
        <f t="shared" si="57"/>
        <v>0</v>
      </c>
      <c r="GY60" s="14">
        <f t="shared" si="57"/>
        <v>0</v>
      </c>
      <c r="GZ60" s="14">
        <f t="shared" si="57"/>
        <v>0</v>
      </c>
      <c r="HA60" s="14">
        <f t="shared" si="57"/>
        <v>0</v>
      </c>
      <c r="HB60" s="14">
        <f t="shared" si="57"/>
        <v>0</v>
      </c>
      <c r="HC60" s="14">
        <f t="shared" si="57"/>
        <v>0</v>
      </c>
      <c r="HD60" s="39">
        <f t="shared" si="57"/>
        <v>0</v>
      </c>
      <c r="HE60" s="14">
        <f t="shared" si="57"/>
        <v>0</v>
      </c>
      <c r="HF60" s="14">
        <f t="shared" si="57"/>
        <v>0</v>
      </c>
      <c r="HG60" s="14">
        <f t="shared" si="57"/>
        <v>0</v>
      </c>
      <c r="HH60" s="14">
        <f t="shared" si="57"/>
        <v>0</v>
      </c>
      <c r="HI60" s="14">
        <f t="shared" si="57"/>
        <v>0</v>
      </c>
      <c r="HJ60" s="14">
        <f t="shared" si="57"/>
        <v>0</v>
      </c>
      <c r="HK60" s="14">
        <f t="shared" si="57"/>
        <v>0</v>
      </c>
      <c r="HL60" s="14">
        <f t="shared" si="57"/>
        <v>0</v>
      </c>
      <c r="HM60" s="14">
        <f t="shared" si="57"/>
        <v>0</v>
      </c>
      <c r="HN60" s="14">
        <f t="shared" si="57"/>
        <v>0</v>
      </c>
      <c r="HO60" s="230">
        <f t="shared" si="57"/>
        <v>0</v>
      </c>
      <c r="HP60" s="14">
        <f t="shared" ref="HP60:IT60" si="58">+HO60</f>
        <v>0</v>
      </c>
      <c r="HQ60" s="14">
        <f t="shared" si="58"/>
        <v>0</v>
      </c>
      <c r="HR60" s="14">
        <f t="shared" si="58"/>
        <v>0</v>
      </c>
      <c r="HS60" s="14">
        <f t="shared" si="58"/>
        <v>0</v>
      </c>
      <c r="HT60" s="14">
        <f t="shared" si="58"/>
        <v>0</v>
      </c>
      <c r="HU60" s="14">
        <f t="shared" si="58"/>
        <v>0</v>
      </c>
      <c r="HV60" s="14">
        <f t="shared" si="58"/>
        <v>0</v>
      </c>
      <c r="HW60" s="14">
        <f t="shared" si="58"/>
        <v>0</v>
      </c>
      <c r="HX60" s="14">
        <f t="shared" si="58"/>
        <v>0</v>
      </c>
      <c r="HY60" s="14">
        <f t="shared" si="58"/>
        <v>0</v>
      </c>
      <c r="HZ60" s="39">
        <f t="shared" si="58"/>
        <v>0</v>
      </c>
      <c r="IA60" s="14">
        <f t="shared" si="58"/>
        <v>0</v>
      </c>
      <c r="IB60" s="14">
        <f t="shared" si="58"/>
        <v>0</v>
      </c>
      <c r="IC60" s="14">
        <f t="shared" si="58"/>
        <v>0</v>
      </c>
      <c r="ID60" s="14">
        <f t="shared" si="58"/>
        <v>0</v>
      </c>
      <c r="IE60" s="14">
        <f t="shared" si="58"/>
        <v>0</v>
      </c>
      <c r="IF60" s="14">
        <f t="shared" si="58"/>
        <v>0</v>
      </c>
      <c r="IG60" s="14">
        <f t="shared" si="58"/>
        <v>0</v>
      </c>
      <c r="IH60" s="14">
        <f t="shared" si="58"/>
        <v>0</v>
      </c>
      <c r="II60" s="14">
        <f t="shared" si="58"/>
        <v>0</v>
      </c>
      <c r="IJ60" s="230">
        <f t="shared" si="58"/>
        <v>0</v>
      </c>
      <c r="IK60" s="14">
        <f t="shared" si="58"/>
        <v>0</v>
      </c>
      <c r="IL60" s="14">
        <f t="shared" si="58"/>
        <v>0</v>
      </c>
      <c r="IM60" s="14">
        <f t="shared" si="58"/>
        <v>0</v>
      </c>
      <c r="IN60" s="14">
        <f t="shared" si="58"/>
        <v>0</v>
      </c>
      <c r="IO60" s="14">
        <f t="shared" si="58"/>
        <v>0</v>
      </c>
      <c r="IP60" s="14">
        <f t="shared" si="58"/>
        <v>0</v>
      </c>
      <c r="IQ60" s="14">
        <f t="shared" si="58"/>
        <v>0</v>
      </c>
      <c r="IR60" s="14">
        <f>+IQ60</f>
        <v>0</v>
      </c>
      <c r="IS60" s="14">
        <f>+IR60</f>
        <v>0</v>
      </c>
      <c r="IT60" s="39">
        <f t="shared" si="58"/>
        <v>0</v>
      </c>
      <c r="IU60" s="14"/>
    </row>
    <row r="61" spans="1:255" ht="14.1" customHeight="1">
      <c r="A61" s="14" t="s">
        <v>22</v>
      </c>
      <c r="B61" s="14"/>
      <c r="C61" s="39">
        <f>20000463.82+10000000+11802.69</f>
        <v>30012266.510000002</v>
      </c>
      <c r="D61" s="14">
        <f t="shared" ref="D61:H63" si="59">C61-D23</f>
        <v>30012266.510000002</v>
      </c>
      <c r="E61" s="14">
        <f t="shared" si="59"/>
        <v>30012266.510000002</v>
      </c>
      <c r="F61" s="14">
        <f t="shared" si="59"/>
        <v>30012266.510000002</v>
      </c>
      <c r="G61" s="14">
        <f t="shared" si="59"/>
        <v>30012266.510000002</v>
      </c>
      <c r="H61" s="14">
        <f t="shared" si="59"/>
        <v>30012266.510000002</v>
      </c>
      <c r="I61" s="14">
        <f>H61-I23+20000000</f>
        <v>50012266.510000005</v>
      </c>
      <c r="J61" s="14">
        <f t="shared" ref="J61:U61" si="60">I61-J23</f>
        <v>50012266.510000005</v>
      </c>
      <c r="K61" s="14">
        <f t="shared" si="60"/>
        <v>50012266.510000005</v>
      </c>
      <c r="L61" s="14">
        <f t="shared" si="60"/>
        <v>40012266.510000005</v>
      </c>
      <c r="M61" s="230">
        <f t="shared" si="60"/>
        <v>40012266.510000005</v>
      </c>
      <c r="N61" s="14">
        <f t="shared" si="60"/>
        <v>40012266.510000005</v>
      </c>
      <c r="O61" s="14">
        <f t="shared" si="60"/>
        <v>40012266.510000005</v>
      </c>
      <c r="P61" s="14">
        <f t="shared" si="60"/>
        <v>40012266.510000005</v>
      </c>
      <c r="Q61" s="14">
        <f t="shared" si="60"/>
        <v>40012266.510000005</v>
      </c>
      <c r="R61" s="14">
        <f t="shared" si="60"/>
        <v>40012266.510000005</v>
      </c>
      <c r="S61" s="14">
        <f t="shared" si="60"/>
        <v>40012266.510000005</v>
      </c>
      <c r="T61" s="14">
        <f t="shared" si="60"/>
        <v>40012266.510000005</v>
      </c>
      <c r="U61" s="14">
        <f t="shared" si="60"/>
        <v>40012266.510000005</v>
      </c>
      <c r="V61" s="39">
        <f>U61-V23+19599.44</f>
        <v>40031865.950000003</v>
      </c>
      <c r="W61" s="14">
        <f t="shared" ref="W61:AR61" si="61">V61-W23</f>
        <v>40031865.950000003</v>
      </c>
      <c r="X61" s="14">
        <f t="shared" si="61"/>
        <v>40031865.950000003</v>
      </c>
      <c r="Y61" s="14">
        <f t="shared" si="61"/>
        <v>40031865.950000003</v>
      </c>
      <c r="Z61" s="14">
        <f t="shared" si="61"/>
        <v>40031865.950000003</v>
      </c>
      <c r="AA61" s="14">
        <f t="shared" si="61"/>
        <v>40031865.950000003</v>
      </c>
      <c r="AB61" s="14">
        <f t="shared" si="61"/>
        <v>40031865.950000003</v>
      </c>
      <c r="AC61" s="14">
        <f t="shared" si="61"/>
        <v>40031865.950000003</v>
      </c>
      <c r="AD61" s="14">
        <f t="shared" si="61"/>
        <v>40031865.950000003</v>
      </c>
      <c r="AE61" s="14">
        <f t="shared" si="61"/>
        <v>40031865.950000003</v>
      </c>
      <c r="AF61" s="230">
        <f t="shared" si="61"/>
        <v>40031865.950000003</v>
      </c>
      <c r="AG61" s="14">
        <f t="shared" si="61"/>
        <v>40031865.950000003</v>
      </c>
      <c r="AH61" s="14">
        <f t="shared" si="61"/>
        <v>40031865.950000003</v>
      </c>
      <c r="AI61" s="14">
        <f t="shared" si="61"/>
        <v>40031865.950000003</v>
      </c>
      <c r="AJ61" s="14">
        <f t="shared" si="61"/>
        <v>40031865.950000003</v>
      </c>
      <c r="AK61" s="14">
        <f t="shared" si="61"/>
        <v>40031865.950000003</v>
      </c>
      <c r="AL61" s="14">
        <f t="shared" si="61"/>
        <v>40031865.950000003</v>
      </c>
      <c r="AM61" s="14">
        <f t="shared" si="61"/>
        <v>40031865.950000003</v>
      </c>
      <c r="AN61" s="14">
        <f t="shared" si="61"/>
        <v>40031865.950000003</v>
      </c>
      <c r="AO61" s="14">
        <f t="shared" si="61"/>
        <v>40031865.950000003</v>
      </c>
      <c r="AP61" s="14">
        <f t="shared" si="61"/>
        <v>40031865.950000003</v>
      </c>
      <c r="AQ61" s="14">
        <f t="shared" si="61"/>
        <v>40031865.950000003</v>
      </c>
      <c r="AR61" s="39">
        <f t="shared" si="61"/>
        <v>40031865.950000003</v>
      </c>
      <c r="AS61" s="14">
        <v>40051504.950000003</v>
      </c>
      <c r="AT61" s="14">
        <f t="shared" ref="AT61:BN61" si="62">AS61-AT23</f>
        <v>40051504.950000003</v>
      </c>
      <c r="AU61" s="14">
        <f t="shared" si="62"/>
        <v>40051504.950000003</v>
      </c>
      <c r="AV61" s="14">
        <f t="shared" si="62"/>
        <v>40051504.950000003</v>
      </c>
      <c r="AW61" s="14">
        <f t="shared" si="62"/>
        <v>40051504.950000003</v>
      </c>
      <c r="AX61" s="14">
        <f t="shared" si="62"/>
        <v>40051504.950000003</v>
      </c>
      <c r="AY61" s="14">
        <f t="shared" si="62"/>
        <v>40051504.950000003</v>
      </c>
      <c r="AZ61" s="14">
        <f t="shared" si="62"/>
        <v>40051504.950000003</v>
      </c>
      <c r="BA61" s="14">
        <f t="shared" si="62"/>
        <v>40051504.950000003</v>
      </c>
      <c r="BB61" s="14">
        <f t="shared" si="62"/>
        <v>40051504.950000003</v>
      </c>
      <c r="BC61" s="230">
        <f t="shared" si="62"/>
        <v>40051504.950000003</v>
      </c>
      <c r="BD61" s="14">
        <f t="shared" si="62"/>
        <v>40051504.950000003</v>
      </c>
      <c r="BE61" s="14">
        <f t="shared" si="62"/>
        <v>40051504.950000003</v>
      </c>
      <c r="BF61" s="14">
        <f t="shared" si="62"/>
        <v>40051504.950000003</v>
      </c>
      <c r="BG61" s="14">
        <f t="shared" si="62"/>
        <v>40051504.950000003</v>
      </c>
      <c r="BH61" s="14">
        <f t="shared" si="62"/>
        <v>40051504.950000003</v>
      </c>
      <c r="BI61" s="14">
        <f t="shared" si="62"/>
        <v>40051504.950000003</v>
      </c>
      <c r="BJ61" s="14">
        <f t="shared" si="62"/>
        <v>40051504.950000003</v>
      </c>
      <c r="BK61" s="14">
        <f t="shared" si="62"/>
        <v>40051504.950000003</v>
      </c>
      <c r="BL61" s="14">
        <f t="shared" si="62"/>
        <v>40051504.950000003</v>
      </c>
      <c r="BM61" s="14">
        <f t="shared" si="62"/>
        <v>40051504.950000003</v>
      </c>
      <c r="BN61" s="39">
        <f t="shared" si="62"/>
        <v>40051504.950000003</v>
      </c>
      <c r="BO61" s="14">
        <v>40067180.600000001</v>
      </c>
      <c r="BP61" s="14">
        <f t="shared" ref="BP61:CH61" si="63">BO61-BP23</f>
        <v>40067180.600000001</v>
      </c>
      <c r="BQ61" s="14">
        <f t="shared" si="63"/>
        <v>40067180.600000001</v>
      </c>
      <c r="BR61" s="14">
        <f t="shared" si="63"/>
        <v>40067180.600000001</v>
      </c>
      <c r="BS61" s="14">
        <f t="shared" si="63"/>
        <v>40067180.600000001</v>
      </c>
      <c r="BT61" s="14">
        <f t="shared" si="63"/>
        <v>40067180.600000001</v>
      </c>
      <c r="BU61" s="14">
        <f t="shared" si="63"/>
        <v>40067180.600000001</v>
      </c>
      <c r="BV61" s="14">
        <f t="shared" si="63"/>
        <v>28067180.600000001</v>
      </c>
      <c r="BW61" s="14">
        <f t="shared" si="63"/>
        <v>28067180.600000001</v>
      </c>
      <c r="BX61" s="14">
        <f t="shared" si="63"/>
        <v>28067180.600000001</v>
      </c>
      <c r="BY61" s="230">
        <f t="shared" si="63"/>
        <v>28067180.600000001</v>
      </c>
      <c r="BZ61" s="14">
        <f t="shared" si="63"/>
        <v>28067180.600000001</v>
      </c>
      <c r="CA61" s="14">
        <f t="shared" si="63"/>
        <v>28067180.600000001</v>
      </c>
      <c r="CB61" s="14">
        <f t="shared" si="63"/>
        <v>28067180.600000001</v>
      </c>
      <c r="CC61" s="14">
        <f t="shared" si="63"/>
        <v>28067180.600000001</v>
      </c>
      <c r="CD61" s="14">
        <f t="shared" si="63"/>
        <v>28067180.600000001</v>
      </c>
      <c r="CE61" s="14">
        <f t="shared" si="63"/>
        <v>20067180.600000001</v>
      </c>
      <c r="CF61" s="14">
        <f t="shared" si="63"/>
        <v>20067180.600000001</v>
      </c>
      <c r="CG61" s="14">
        <f t="shared" si="63"/>
        <v>20067180.600000001</v>
      </c>
      <c r="CH61" s="39">
        <f t="shared" si="63"/>
        <v>20067180.600000001</v>
      </c>
      <c r="CI61" s="14">
        <v>20078703.609999999</v>
      </c>
      <c r="CJ61" s="14">
        <f t="shared" ref="CJ61:DO61" si="64">CI61-CJ23</f>
        <v>20078703.609999999</v>
      </c>
      <c r="CK61" s="14">
        <f t="shared" si="64"/>
        <v>20078703.609999999</v>
      </c>
      <c r="CL61" s="14">
        <f t="shared" si="64"/>
        <v>20078703.609999999</v>
      </c>
      <c r="CM61" s="14">
        <f t="shared" si="64"/>
        <v>20078703.609999999</v>
      </c>
      <c r="CN61" s="14">
        <f t="shared" si="64"/>
        <v>20078703.609999999</v>
      </c>
      <c r="CO61" s="14">
        <f t="shared" si="64"/>
        <v>20078703.609999999</v>
      </c>
      <c r="CP61" s="14">
        <f t="shared" si="64"/>
        <v>20078703.609999999</v>
      </c>
      <c r="CQ61" s="14">
        <f t="shared" si="64"/>
        <v>3078703.6099999994</v>
      </c>
      <c r="CR61" s="14">
        <f t="shared" si="64"/>
        <v>3078703.6099999994</v>
      </c>
      <c r="CS61" s="230">
        <f t="shared" si="64"/>
        <v>3078703.6099999994</v>
      </c>
      <c r="CT61" s="14">
        <f t="shared" si="64"/>
        <v>3078703.6099999994</v>
      </c>
      <c r="CU61" s="14">
        <f t="shared" si="64"/>
        <v>3078703.6099999994</v>
      </c>
      <c r="CV61" s="14">
        <f t="shared" si="64"/>
        <v>3078703.6099999994</v>
      </c>
      <c r="CW61" s="14">
        <f t="shared" si="64"/>
        <v>3078703.6099999994</v>
      </c>
      <c r="CX61" s="14">
        <f t="shared" si="64"/>
        <v>3078703.6099999994</v>
      </c>
      <c r="CY61" s="14">
        <f t="shared" si="64"/>
        <v>3078703.6099999994</v>
      </c>
      <c r="CZ61" s="14">
        <f t="shared" si="64"/>
        <v>3078703.6099999994</v>
      </c>
      <c r="DA61" s="14">
        <f t="shared" si="64"/>
        <v>3078703.6099999994</v>
      </c>
      <c r="DB61" s="14">
        <f t="shared" si="64"/>
        <v>3078703.6099999994</v>
      </c>
      <c r="DC61" s="14">
        <f t="shared" si="64"/>
        <v>3078703.6099999994</v>
      </c>
      <c r="DD61" s="39">
        <f t="shared" si="64"/>
        <v>3078703.6099999994</v>
      </c>
      <c r="DE61" s="14">
        <v>3081564.11</v>
      </c>
      <c r="DF61" s="14">
        <f t="shared" si="64"/>
        <v>3081564.11</v>
      </c>
      <c r="DG61" s="14">
        <f t="shared" si="64"/>
        <v>3081564.11</v>
      </c>
      <c r="DH61" s="14">
        <f t="shared" si="64"/>
        <v>3081564.11</v>
      </c>
      <c r="DI61" s="14">
        <f t="shared" si="64"/>
        <v>3081564.11</v>
      </c>
      <c r="DJ61" s="14">
        <f t="shared" si="64"/>
        <v>3081564.11</v>
      </c>
      <c r="DK61" s="14">
        <f t="shared" si="64"/>
        <v>3081564.11</v>
      </c>
      <c r="DL61" s="14">
        <f t="shared" si="64"/>
        <v>3081564.11</v>
      </c>
      <c r="DM61" s="14">
        <f t="shared" si="64"/>
        <v>1564.1099999998696</v>
      </c>
      <c r="DN61" s="230">
        <f t="shared" si="64"/>
        <v>1564.1099999998696</v>
      </c>
      <c r="DO61" s="14">
        <f t="shared" si="64"/>
        <v>1564.1099999998696</v>
      </c>
      <c r="DP61" s="14">
        <f t="shared" ref="DP61:EU61" si="65">DO61-DP23</f>
        <v>1564.1099999998696</v>
      </c>
      <c r="DQ61" s="14">
        <f t="shared" si="65"/>
        <v>1564.1099999998696</v>
      </c>
      <c r="DR61" s="14">
        <f t="shared" si="65"/>
        <v>1564.1099999998696</v>
      </c>
      <c r="DS61" s="14">
        <f t="shared" si="65"/>
        <v>1564.1099999998696</v>
      </c>
      <c r="DT61" s="14">
        <f t="shared" si="65"/>
        <v>1564.1099999998696</v>
      </c>
      <c r="DU61" s="14">
        <f t="shared" si="65"/>
        <v>1564.1099999998696</v>
      </c>
      <c r="DV61" s="14">
        <f t="shared" si="65"/>
        <v>1564.1099999998696</v>
      </c>
      <c r="DW61" s="14">
        <f t="shared" si="65"/>
        <v>1564.1099999998696</v>
      </c>
      <c r="DX61" s="14">
        <f t="shared" si="65"/>
        <v>1564.1099999998696</v>
      </c>
      <c r="DY61" s="14">
        <f t="shared" si="65"/>
        <v>1564.1099999998696</v>
      </c>
      <c r="DZ61" s="39">
        <v>1953.26</v>
      </c>
      <c r="EA61" s="14">
        <f t="shared" si="65"/>
        <v>1953.26</v>
      </c>
      <c r="EB61" s="14">
        <f t="shared" si="65"/>
        <v>1953.26</v>
      </c>
      <c r="EC61" s="14">
        <f t="shared" si="65"/>
        <v>1953.26</v>
      </c>
      <c r="ED61" s="14">
        <f t="shared" si="65"/>
        <v>1953.26</v>
      </c>
      <c r="EE61" s="14">
        <f t="shared" si="65"/>
        <v>1953.26</v>
      </c>
      <c r="EF61" s="14">
        <f t="shared" si="65"/>
        <v>1953.26</v>
      </c>
      <c r="EG61" s="14">
        <f t="shared" si="65"/>
        <v>1953.26</v>
      </c>
      <c r="EH61" s="14">
        <f t="shared" si="65"/>
        <v>1953.26</v>
      </c>
      <c r="EI61" s="14">
        <f t="shared" si="65"/>
        <v>1953.26</v>
      </c>
      <c r="EJ61" s="230">
        <f t="shared" si="65"/>
        <v>1953.26</v>
      </c>
      <c r="EK61" s="14">
        <f t="shared" si="65"/>
        <v>1953.26</v>
      </c>
      <c r="EL61" s="14">
        <f t="shared" si="65"/>
        <v>1953.26</v>
      </c>
      <c r="EM61" s="14">
        <f t="shared" si="65"/>
        <v>1953.26</v>
      </c>
      <c r="EN61" s="14">
        <f t="shared" si="65"/>
        <v>1953.26</v>
      </c>
      <c r="EO61" s="14">
        <f t="shared" si="65"/>
        <v>1953.26</v>
      </c>
      <c r="EP61" s="14">
        <f t="shared" si="65"/>
        <v>1953.26</v>
      </c>
      <c r="EQ61" s="14">
        <f t="shared" si="65"/>
        <v>1953.26</v>
      </c>
      <c r="ER61" s="14">
        <f t="shared" si="65"/>
        <v>1953.26</v>
      </c>
      <c r="ES61" s="14">
        <f t="shared" si="65"/>
        <v>1953.26</v>
      </c>
      <c r="ET61" s="14">
        <f t="shared" si="65"/>
        <v>1953.26</v>
      </c>
      <c r="EU61" s="39">
        <f t="shared" si="65"/>
        <v>1953.26</v>
      </c>
      <c r="EV61" s="14">
        <f t="shared" ref="EV61:GA61" si="66">EU61-EV23</f>
        <v>1953.26</v>
      </c>
      <c r="EW61" s="14">
        <f t="shared" si="66"/>
        <v>1953.26</v>
      </c>
      <c r="EX61" s="14">
        <f t="shared" si="66"/>
        <v>1953.26</v>
      </c>
      <c r="EY61" s="14">
        <f t="shared" si="66"/>
        <v>1953.26</v>
      </c>
      <c r="EZ61" s="14">
        <f t="shared" si="66"/>
        <v>1953.26</v>
      </c>
      <c r="FA61" s="14">
        <f t="shared" si="66"/>
        <v>1953.26</v>
      </c>
      <c r="FB61" s="14">
        <f t="shared" si="66"/>
        <v>1953.26</v>
      </c>
      <c r="FC61" s="14">
        <f t="shared" si="66"/>
        <v>1953.26</v>
      </c>
      <c r="FD61" s="14">
        <f t="shared" si="66"/>
        <v>1953.26</v>
      </c>
      <c r="FE61" s="230">
        <f t="shared" si="66"/>
        <v>1953.26</v>
      </c>
      <c r="FF61" s="14">
        <f t="shared" si="66"/>
        <v>1953.26</v>
      </c>
      <c r="FG61" s="14">
        <f t="shared" si="66"/>
        <v>1953.26</v>
      </c>
      <c r="FH61" s="14">
        <f t="shared" si="66"/>
        <v>1953.26</v>
      </c>
      <c r="FI61" s="14">
        <f t="shared" si="66"/>
        <v>1953.26</v>
      </c>
      <c r="FJ61" s="80">
        <f t="shared" si="66"/>
        <v>1953.26</v>
      </c>
      <c r="FK61" s="14">
        <f t="shared" si="66"/>
        <v>1953.26</v>
      </c>
      <c r="FL61" s="14">
        <f t="shared" si="66"/>
        <v>1953.26</v>
      </c>
      <c r="FM61" s="14">
        <f t="shared" si="66"/>
        <v>1953.26</v>
      </c>
      <c r="FN61" s="14">
        <f t="shared" si="66"/>
        <v>1953.26</v>
      </c>
      <c r="FO61" s="14">
        <f>FN61-FO23+5000000</f>
        <v>5001953.26</v>
      </c>
      <c r="FP61" s="39">
        <f t="shared" si="66"/>
        <v>5001953.26</v>
      </c>
      <c r="FQ61" s="14">
        <f t="shared" si="66"/>
        <v>5001953.26</v>
      </c>
      <c r="FR61" s="14">
        <f t="shared" si="66"/>
        <v>5001953.26</v>
      </c>
      <c r="FS61" s="14">
        <f t="shared" si="66"/>
        <v>5001953.26</v>
      </c>
      <c r="FT61" s="14">
        <f t="shared" si="66"/>
        <v>5001953.26</v>
      </c>
      <c r="FU61" s="14">
        <f t="shared" si="66"/>
        <v>5001953.26</v>
      </c>
      <c r="FV61" s="14">
        <f t="shared" si="66"/>
        <v>5001953.26</v>
      </c>
      <c r="FW61" s="14">
        <f t="shared" si="66"/>
        <v>5001953.26</v>
      </c>
      <c r="FX61" s="14">
        <f t="shared" si="66"/>
        <v>5001953.26</v>
      </c>
      <c r="FY61" s="14">
        <f t="shared" si="66"/>
        <v>1953.2599999997765</v>
      </c>
      <c r="FZ61" s="230">
        <f t="shared" si="66"/>
        <v>1953.2599999997765</v>
      </c>
      <c r="GA61" s="14">
        <f t="shared" si="66"/>
        <v>1953.2599999997765</v>
      </c>
      <c r="GB61" s="14">
        <f t="shared" ref="GB61:HF61" si="67">GA61-GB23</f>
        <v>1953.2599999997765</v>
      </c>
      <c r="GC61" s="14">
        <f t="shared" si="67"/>
        <v>1953.2599999997765</v>
      </c>
      <c r="GD61" s="14">
        <f t="shared" si="67"/>
        <v>1953.2599999997765</v>
      </c>
      <c r="GE61" s="14">
        <f t="shared" si="67"/>
        <v>1953.2599999997765</v>
      </c>
      <c r="GF61" s="14">
        <f t="shared" si="67"/>
        <v>1953.2599999997765</v>
      </c>
      <c r="GG61" s="14">
        <f t="shared" si="67"/>
        <v>1953.2599999997765</v>
      </c>
      <c r="GH61" s="14">
        <f t="shared" si="67"/>
        <v>1953.2599999997765</v>
      </c>
      <c r="GI61" s="14">
        <f t="shared" si="67"/>
        <v>1953.2599999997765</v>
      </c>
      <c r="GJ61" s="14">
        <f t="shared" si="67"/>
        <v>1953.2599999997765</v>
      </c>
      <c r="GK61" s="39">
        <f t="shared" si="67"/>
        <v>1953.2599999997765</v>
      </c>
      <c r="GL61" s="14">
        <f t="shared" si="67"/>
        <v>1953.2599999997765</v>
      </c>
      <c r="GM61" s="14">
        <f t="shared" si="67"/>
        <v>1953.2599999997765</v>
      </c>
      <c r="GN61" s="14">
        <f t="shared" si="67"/>
        <v>1953.2599999997765</v>
      </c>
      <c r="GO61" s="14">
        <f t="shared" si="67"/>
        <v>1953.2599999997765</v>
      </c>
      <c r="GP61" s="14">
        <f t="shared" si="67"/>
        <v>1953.2599999997765</v>
      </c>
      <c r="GQ61" s="14">
        <f t="shared" si="67"/>
        <v>1953.2599999997765</v>
      </c>
      <c r="GR61" s="14">
        <f t="shared" si="67"/>
        <v>1953.2599999997765</v>
      </c>
      <c r="GS61" s="14">
        <f t="shared" si="67"/>
        <v>1953.2599999997765</v>
      </c>
      <c r="GT61" s="230">
        <f t="shared" si="67"/>
        <v>1953.2599999997765</v>
      </c>
      <c r="GU61" s="14">
        <f t="shared" si="67"/>
        <v>1953.2599999997765</v>
      </c>
      <c r="GV61" s="14">
        <f t="shared" si="67"/>
        <v>1953.2599999997765</v>
      </c>
      <c r="GW61" s="14">
        <f t="shared" si="67"/>
        <v>1953.2599999997765</v>
      </c>
      <c r="GX61" s="14">
        <f t="shared" si="67"/>
        <v>1953.2599999997765</v>
      </c>
      <c r="GY61" s="14">
        <f t="shared" si="67"/>
        <v>1953.2599999997765</v>
      </c>
      <c r="GZ61" s="14">
        <f t="shared" si="67"/>
        <v>1953.2599999997765</v>
      </c>
      <c r="HA61" s="14">
        <f t="shared" si="67"/>
        <v>1953.2599999997765</v>
      </c>
      <c r="HB61" s="14">
        <f t="shared" si="67"/>
        <v>1953.2599999997765</v>
      </c>
      <c r="HC61" s="14">
        <f t="shared" si="67"/>
        <v>1953.2599999997765</v>
      </c>
      <c r="HD61" s="39">
        <f t="shared" si="67"/>
        <v>1953.2599999997765</v>
      </c>
      <c r="HE61" s="14">
        <v>2413.5300000000002</v>
      </c>
      <c r="HF61" s="14">
        <f t="shared" si="67"/>
        <v>2413.5300000000002</v>
      </c>
      <c r="HG61" s="14">
        <f t="shared" ref="HG61:IK61" si="68">HF61-HG23</f>
        <v>2413.5300000000002</v>
      </c>
      <c r="HH61" s="14">
        <f t="shared" si="68"/>
        <v>2413.5300000000002</v>
      </c>
      <c r="HI61" s="14">
        <f t="shared" si="68"/>
        <v>2413.5300000000002</v>
      </c>
      <c r="HJ61" s="14">
        <f t="shared" si="68"/>
        <v>2413.5300000000002</v>
      </c>
      <c r="HK61" s="14">
        <f t="shared" si="68"/>
        <v>2413.5300000000002</v>
      </c>
      <c r="HL61" s="14">
        <f t="shared" si="68"/>
        <v>2413.5300000000002</v>
      </c>
      <c r="HM61" s="14">
        <f t="shared" si="68"/>
        <v>2413.5300000000002</v>
      </c>
      <c r="HN61" s="14">
        <f t="shared" si="68"/>
        <v>2413.5300000000002</v>
      </c>
      <c r="HO61" s="230">
        <f t="shared" si="68"/>
        <v>2413.5300000000002</v>
      </c>
      <c r="HP61" s="14">
        <f t="shared" si="68"/>
        <v>2413.5300000000002</v>
      </c>
      <c r="HQ61" s="14">
        <f t="shared" si="68"/>
        <v>2413.5300000000002</v>
      </c>
      <c r="HR61" s="14">
        <f t="shared" si="68"/>
        <v>2413.5300000000002</v>
      </c>
      <c r="HS61" s="14">
        <f t="shared" si="68"/>
        <v>2413.5300000000002</v>
      </c>
      <c r="HT61" s="14">
        <f t="shared" si="68"/>
        <v>2413.5300000000002</v>
      </c>
      <c r="HU61" s="14">
        <f t="shared" si="68"/>
        <v>2413.5300000000002</v>
      </c>
      <c r="HV61" s="14">
        <f t="shared" si="68"/>
        <v>2413.5300000000002</v>
      </c>
      <c r="HW61" s="14">
        <f t="shared" si="68"/>
        <v>2413.5300000000002</v>
      </c>
      <c r="HX61" s="14">
        <f t="shared" si="68"/>
        <v>2413.5300000000002</v>
      </c>
      <c r="HY61" s="14">
        <f>HX61-HY23+6000000</f>
        <v>6002413.5300000003</v>
      </c>
      <c r="HZ61" s="39">
        <f t="shared" si="68"/>
        <v>6002413.5300000003</v>
      </c>
      <c r="IA61" s="14">
        <f t="shared" si="68"/>
        <v>6002413.5300000003</v>
      </c>
      <c r="IB61" s="14">
        <f t="shared" si="68"/>
        <v>6002413.5300000003</v>
      </c>
      <c r="IC61" s="14">
        <f t="shared" si="68"/>
        <v>6002413.5300000003</v>
      </c>
      <c r="ID61" s="14">
        <f t="shared" si="68"/>
        <v>6002413.5300000003</v>
      </c>
      <c r="IE61" s="14">
        <f t="shared" si="68"/>
        <v>6002413.5300000003</v>
      </c>
      <c r="IF61" s="14">
        <f t="shared" si="68"/>
        <v>6002413.5300000003</v>
      </c>
      <c r="IG61" s="14">
        <f t="shared" si="68"/>
        <v>6002413.5300000003</v>
      </c>
      <c r="IH61" s="14">
        <f t="shared" si="68"/>
        <v>6002413.5300000003</v>
      </c>
      <c r="II61" s="14">
        <f t="shared" si="68"/>
        <v>6002413.5300000003</v>
      </c>
      <c r="IJ61" s="230">
        <f t="shared" si="68"/>
        <v>6002413.5300000003</v>
      </c>
      <c r="IK61" s="14">
        <f t="shared" si="68"/>
        <v>6002413.5300000003</v>
      </c>
      <c r="IL61" s="14">
        <f t="shared" ref="IL61:IT61" si="69">IK61-IL23</f>
        <v>6002413.5300000003</v>
      </c>
      <c r="IM61" s="14">
        <f>IL61-IM23+20000000</f>
        <v>26002413.530000001</v>
      </c>
      <c r="IN61" s="14">
        <f t="shared" si="69"/>
        <v>26002413.530000001</v>
      </c>
      <c r="IO61" s="14">
        <f t="shared" si="69"/>
        <v>26002413.530000001</v>
      </c>
      <c r="IP61" s="14">
        <f t="shared" si="69"/>
        <v>26002413.530000001</v>
      </c>
      <c r="IQ61" s="14">
        <f t="shared" si="69"/>
        <v>26002413.530000001</v>
      </c>
      <c r="IR61" s="14">
        <f t="shared" ref="IR61:IS63" si="70">IQ61-IR23</f>
        <v>26002413.530000001</v>
      </c>
      <c r="IS61" s="14">
        <f t="shared" si="70"/>
        <v>26002413.530000001</v>
      </c>
      <c r="IT61" s="39">
        <f t="shared" si="69"/>
        <v>26002413.530000001</v>
      </c>
      <c r="IU61" s="14"/>
    </row>
    <row r="62" spans="1:255" ht="14.1" customHeight="1">
      <c r="A62" s="14" t="s">
        <v>215</v>
      </c>
      <c r="B62" s="14"/>
      <c r="C62" s="39">
        <f>21022685.34+5000000+11838.32</f>
        <v>26034523.66</v>
      </c>
      <c r="D62" s="14">
        <f t="shared" si="59"/>
        <v>26034523.66</v>
      </c>
      <c r="E62" s="14">
        <f t="shared" si="59"/>
        <v>26034523.66</v>
      </c>
      <c r="F62" s="14">
        <f t="shared" si="59"/>
        <v>26034523.66</v>
      </c>
      <c r="G62" s="14">
        <f t="shared" si="59"/>
        <v>26034523.66</v>
      </c>
      <c r="H62" s="14">
        <f t="shared" si="59"/>
        <v>26034523.66</v>
      </c>
      <c r="I62" s="14">
        <f>H62-I24+25000000</f>
        <v>51034523.659999996</v>
      </c>
      <c r="J62" s="14">
        <f t="shared" ref="J62:U62" si="71">I62-J24</f>
        <v>51034523.659999996</v>
      </c>
      <c r="K62" s="14">
        <f t="shared" si="71"/>
        <v>51034523.659999996</v>
      </c>
      <c r="L62" s="14">
        <f t="shared" si="71"/>
        <v>41034523.659999996</v>
      </c>
      <c r="M62" s="230">
        <f t="shared" si="71"/>
        <v>41034523.659999996</v>
      </c>
      <c r="N62" s="14">
        <f t="shared" si="71"/>
        <v>41034523.659999996</v>
      </c>
      <c r="O62" s="14">
        <f t="shared" si="71"/>
        <v>41034523.659999996</v>
      </c>
      <c r="P62" s="14">
        <f t="shared" si="71"/>
        <v>41034523.659999996</v>
      </c>
      <c r="Q62" s="14">
        <f t="shared" si="71"/>
        <v>41034523.659999996</v>
      </c>
      <c r="R62" s="14">
        <f t="shared" si="71"/>
        <v>41034523.659999996</v>
      </c>
      <c r="S62" s="14">
        <f t="shared" si="71"/>
        <v>41034523.659999996</v>
      </c>
      <c r="T62" s="14">
        <f t="shared" si="71"/>
        <v>41034523.659999996</v>
      </c>
      <c r="U62" s="14">
        <f t="shared" si="71"/>
        <v>41034523.659999996</v>
      </c>
      <c r="V62" s="39">
        <f>U62-V24+20436.8</f>
        <v>41054960.459999993</v>
      </c>
      <c r="W62" s="14">
        <f t="shared" ref="W62:AR62" si="72">V62-W24</f>
        <v>41054960.459999993</v>
      </c>
      <c r="X62" s="14">
        <f t="shared" si="72"/>
        <v>41054960.459999993</v>
      </c>
      <c r="Y62" s="14">
        <f t="shared" si="72"/>
        <v>41054960.459999993</v>
      </c>
      <c r="Z62" s="14">
        <f t="shared" si="72"/>
        <v>41054960.459999993</v>
      </c>
      <c r="AA62" s="14">
        <f t="shared" si="72"/>
        <v>41054960.459999993</v>
      </c>
      <c r="AB62" s="14">
        <f t="shared" si="72"/>
        <v>41054960.459999993</v>
      </c>
      <c r="AC62" s="14">
        <f t="shared" si="72"/>
        <v>38248320.409999996</v>
      </c>
      <c r="AD62" s="14">
        <f t="shared" si="72"/>
        <v>38248320.409999996</v>
      </c>
      <c r="AE62" s="14">
        <f t="shared" si="72"/>
        <v>38248320.409999996</v>
      </c>
      <c r="AF62" s="230">
        <f t="shared" si="72"/>
        <v>38248320.409999996</v>
      </c>
      <c r="AG62" s="14">
        <f t="shared" si="72"/>
        <v>38248320.409999996</v>
      </c>
      <c r="AH62" s="14">
        <f t="shared" si="72"/>
        <v>38248320.409999996</v>
      </c>
      <c r="AI62" s="14">
        <f t="shared" si="72"/>
        <v>38248320.409999996</v>
      </c>
      <c r="AJ62" s="14">
        <f t="shared" si="72"/>
        <v>38248320.409999996</v>
      </c>
      <c r="AK62" s="14">
        <f t="shared" si="72"/>
        <v>38248320.409999996</v>
      </c>
      <c r="AL62" s="14">
        <f t="shared" si="72"/>
        <v>38248320.409999996</v>
      </c>
      <c r="AM62" s="14">
        <f t="shared" si="72"/>
        <v>38248320.409999996</v>
      </c>
      <c r="AN62" s="14">
        <f t="shared" si="72"/>
        <v>38248320.409999996</v>
      </c>
      <c r="AO62" s="14">
        <f t="shared" si="72"/>
        <v>38248320.409999996</v>
      </c>
      <c r="AP62" s="14">
        <f t="shared" si="72"/>
        <v>38248320.409999996</v>
      </c>
      <c r="AQ62" s="14">
        <f t="shared" si="72"/>
        <v>38248320.409999996</v>
      </c>
      <c r="AR62" s="39">
        <f t="shared" si="72"/>
        <v>38248320.409999996</v>
      </c>
      <c r="AS62" s="14">
        <v>41081498.799999997</v>
      </c>
      <c r="AT62" s="14">
        <f t="shared" ref="AT62:BJ62" si="73">AS62-AT24</f>
        <v>41081498.799999997</v>
      </c>
      <c r="AU62" s="14">
        <f t="shared" si="73"/>
        <v>41081498.799999997</v>
      </c>
      <c r="AV62" s="14">
        <f t="shared" si="73"/>
        <v>41081498.799999997</v>
      </c>
      <c r="AW62" s="14">
        <f t="shared" si="73"/>
        <v>41081498.799999997</v>
      </c>
      <c r="AX62" s="14">
        <f t="shared" si="73"/>
        <v>41081498.799999997</v>
      </c>
      <c r="AY62" s="14">
        <f t="shared" si="73"/>
        <v>41081498.799999997</v>
      </c>
      <c r="AZ62" s="14">
        <f t="shared" si="73"/>
        <v>41081498.799999997</v>
      </c>
      <c r="BA62" s="14">
        <f t="shared" si="73"/>
        <v>41081498.799999997</v>
      </c>
      <c r="BB62" s="14">
        <f t="shared" si="73"/>
        <v>36081498.799999997</v>
      </c>
      <c r="BC62" s="230">
        <f t="shared" si="73"/>
        <v>36081498.799999997</v>
      </c>
      <c r="BD62" s="14">
        <f t="shared" si="73"/>
        <v>36081498.799999997</v>
      </c>
      <c r="BE62" s="14">
        <f t="shared" si="73"/>
        <v>36081498.799999997</v>
      </c>
      <c r="BF62" s="14">
        <f t="shared" si="73"/>
        <v>36081498.799999997</v>
      </c>
      <c r="BG62" s="14">
        <f t="shared" si="73"/>
        <v>36081498.799999997</v>
      </c>
      <c r="BH62" s="14">
        <f t="shared" si="73"/>
        <v>36081498.799999997</v>
      </c>
      <c r="BI62" s="14">
        <f t="shared" si="73"/>
        <v>36081498.799999997</v>
      </c>
      <c r="BJ62" s="14">
        <f t="shared" si="73"/>
        <v>36081498.799999997</v>
      </c>
      <c r="BK62" s="14">
        <v>36090111.920000002</v>
      </c>
      <c r="BL62" s="14">
        <f t="shared" ref="BL62:BN63" si="74">BK62-BL24</f>
        <v>36090111.920000002</v>
      </c>
      <c r="BM62" s="14">
        <f t="shared" si="74"/>
        <v>36090111.920000002</v>
      </c>
      <c r="BN62" s="39">
        <f t="shared" si="74"/>
        <v>36090111.920000002</v>
      </c>
      <c r="BO62" s="14">
        <v>36095572.780000001</v>
      </c>
      <c r="BP62" s="14">
        <f t="shared" ref="BP62:CH62" si="75">BO62-BP24</f>
        <v>36095572.780000001</v>
      </c>
      <c r="BQ62" s="14">
        <f t="shared" si="75"/>
        <v>36095572.780000001</v>
      </c>
      <c r="BR62" s="14">
        <f t="shared" si="75"/>
        <v>36095572.780000001</v>
      </c>
      <c r="BS62" s="14">
        <f t="shared" si="75"/>
        <v>36095572.780000001</v>
      </c>
      <c r="BT62" s="14">
        <f t="shared" si="75"/>
        <v>36095572.780000001</v>
      </c>
      <c r="BU62" s="14">
        <f t="shared" si="75"/>
        <v>36095572.780000001</v>
      </c>
      <c r="BV62" s="14">
        <f t="shared" si="75"/>
        <v>21095572.780000001</v>
      </c>
      <c r="BW62" s="14">
        <f t="shared" si="75"/>
        <v>21095572.780000001</v>
      </c>
      <c r="BX62" s="14">
        <f t="shared" si="75"/>
        <v>21095572.780000001</v>
      </c>
      <c r="BY62" s="230">
        <f t="shared" si="75"/>
        <v>21095572.780000001</v>
      </c>
      <c r="BZ62" s="14">
        <f t="shared" si="75"/>
        <v>21095572.780000001</v>
      </c>
      <c r="CA62" s="14">
        <f t="shared" si="75"/>
        <v>21095572.780000001</v>
      </c>
      <c r="CB62" s="14">
        <f t="shared" si="75"/>
        <v>21095572.780000001</v>
      </c>
      <c r="CC62" s="14">
        <f t="shared" si="75"/>
        <v>21095572.780000001</v>
      </c>
      <c r="CD62" s="14">
        <f t="shared" si="75"/>
        <v>21095572.780000001</v>
      </c>
      <c r="CE62" s="14">
        <f t="shared" si="75"/>
        <v>21095572.780000001</v>
      </c>
      <c r="CF62" s="14">
        <f t="shared" si="75"/>
        <v>21095572.780000001</v>
      </c>
      <c r="CG62" s="14">
        <f t="shared" si="75"/>
        <v>21095572.780000001</v>
      </c>
      <c r="CH62" s="39">
        <f t="shared" si="75"/>
        <v>21095572.780000001</v>
      </c>
      <c r="CI62" s="14">
        <v>21105699.550000001</v>
      </c>
      <c r="CJ62" s="14">
        <f t="shared" ref="CJ62:DO62" si="76">CI62-CJ24</f>
        <v>21105699.550000001</v>
      </c>
      <c r="CK62" s="14">
        <f t="shared" si="76"/>
        <v>21105699.550000001</v>
      </c>
      <c r="CL62" s="14">
        <f t="shared" si="76"/>
        <v>21105699.550000001</v>
      </c>
      <c r="CM62" s="14">
        <f t="shared" si="76"/>
        <v>21105699.550000001</v>
      </c>
      <c r="CN62" s="14">
        <f t="shared" si="76"/>
        <v>21105699.550000001</v>
      </c>
      <c r="CO62" s="14">
        <f t="shared" si="76"/>
        <v>21105699.550000001</v>
      </c>
      <c r="CP62" s="14">
        <f t="shared" si="76"/>
        <v>21105699.550000001</v>
      </c>
      <c r="CQ62" s="14">
        <f t="shared" si="76"/>
        <v>3105699.5500000007</v>
      </c>
      <c r="CR62" s="14">
        <f t="shared" si="76"/>
        <v>3105699.5500000007</v>
      </c>
      <c r="CS62" s="230">
        <f t="shared" si="76"/>
        <v>3105699.5500000007</v>
      </c>
      <c r="CT62" s="14">
        <f t="shared" si="76"/>
        <v>3105699.5500000007</v>
      </c>
      <c r="CU62" s="14">
        <f t="shared" si="76"/>
        <v>3105699.5500000007</v>
      </c>
      <c r="CV62" s="14">
        <f t="shared" si="76"/>
        <v>3105699.5500000007</v>
      </c>
      <c r="CW62" s="14">
        <f t="shared" si="76"/>
        <v>3105699.5500000007</v>
      </c>
      <c r="CX62" s="14">
        <f t="shared" si="76"/>
        <v>3105699.5500000007</v>
      </c>
      <c r="CY62" s="14">
        <f t="shared" si="76"/>
        <v>3105699.5500000007</v>
      </c>
      <c r="CZ62" s="14">
        <f t="shared" si="76"/>
        <v>3105699.5500000007</v>
      </c>
      <c r="DA62" s="14">
        <f t="shared" si="76"/>
        <v>3105699.5500000007</v>
      </c>
      <c r="DB62" s="14">
        <f t="shared" si="76"/>
        <v>3105699.5500000007</v>
      </c>
      <c r="DC62" s="14">
        <f t="shared" si="76"/>
        <v>3105699.5500000007</v>
      </c>
      <c r="DD62" s="39">
        <f t="shared" si="76"/>
        <v>3105699.5500000007</v>
      </c>
      <c r="DE62" s="14">
        <v>3108026.97</v>
      </c>
      <c r="DF62" s="14">
        <f t="shared" si="76"/>
        <v>3108026.97</v>
      </c>
      <c r="DG62" s="14">
        <f t="shared" si="76"/>
        <v>3108026.97</v>
      </c>
      <c r="DH62" s="14">
        <f t="shared" si="76"/>
        <v>3108026.97</v>
      </c>
      <c r="DI62" s="14">
        <f t="shared" si="76"/>
        <v>3108026.97</v>
      </c>
      <c r="DJ62" s="14">
        <f t="shared" si="76"/>
        <v>3108026.97</v>
      </c>
      <c r="DK62" s="14">
        <f t="shared" si="76"/>
        <v>3108026.97</v>
      </c>
      <c r="DL62" s="14">
        <f t="shared" si="76"/>
        <v>3108026.97</v>
      </c>
      <c r="DM62" s="14">
        <f t="shared" si="76"/>
        <v>8026.9700000002049</v>
      </c>
      <c r="DN62" s="230">
        <f t="shared" si="76"/>
        <v>8026.9700000002049</v>
      </c>
      <c r="DO62" s="14">
        <f t="shared" si="76"/>
        <v>8026.9700000002049</v>
      </c>
      <c r="DP62" s="14">
        <f t="shared" ref="DP62:EU62" si="77">DO62-DP24</f>
        <v>8026.9700000002049</v>
      </c>
      <c r="DQ62" s="14">
        <f t="shared" si="77"/>
        <v>8026.9700000002049</v>
      </c>
      <c r="DR62" s="14">
        <f t="shared" si="77"/>
        <v>8026.9700000002049</v>
      </c>
      <c r="DS62" s="14">
        <f t="shared" si="77"/>
        <v>8026.9700000002049</v>
      </c>
      <c r="DT62" s="14">
        <f t="shared" si="77"/>
        <v>8026.9700000002049</v>
      </c>
      <c r="DU62" s="14">
        <f t="shared" si="77"/>
        <v>8026.9700000002049</v>
      </c>
      <c r="DV62" s="14">
        <f t="shared" si="77"/>
        <v>8026.9700000002049</v>
      </c>
      <c r="DW62" s="14">
        <f t="shared" si="77"/>
        <v>8026.9700000002049</v>
      </c>
      <c r="DX62" s="14">
        <f t="shared" si="77"/>
        <v>8026.9700000002049</v>
      </c>
      <c r="DY62" s="14">
        <f t="shared" si="77"/>
        <v>8026.9700000002049</v>
      </c>
      <c r="DZ62" s="39">
        <v>8440.08</v>
      </c>
      <c r="EA62" s="14">
        <f t="shared" si="77"/>
        <v>8440.08</v>
      </c>
      <c r="EB62" s="14">
        <f t="shared" si="77"/>
        <v>8440.08</v>
      </c>
      <c r="EC62" s="14">
        <f t="shared" si="77"/>
        <v>8440.08</v>
      </c>
      <c r="ED62" s="14">
        <f t="shared" si="77"/>
        <v>8440.08</v>
      </c>
      <c r="EE62" s="14">
        <f t="shared" si="77"/>
        <v>8440.08</v>
      </c>
      <c r="EF62" s="14">
        <f t="shared" si="77"/>
        <v>8440.08</v>
      </c>
      <c r="EG62" s="14">
        <f t="shared" si="77"/>
        <v>8440.08</v>
      </c>
      <c r="EH62" s="14">
        <f t="shared" si="77"/>
        <v>8440.08</v>
      </c>
      <c r="EI62" s="14">
        <f t="shared" si="77"/>
        <v>8440.08</v>
      </c>
      <c r="EJ62" s="230">
        <f t="shared" si="77"/>
        <v>8440.08</v>
      </c>
      <c r="EK62" s="14">
        <f t="shared" si="77"/>
        <v>8440.08</v>
      </c>
      <c r="EL62" s="14">
        <f t="shared" si="77"/>
        <v>8440.08</v>
      </c>
      <c r="EM62" s="14">
        <f t="shared" si="77"/>
        <v>8440.08</v>
      </c>
      <c r="EN62" s="14">
        <f t="shared" si="77"/>
        <v>8440.08</v>
      </c>
      <c r="EO62" s="14">
        <f t="shared" si="77"/>
        <v>8440.08</v>
      </c>
      <c r="EP62" s="14">
        <f t="shared" si="77"/>
        <v>8440.08</v>
      </c>
      <c r="EQ62" s="14">
        <f t="shared" si="77"/>
        <v>8440.08</v>
      </c>
      <c r="ER62" s="14">
        <f t="shared" si="77"/>
        <v>8440.08</v>
      </c>
      <c r="ES62" s="14">
        <f t="shared" si="77"/>
        <v>8440.08</v>
      </c>
      <c r="ET62" s="14">
        <f t="shared" si="77"/>
        <v>8440.08</v>
      </c>
      <c r="EU62" s="39">
        <f t="shared" si="77"/>
        <v>8440.08</v>
      </c>
      <c r="EV62" s="14">
        <f t="shared" ref="EV62:GA62" si="78">EU62-EV24</f>
        <v>8440.08</v>
      </c>
      <c r="EW62" s="14">
        <f t="shared" si="78"/>
        <v>8440.08</v>
      </c>
      <c r="EX62" s="14">
        <f t="shared" si="78"/>
        <v>8440.08</v>
      </c>
      <c r="EY62" s="14">
        <f t="shared" si="78"/>
        <v>8440.08</v>
      </c>
      <c r="EZ62" s="14">
        <f t="shared" si="78"/>
        <v>8440.08</v>
      </c>
      <c r="FA62" s="14">
        <f t="shared" si="78"/>
        <v>8440.08</v>
      </c>
      <c r="FB62" s="14">
        <f t="shared" si="78"/>
        <v>8440.08</v>
      </c>
      <c r="FC62" s="14">
        <f t="shared" si="78"/>
        <v>8440.08</v>
      </c>
      <c r="FD62" s="14">
        <f t="shared" si="78"/>
        <v>8440.08</v>
      </c>
      <c r="FE62" s="230">
        <f t="shared" si="78"/>
        <v>8440.08</v>
      </c>
      <c r="FF62" s="14">
        <f t="shared" si="78"/>
        <v>8440.08</v>
      </c>
      <c r="FG62" s="14">
        <f t="shared" si="78"/>
        <v>8440.08</v>
      </c>
      <c r="FH62" s="14">
        <f t="shared" si="78"/>
        <v>8440.08</v>
      </c>
      <c r="FI62" s="14">
        <f t="shared" si="78"/>
        <v>8440.08</v>
      </c>
      <c r="FJ62" s="80">
        <f t="shared" si="78"/>
        <v>8440.08</v>
      </c>
      <c r="FK62" s="14">
        <f t="shared" si="78"/>
        <v>8440.08</v>
      </c>
      <c r="FL62" s="14">
        <f t="shared" si="78"/>
        <v>8440.08</v>
      </c>
      <c r="FM62" s="14">
        <f t="shared" si="78"/>
        <v>8440.08</v>
      </c>
      <c r="FN62" s="14">
        <f t="shared" si="78"/>
        <v>8440.08</v>
      </c>
      <c r="FO62" s="14">
        <f>FN62-FO24+5000000</f>
        <v>5008440.08</v>
      </c>
      <c r="FP62" s="39">
        <f t="shared" si="78"/>
        <v>5008440.08</v>
      </c>
      <c r="FQ62" s="14">
        <f t="shared" si="78"/>
        <v>5008440.08</v>
      </c>
      <c r="FR62" s="14">
        <f t="shared" si="78"/>
        <v>5008440.08</v>
      </c>
      <c r="FS62" s="14">
        <f t="shared" si="78"/>
        <v>5008440.08</v>
      </c>
      <c r="FT62" s="14">
        <f t="shared" si="78"/>
        <v>5008440.08</v>
      </c>
      <c r="FU62" s="14">
        <f t="shared" si="78"/>
        <v>5008440.08</v>
      </c>
      <c r="FV62" s="14">
        <f t="shared" si="78"/>
        <v>5008440.08</v>
      </c>
      <c r="FW62" s="14">
        <f t="shared" si="78"/>
        <v>5008440.08</v>
      </c>
      <c r="FX62" s="14">
        <f t="shared" si="78"/>
        <v>5008440.08</v>
      </c>
      <c r="FY62" s="14">
        <f t="shared" si="78"/>
        <v>5008440.08</v>
      </c>
      <c r="FZ62" s="230">
        <f t="shared" si="78"/>
        <v>5008440.08</v>
      </c>
      <c r="GA62" s="14">
        <f t="shared" si="78"/>
        <v>5008440.08</v>
      </c>
      <c r="GB62" s="14">
        <f t="shared" ref="GB62:HF62" si="79">GA62-GB24</f>
        <v>5008440.08</v>
      </c>
      <c r="GC62" s="14">
        <f t="shared" si="79"/>
        <v>5008440.08</v>
      </c>
      <c r="GD62" s="14">
        <f t="shared" si="79"/>
        <v>5008440.08</v>
      </c>
      <c r="GE62" s="14">
        <f t="shared" si="79"/>
        <v>5008440.08</v>
      </c>
      <c r="GF62" s="14">
        <f t="shared" si="79"/>
        <v>5008440.08</v>
      </c>
      <c r="GG62" s="14">
        <f t="shared" si="79"/>
        <v>5008440.08</v>
      </c>
      <c r="GH62" s="14">
        <f t="shared" si="79"/>
        <v>5008440.08</v>
      </c>
      <c r="GI62" s="14">
        <f t="shared" si="79"/>
        <v>5008440.08</v>
      </c>
      <c r="GJ62" s="14">
        <f t="shared" si="79"/>
        <v>5008440.08</v>
      </c>
      <c r="GK62" s="39">
        <f t="shared" si="79"/>
        <v>5008440.08</v>
      </c>
      <c r="GL62" s="14">
        <f t="shared" si="79"/>
        <v>5008440.08</v>
      </c>
      <c r="GM62" s="14">
        <f t="shared" si="79"/>
        <v>5008440.08</v>
      </c>
      <c r="GN62" s="14">
        <f t="shared" si="79"/>
        <v>5008440.08</v>
      </c>
      <c r="GO62" s="14">
        <f t="shared" si="79"/>
        <v>5008440.08</v>
      </c>
      <c r="GP62" s="14">
        <f t="shared" si="79"/>
        <v>5008440.08</v>
      </c>
      <c r="GQ62" s="14">
        <f t="shared" si="79"/>
        <v>5008440.08</v>
      </c>
      <c r="GR62" s="14">
        <f t="shared" si="79"/>
        <v>5008440.08</v>
      </c>
      <c r="GS62" s="14">
        <f t="shared" si="79"/>
        <v>5008440.08</v>
      </c>
      <c r="GT62" s="230">
        <f t="shared" si="79"/>
        <v>5008440.08</v>
      </c>
      <c r="GU62" s="14">
        <f t="shared" si="79"/>
        <v>5008440.08</v>
      </c>
      <c r="GV62" s="14">
        <f t="shared" si="79"/>
        <v>5008440.08</v>
      </c>
      <c r="GW62" s="14">
        <f t="shared" si="79"/>
        <v>5008440.08</v>
      </c>
      <c r="GX62" s="14">
        <f t="shared" si="79"/>
        <v>5008440.08</v>
      </c>
      <c r="GY62" s="14">
        <f t="shared" si="79"/>
        <v>5008440.08</v>
      </c>
      <c r="GZ62" s="14">
        <f t="shared" si="79"/>
        <v>5008440.08</v>
      </c>
      <c r="HA62" s="14">
        <f t="shared" si="79"/>
        <v>5008440.08</v>
      </c>
      <c r="HB62" s="14">
        <f t="shared" si="79"/>
        <v>5008440.08</v>
      </c>
      <c r="HC62" s="14">
        <f t="shared" si="79"/>
        <v>5008440.08</v>
      </c>
      <c r="HD62" s="39">
        <f t="shared" si="79"/>
        <v>5008440.08</v>
      </c>
      <c r="HE62" s="14">
        <v>5011192.8499999996</v>
      </c>
      <c r="HF62" s="14">
        <f t="shared" si="79"/>
        <v>5011192.8499999996</v>
      </c>
      <c r="HG62" s="14">
        <f t="shared" ref="HG62:IK62" si="80">HF62-HG24</f>
        <v>5011192.8499999996</v>
      </c>
      <c r="HH62" s="14">
        <f t="shared" si="80"/>
        <v>5011192.8499999996</v>
      </c>
      <c r="HI62" s="14">
        <f t="shared" si="80"/>
        <v>5011192.8499999996</v>
      </c>
      <c r="HJ62" s="14">
        <f t="shared" si="80"/>
        <v>5011192.8499999996</v>
      </c>
      <c r="HK62" s="14">
        <f t="shared" si="80"/>
        <v>5011192.8499999996</v>
      </c>
      <c r="HL62" s="14">
        <f t="shared" si="80"/>
        <v>5011192.8499999996</v>
      </c>
      <c r="HM62" s="14">
        <f t="shared" si="80"/>
        <v>5011192.8499999996</v>
      </c>
      <c r="HN62" s="14">
        <f t="shared" si="80"/>
        <v>11192.849999999627</v>
      </c>
      <c r="HO62" s="230">
        <f t="shared" si="80"/>
        <v>11192.849999999627</v>
      </c>
      <c r="HP62" s="14">
        <f t="shared" si="80"/>
        <v>11192.849999999627</v>
      </c>
      <c r="HQ62" s="14">
        <f t="shared" si="80"/>
        <v>11192.849999999627</v>
      </c>
      <c r="HR62" s="14">
        <f t="shared" si="80"/>
        <v>11192.849999999627</v>
      </c>
      <c r="HS62" s="14">
        <f t="shared" si="80"/>
        <v>11192.849999999627</v>
      </c>
      <c r="HT62" s="14">
        <f t="shared" si="80"/>
        <v>11192.849999999627</v>
      </c>
      <c r="HU62" s="14">
        <f t="shared" si="80"/>
        <v>11192.849999999627</v>
      </c>
      <c r="HV62" s="14">
        <f t="shared" si="80"/>
        <v>11192.849999999627</v>
      </c>
      <c r="HW62" s="14">
        <f t="shared" si="80"/>
        <v>11192.849999999627</v>
      </c>
      <c r="HX62" s="14">
        <f t="shared" si="80"/>
        <v>11192.849999999627</v>
      </c>
      <c r="HY62" s="14">
        <f>HX62-HY24+6000000</f>
        <v>6011192.8499999996</v>
      </c>
      <c r="HZ62" s="39">
        <f t="shared" si="80"/>
        <v>6011192.8499999996</v>
      </c>
      <c r="IA62" s="14">
        <f t="shared" si="80"/>
        <v>6011192.8499999996</v>
      </c>
      <c r="IB62" s="14">
        <f t="shared" si="80"/>
        <v>6011192.8499999996</v>
      </c>
      <c r="IC62" s="14">
        <f>IB62-IC24+12000000</f>
        <v>18011192.850000001</v>
      </c>
      <c r="ID62" s="14">
        <f t="shared" si="80"/>
        <v>18011192.850000001</v>
      </c>
      <c r="IE62" s="14">
        <f t="shared" si="80"/>
        <v>18011192.850000001</v>
      </c>
      <c r="IF62" s="14">
        <f t="shared" si="80"/>
        <v>18011192.850000001</v>
      </c>
      <c r="IG62" s="14">
        <f t="shared" si="80"/>
        <v>18011192.850000001</v>
      </c>
      <c r="IH62" s="14">
        <f t="shared" si="80"/>
        <v>18011192.850000001</v>
      </c>
      <c r="II62" s="14">
        <f t="shared" si="80"/>
        <v>18011192.850000001</v>
      </c>
      <c r="IJ62" s="230">
        <f t="shared" si="80"/>
        <v>18011192.850000001</v>
      </c>
      <c r="IK62" s="14">
        <f t="shared" si="80"/>
        <v>18011192.850000001</v>
      </c>
      <c r="IL62" s="14">
        <f t="shared" ref="IL62:IT62" si="81">IK62-IL24</f>
        <v>18011192.850000001</v>
      </c>
      <c r="IM62" s="14">
        <f>IL62-IM24+25000000</f>
        <v>43011192.850000001</v>
      </c>
      <c r="IN62" s="14">
        <f t="shared" si="81"/>
        <v>43011192.850000001</v>
      </c>
      <c r="IO62" s="14">
        <f t="shared" si="81"/>
        <v>43011192.850000001</v>
      </c>
      <c r="IP62" s="14">
        <f t="shared" si="81"/>
        <v>43011192.850000001</v>
      </c>
      <c r="IQ62" s="14">
        <f t="shared" si="81"/>
        <v>43011192.850000001</v>
      </c>
      <c r="IR62" s="14">
        <f>IQ62-IR24+34100000</f>
        <v>77111192.849999994</v>
      </c>
      <c r="IS62" s="14">
        <f t="shared" si="70"/>
        <v>77111192.849999994</v>
      </c>
      <c r="IT62" s="39">
        <f t="shared" si="81"/>
        <v>77111192.849999994</v>
      </c>
      <c r="IU62" s="14"/>
    </row>
    <row r="63" spans="1:255" ht="14.1" customHeight="1">
      <c r="A63" s="14" t="s">
        <v>19</v>
      </c>
      <c r="B63" s="14"/>
      <c r="C63" s="39">
        <f>16036837.1+10000000+16885.13</f>
        <v>26053722.23</v>
      </c>
      <c r="D63" s="14">
        <f t="shared" si="59"/>
        <v>26053722.23</v>
      </c>
      <c r="E63" s="14">
        <f t="shared" si="59"/>
        <v>26053722.23</v>
      </c>
      <c r="F63" s="14">
        <f t="shared" si="59"/>
        <v>26053722.23</v>
      </c>
      <c r="G63" s="14">
        <f t="shared" si="59"/>
        <v>26053722.23</v>
      </c>
      <c r="H63" s="14">
        <f t="shared" si="59"/>
        <v>26053722.23</v>
      </c>
      <c r="I63" s="14">
        <f>H63-I25+35000000</f>
        <v>61053722.230000004</v>
      </c>
      <c r="J63" s="14">
        <f t="shared" ref="J63:S63" si="82">I63-J25</f>
        <v>61053722.230000004</v>
      </c>
      <c r="K63" s="14">
        <f t="shared" si="82"/>
        <v>61053722.230000004</v>
      </c>
      <c r="L63" s="14">
        <f t="shared" si="82"/>
        <v>51053722.230000004</v>
      </c>
      <c r="M63" s="230">
        <f t="shared" si="82"/>
        <v>51053722.230000004</v>
      </c>
      <c r="N63" s="14">
        <f t="shared" si="82"/>
        <v>51053722.230000004</v>
      </c>
      <c r="O63" s="14">
        <f t="shared" si="82"/>
        <v>51053722.230000004</v>
      </c>
      <c r="P63" s="14">
        <f t="shared" si="82"/>
        <v>51053722.230000004</v>
      </c>
      <c r="Q63" s="14">
        <f t="shared" si="82"/>
        <v>51053722.230000004</v>
      </c>
      <c r="R63" s="14">
        <f t="shared" si="82"/>
        <v>51053722.230000004</v>
      </c>
      <c r="S63" s="14">
        <f t="shared" si="82"/>
        <v>51053722.230000004</v>
      </c>
      <c r="T63" s="14">
        <f>S63-T25+20000000</f>
        <v>71053722.230000004</v>
      </c>
      <c r="U63" s="14">
        <f>T63-U25</f>
        <v>71053722.230000004</v>
      </c>
      <c r="V63" s="39">
        <f>U63-V25+33509.55</f>
        <v>71087231.780000001</v>
      </c>
      <c r="W63" s="14">
        <f t="shared" ref="W63:AR63" si="83">V63-W25</f>
        <v>71087231.780000001</v>
      </c>
      <c r="X63" s="14">
        <f t="shared" si="83"/>
        <v>71087231.780000001</v>
      </c>
      <c r="Y63" s="14">
        <f t="shared" si="83"/>
        <v>71087231.780000001</v>
      </c>
      <c r="Z63" s="14">
        <f t="shared" si="83"/>
        <v>71087231.780000001</v>
      </c>
      <c r="AA63" s="14">
        <f t="shared" si="83"/>
        <v>71087231.780000001</v>
      </c>
      <c r="AB63" s="14">
        <f t="shared" si="83"/>
        <v>71087231.780000001</v>
      </c>
      <c r="AC63" s="14">
        <f t="shared" si="83"/>
        <v>71087231.780000001</v>
      </c>
      <c r="AD63" s="14">
        <f t="shared" si="83"/>
        <v>71087231.780000001</v>
      </c>
      <c r="AE63" s="14">
        <f t="shared" si="83"/>
        <v>71087231.780000001</v>
      </c>
      <c r="AF63" s="230">
        <f t="shared" si="83"/>
        <v>71087231.780000001</v>
      </c>
      <c r="AG63" s="14">
        <f t="shared" si="83"/>
        <v>71087231.780000001</v>
      </c>
      <c r="AH63" s="14">
        <f t="shared" si="83"/>
        <v>71087231.780000001</v>
      </c>
      <c r="AI63" s="14">
        <f t="shared" si="83"/>
        <v>71087231.780000001</v>
      </c>
      <c r="AJ63" s="14">
        <f t="shared" si="83"/>
        <v>71087231.780000001</v>
      </c>
      <c r="AK63" s="14">
        <f t="shared" si="83"/>
        <v>71087231.780000001</v>
      </c>
      <c r="AL63" s="14">
        <f t="shared" si="83"/>
        <v>71087231.780000001</v>
      </c>
      <c r="AM63" s="14">
        <f t="shared" si="83"/>
        <v>71087231.780000001</v>
      </c>
      <c r="AN63" s="14">
        <f t="shared" si="83"/>
        <v>71087231.780000001</v>
      </c>
      <c r="AO63" s="14">
        <f t="shared" si="83"/>
        <v>71087231.780000001</v>
      </c>
      <c r="AP63" s="14">
        <f t="shared" si="83"/>
        <v>71087231.780000001</v>
      </c>
      <c r="AQ63" s="14">
        <f t="shared" si="83"/>
        <v>71087231.780000001</v>
      </c>
      <c r="AR63" s="39">
        <f t="shared" si="83"/>
        <v>71087231.780000001</v>
      </c>
      <c r="AS63" s="14">
        <f>AR63-AS25+49203.74</f>
        <v>71136435.519999996</v>
      </c>
      <c r="AT63" s="14">
        <f t="shared" ref="AT63:BJ63" si="84">AS63-AT25</f>
        <v>71136435.519999996</v>
      </c>
      <c r="AU63" s="14">
        <f t="shared" si="84"/>
        <v>71136435.519999996</v>
      </c>
      <c r="AV63" s="14">
        <f t="shared" si="84"/>
        <v>71136435.519999996</v>
      </c>
      <c r="AW63" s="14">
        <f t="shared" si="84"/>
        <v>71136435.519999996</v>
      </c>
      <c r="AX63" s="14">
        <f t="shared" si="84"/>
        <v>71136435.519999996</v>
      </c>
      <c r="AY63" s="14">
        <f t="shared" si="84"/>
        <v>71136435.519999996</v>
      </c>
      <c r="AZ63" s="14">
        <f t="shared" si="84"/>
        <v>71136435.519999996</v>
      </c>
      <c r="BA63" s="14">
        <f t="shared" si="84"/>
        <v>71136435.519999996</v>
      </c>
      <c r="BB63" s="14">
        <f t="shared" si="84"/>
        <v>41136435.519999996</v>
      </c>
      <c r="BC63" s="230">
        <f t="shared" si="84"/>
        <v>41136435.519999996</v>
      </c>
      <c r="BD63" s="14">
        <f t="shared" si="84"/>
        <v>41136435.519999996</v>
      </c>
      <c r="BE63" s="14">
        <f t="shared" si="84"/>
        <v>41136435.519999996</v>
      </c>
      <c r="BF63" s="14">
        <f t="shared" si="84"/>
        <v>41136435.519999996</v>
      </c>
      <c r="BG63" s="14">
        <f t="shared" si="84"/>
        <v>41136435.519999996</v>
      </c>
      <c r="BH63" s="14">
        <f t="shared" si="84"/>
        <v>41136435.519999996</v>
      </c>
      <c r="BI63" s="14">
        <f t="shared" si="84"/>
        <v>41136435.519999996</v>
      </c>
      <c r="BJ63" s="14">
        <f t="shared" si="84"/>
        <v>41136435.519999996</v>
      </c>
      <c r="BK63" s="14">
        <f>BJ63-BK25</f>
        <v>41136435.519999996</v>
      </c>
      <c r="BL63" s="14">
        <f t="shared" si="74"/>
        <v>41136435.519999996</v>
      </c>
      <c r="BM63" s="14">
        <f t="shared" si="74"/>
        <v>41136435.519999996</v>
      </c>
      <c r="BN63" s="39">
        <f t="shared" si="74"/>
        <v>41136435.519999996</v>
      </c>
      <c r="BO63" s="14">
        <f>BN63-BO25+32004.22</f>
        <v>41168439.739999995</v>
      </c>
      <c r="BP63" s="14">
        <f t="shared" ref="BP63:CH63" si="85">BO63-BP25</f>
        <v>41168439.739999995</v>
      </c>
      <c r="BQ63" s="14">
        <f t="shared" si="85"/>
        <v>41168439.739999995</v>
      </c>
      <c r="BR63" s="14">
        <f t="shared" si="85"/>
        <v>41168439.739999995</v>
      </c>
      <c r="BS63" s="14">
        <f t="shared" si="85"/>
        <v>41168439.739999995</v>
      </c>
      <c r="BT63" s="14">
        <f t="shared" si="85"/>
        <v>41168439.739999995</v>
      </c>
      <c r="BU63" s="14">
        <f t="shared" si="85"/>
        <v>41168439.739999995</v>
      </c>
      <c r="BV63" s="14">
        <f t="shared" si="85"/>
        <v>28168439.739999995</v>
      </c>
      <c r="BW63" s="14">
        <f t="shared" si="85"/>
        <v>28168439.739999995</v>
      </c>
      <c r="BX63" s="14">
        <f t="shared" si="85"/>
        <v>28168439.739999995</v>
      </c>
      <c r="BY63" s="230">
        <f t="shared" si="85"/>
        <v>28168439.739999995</v>
      </c>
      <c r="BZ63" s="14">
        <f t="shared" si="85"/>
        <v>28168439.739999995</v>
      </c>
      <c r="CA63" s="14">
        <f t="shared" si="85"/>
        <v>28168439.739999995</v>
      </c>
      <c r="CB63" s="14">
        <f t="shared" si="85"/>
        <v>28168439.739999995</v>
      </c>
      <c r="CC63" s="14">
        <f t="shared" si="85"/>
        <v>28168439.739999995</v>
      </c>
      <c r="CD63" s="14">
        <f t="shared" si="85"/>
        <v>28168439.739999995</v>
      </c>
      <c r="CE63" s="14">
        <f t="shared" si="85"/>
        <v>20168439.739999995</v>
      </c>
      <c r="CF63" s="14">
        <f t="shared" si="85"/>
        <v>20168439.739999995</v>
      </c>
      <c r="CG63" s="14">
        <f t="shared" si="85"/>
        <v>20168439.739999995</v>
      </c>
      <c r="CH63" s="39">
        <f t="shared" si="85"/>
        <v>20168439.739999995</v>
      </c>
      <c r="CI63" s="14">
        <v>20184530.359999999</v>
      </c>
      <c r="CJ63" s="14">
        <f t="shared" ref="CJ63:DO63" si="86">CI63-CJ25</f>
        <v>20184530.359999999</v>
      </c>
      <c r="CK63" s="14">
        <f t="shared" si="86"/>
        <v>20184530.359999999</v>
      </c>
      <c r="CL63" s="14">
        <f t="shared" si="86"/>
        <v>20184530.359999999</v>
      </c>
      <c r="CM63" s="14">
        <f t="shared" si="86"/>
        <v>20184530.359999999</v>
      </c>
      <c r="CN63" s="14">
        <f t="shared" si="86"/>
        <v>20184530.359999999</v>
      </c>
      <c r="CO63" s="14">
        <f t="shared" si="86"/>
        <v>20184530.359999999</v>
      </c>
      <c r="CP63" s="14">
        <f t="shared" si="86"/>
        <v>20184530.359999999</v>
      </c>
      <c r="CQ63" s="14">
        <f t="shared" si="86"/>
        <v>3184530.3599999994</v>
      </c>
      <c r="CR63" s="14">
        <f t="shared" si="86"/>
        <v>3184530.3599999994</v>
      </c>
      <c r="CS63" s="230">
        <f t="shared" si="86"/>
        <v>3184530.3599999994</v>
      </c>
      <c r="CT63" s="14">
        <f t="shared" si="86"/>
        <v>3184530.3599999994</v>
      </c>
      <c r="CU63" s="14">
        <f t="shared" si="86"/>
        <v>3184530.3599999994</v>
      </c>
      <c r="CV63" s="14">
        <f t="shared" si="86"/>
        <v>3184530.3599999994</v>
      </c>
      <c r="CW63" s="14">
        <f t="shared" si="86"/>
        <v>3184530.3599999994</v>
      </c>
      <c r="CX63" s="14">
        <f t="shared" si="86"/>
        <v>3184530.3599999994</v>
      </c>
      <c r="CY63" s="14">
        <f t="shared" si="86"/>
        <v>3184530.3599999994</v>
      </c>
      <c r="CZ63" s="14">
        <f t="shared" si="86"/>
        <v>3184530.3599999994</v>
      </c>
      <c r="DA63" s="14">
        <f t="shared" si="86"/>
        <v>3184530.3599999994</v>
      </c>
      <c r="DB63" s="14">
        <f t="shared" si="86"/>
        <v>3184530.3599999994</v>
      </c>
      <c r="DC63" s="14">
        <f t="shared" si="86"/>
        <v>3184530.3599999994</v>
      </c>
      <c r="DD63" s="39">
        <f t="shared" si="86"/>
        <v>3184530.3599999994</v>
      </c>
      <c r="DE63" s="14">
        <v>3188538.84</v>
      </c>
      <c r="DF63" s="14">
        <f t="shared" si="86"/>
        <v>3188538.84</v>
      </c>
      <c r="DG63" s="14">
        <f t="shared" si="86"/>
        <v>3188538.84</v>
      </c>
      <c r="DH63" s="14">
        <f t="shared" si="86"/>
        <v>3188538.84</v>
      </c>
      <c r="DI63" s="14">
        <f t="shared" si="86"/>
        <v>3188538.84</v>
      </c>
      <c r="DJ63" s="14">
        <f t="shared" si="86"/>
        <v>3188538.84</v>
      </c>
      <c r="DK63" s="14">
        <f t="shared" si="86"/>
        <v>3188538.84</v>
      </c>
      <c r="DL63" s="14">
        <f t="shared" si="86"/>
        <v>3188538.84</v>
      </c>
      <c r="DM63" s="14">
        <f t="shared" si="86"/>
        <v>8538.839999999851</v>
      </c>
      <c r="DN63" s="230">
        <f t="shared" si="86"/>
        <v>8538.839999999851</v>
      </c>
      <c r="DO63" s="14">
        <f t="shared" si="86"/>
        <v>8538.839999999851</v>
      </c>
      <c r="DP63" s="14">
        <f t="shared" ref="DP63:EU63" si="87">DO63-DP25</f>
        <v>8538.839999999851</v>
      </c>
      <c r="DQ63" s="14">
        <f t="shared" si="87"/>
        <v>8538.839999999851</v>
      </c>
      <c r="DR63" s="14">
        <f t="shared" si="87"/>
        <v>8538.839999999851</v>
      </c>
      <c r="DS63" s="14">
        <f t="shared" si="87"/>
        <v>8538.839999999851</v>
      </c>
      <c r="DT63" s="14">
        <f t="shared" si="87"/>
        <v>8538.839999999851</v>
      </c>
      <c r="DU63" s="14">
        <f t="shared" si="87"/>
        <v>8538.839999999851</v>
      </c>
      <c r="DV63" s="14">
        <f t="shared" si="87"/>
        <v>8538.839999999851</v>
      </c>
      <c r="DW63" s="14">
        <f t="shared" si="87"/>
        <v>8538.839999999851</v>
      </c>
      <c r="DX63" s="14">
        <f t="shared" si="87"/>
        <v>8538.839999999851</v>
      </c>
      <c r="DY63" s="14">
        <f t="shared" si="87"/>
        <v>8538.839999999851</v>
      </c>
      <c r="DZ63" s="39">
        <v>9115.08</v>
      </c>
      <c r="EA63" s="14">
        <f t="shared" si="87"/>
        <v>9115.08</v>
      </c>
      <c r="EB63" s="14">
        <f t="shared" si="87"/>
        <v>9115.08</v>
      </c>
      <c r="EC63" s="14">
        <f t="shared" si="87"/>
        <v>9115.08</v>
      </c>
      <c r="ED63" s="14">
        <f t="shared" si="87"/>
        <v>9115.08</v>
      </c>
      <c r="EE63" s="14">
        <f t="shared" si="87"/>
        <v>9115.08</v>
      </c>
      <c r="EF63" s="14">
        <f t="shared" si="87"/>
        <v>9115.08</v>
      </c>
      <c r="EG63" s="14">
        <f t="shared" si="87"/>
        <v>9115.08</v>
      </c>
      <c r="EH63" s="14">
        <f t="shared" si="87"/>
        <v>9115.08</v>
      </c>
      <c r="EI63" s="14">
        <f t="shared" si="87"/>
        <v>9115.08</v>
      </c>
      <c r="EJ63" s="230">
        <f t="shared" si="87"/>
        <v>9115.08</v>
      </c>
      <c r="EK63" s="14">
        <f t="shared" si="87"/>
        <v>9115.08</v>
      </c>
      <c r="EL63" s="14">
        <f t="shared" si="87"/>
        <v>9115.08</v>
      </c>
      <c r="EM63" s="14">
        <f t="shared" si="87"/>
        <v>9115.08</v>
      </c>
      <c r="EN63" s="14">
        <f t="shared" si="87"/>
        <v>9115.08</v>
      </c>
      <c r="EO63" s="14">
        <f t="shared" si="87"/>
        <v>9115.08</v>
      </c>
      <c r="EP63" s="14">
        <f t="shared" si="87"/>
        <v>9115.08</v>
      </c>
      <c r="EQ63" s="14">
        <f t="shared" si="87"/>
        <v>9115.08</v>
      </c>
      <c r="ER63" s="14">
        <f t="shared" si="87"/>
        <v>9115.08</v>
      </c>
      <c r="ES63" s="14">
        <f t="shared" si="87"/>
        <v>9115.08</v>
      </c>
      <c r="ET63" s="14">
        <f t="shared" si="87"/>
        <v>9115.08</v>
      </c>
      <c r="EU63" s="39">
        <f t="shared" si="87"/>
        <v>9115.08</v>
      </c>
      <c r="EV63" s="14">
        <f t="shared" ref="EV63:GA63" si="88">EU63-EV25</f>
        <v>9115.08</v>
      </c>
      <c r="EW63" s="14">
        <f t="shared" si="88"/>
        <v>9115.08</v>
      </c>
      <c r="EX63" s="14">
        <f t="shared" si="88"/>
        <v>9115.08</v>
      </c>
      <c r="EY63" s="14">
        <f t="shared" si="88"/>
        <v>9115.08</v>
      </c>
      <c r="EZ63" s="14">
        <f t="shared" si="88"/>
        <v>9115.08</v>
      </c>
      <c r="FA63" s="14">
        <f t="shared" si="88"/>
        <v>9115.08</v>
      </c>
      <c r="FB63" s="14">
        <f t="shared" si="88"/>
        <v>9115.08</v>
      </c>
      <c r="FC63" s="14">
        <f t="shared" si="88"/>
        <v>9115.08</v>
      </c>
      <c r="FD63" s="14">
        <f t="shared" si="88"/>
        <v>9115.08</v>
      </c>
      <c r="FE63" s="230">
        <f t="shared" si="88"/>
        <v>9115.08</v>
      </c>
      <c r="FF63" s="14">
        <f t="shared" si="88"/>
        <v>9115.08</v>
      </c>
      <c r="FG63" s="14">
        <f t="shared" si="88"/>
        <v>9115.08</v>
      </c>
      <c r="FH63" s="14">
        <f t="shared" si="88"/>
        <v>9115.08</v>
      </c>
      <c r="FI63" s="14">
        <f t="shared" si="88"/>
        <v>9115.08</v>
      </c>
      <c r="FJ63" s="80">
        <f t="shared" si="88"/>
        <v>9115.08</v>
      </c>
      <c r="FK63" s="14">
        <f t="shared" si="88"/>
        <v>9115.08</v>
      </c>
      <c r="FL63" s="14">
        <f t="shared" si="88"/>
        <v>9115.08</v>
      </c>
      <c r="FM63" s="14">
        <f t="shared" si="88"/>
        <v>9115.08</v>
      </c>
      <c r="FN63" s="14">
        <f t="shared" si="88"/>
        <v>9115.08</v>
      </c>
      <c r="FO63" s="14">
        <f>FN63-FO25+5000000</f>
        <v>5009115.08</v>
      </c>
      <c r="FP63" s="39">
        <f t="shared" si="88"/>
        <v>5009115.08</v>
      </c>
      <c r="FQ63" s="14">
        <f t="shared" si="88"/>
        <v>5009115.08</v>
      </c>
      <c r="FR63" s="14">
        <f t="shared" si="88"/>
        <v>5009115.08</v>
      </c>
      <c r="FS63" s="14">
        <f t="shared" si="88"/>
        <v>5009115.08</v>
      </c>
      <c r="FT63" s="14">
        <f t="shared" si="88"/>
        <v>5009115.08</v>
      </c>
      <c r="FU63" s="14">
        <f t="shared" si="88"/>
        <v>5009115.08</v>
      </c>
      <c r="FV63" s="14">
        <f t="shared" si="88"/>
        <v>5009115.08</v>
      </c>
      <c r="FW63" s="14">
        <f t="shared" si="88"/>
        <v>5009115.08</v>
      </c>
      <c r="FX63" s="14">
        <f t="shared" si="88"/>
        <v>5009115.08</v>
      </c>
      <c r="FY63" s="14">
        <f t="shared" si="88"/>
        <v>5009115.08</v>
      </c>
      <c r="FZ63" s="230">
        <f t="shared" si="88"/>
        <v>5009115.08</v>
      </c>
      <c r="GA63" s="14">
        <f t="shared" si="88"/>
        <v>5009115.08</v>
      </c>
      <c r="GB63" s="14">
        <f t="shared" ref="GB63:HF63" si="89">GA63-GB25</f>
        <v>5009115.08</v>
      </c>
      <c r="GC63" s="14">
        <f t="shared" si="89"/>
        <v>5009115.08</v>
      </c>
      <c r="GD63" s="14">
        <f t="shared" si="89"/>
        <v>5009115.08</v>
      </c>
      <c r="GE63" s="14">
        <f t="shared" si="89"/>
        <v>5009115.08</v>
      </c>
      <c r="GF63" s="14">
        <f t="shared" si="89"/>
        <v>5009115.08</v>
      </c>
      <c r="GG63" s="14">
        <f t="shared" si="89"/>
        <v>5009115.08</v>
      </c>
      <c r="GH63" s="14">
        <f t="shared" si="89"/>
        <v>5009115.08</v>
      </c>
      <c r="GI63" s="14">
        <f t="shared" si="89"/>
        <v>5009115.08</v>
      </c>
      <c r="GJ63" s="14">
        <f t="shared" si="89"/>
        <v>5009115.08</v>
      </c>
      <c r="GK63" s="39">
        <f t="shared" si="89"/>
        <v>5009115.08</v>
      </c>
      <c r="GL63" s="14">
        <f t="shared" si="89"/>
        <v>5009115.08</v>
      </c>
      <c r="GM63" s="14">
        <f t="shared" si="89"/>
        <v>5009115.08</v>
      </c>
      <c r="GN63" s="14">
        <f t="shared" si="89"/>
        <v>5009115.08</v>
      </c>
      <c r="GO63" s="14">
        <f t="shared" si="89"/>
        <v>5009115.08</v>
      </c>
      <c r="GP63" s="14">
        <f t="shared" si="89"/>
        <v>5009115.08</v>
      </c>
      <c r="GQ63" s="14">
        <f t="shared" si="89"/>
        <v>5009115.08</v>
      </c>
      <c r="GR63" s="14">
        <f t="shared" si="89"/>
        <v>5009115.08</v>
      </c>
      <c r="GS63" s="14">
        <f t="shared" si="89"/>
        <v>5009115.08</v>
      </c>
      <c r="GT63" s="230">
        <f t="shared" si="89"/>
        <v>5009115.08</v>
      </c>
      <c r="GU63" s="14">
        <f t="shared" si="89"/>
        <v>5009115.08</v>
      </c>
      <c r="GV63" s="14">
        <f t="shared" si="89"/>
        <v>5009115.08</v>
      </c>
      <c r="GW63" s="14">
        <f t="shared" si="89"/>
        <v>5009115.08</v>
      </c>
      <c r="GX63" s="14">
        <f t="shared" si="89"/>
        <v>5009115.08</v>
      </c>
      <c r="GY63" s="14">
        <f t="shared" si="89"/>
        <v>5009115.08</v>
      </c>
      <c r="GZ63" s="14">
        <f t="shared" si="89"/>
        <v>5009115.08</v>
      </c>
      <c r="HA63" s="14">
        <f t="shared" si="89"/>
        <v>5009115.08</v>
      </c>
      <c r="HB63" s="14">
        <f t="shared" si="89"/>
        <v>5009115.08</v>
      </c>
      <c r="HC63" s="14">
        <f t="shared" si="89"/>
        <v>5009115.08</v>
      </c>
      <c r="HD63" s="39">
        <f t="shared" si="89"/>
        <v>5009115.08</v>
      </c>
      <c r="HE63" s="14">
        <v>5011648.0999999996</v>
      </c>
      <c r="HF63" s="14">
        <f t="shared" si="89"/>
        <v>5011648.0999999996</v>
      </c>
      <c r="HG63" s="14">
        <f t="shared" ref="HG63:IK63" si="90">HF63-HG25</f>
        <v>5011648.0999999996</v>
      </c>
      <c r="HH63" s="14">
        <f t="shared" si="90"/>
        <v>5011648.0999999996</v>
      </c>
      <c r="HI63" s="14">
        <f t="shared" si="90"/>
        <v>5011648.0999999996</v>
      </c>
      <c r="HJ63" s="14">
        <f t="shared" si="90"/>
        <v>5011648.0999999996</v>
      </c>
      <c r="HK63" s="14">
        <f t="shared" si="90"/>
        <v>5011648.0999999996</v>
      </c>
      <c r="HL63" s="14">
        <f t="shared" si="90"/>
        <v>5011648.0999999996</v>
      </c>
      <c r="HM63" s="14">
        <f t="shared" si="90"/>
        <v>5011648.0999999996</v>
      </c>
      <c r="HN63" s="14">
        <f t="shared" si="90"/>
        <v>5011648.0999999996</v>
      </c>
      <c r="HO63" s="230">
        <f t="shared" si="90"/>
        <v>11648.099999999627</v>
      </c>
      <c r="HP63" s="14">
        <f t="shared" si="90"/>
        <v>11648.099999999627</v>
      </c>
      <c r="HQ63" s="14">
        <f t="shared" si="90"/>
        <v>11648.099999999627</v>
      </c>
      <c r="HR63" s="14">
        <f t="shared" si="90"/>
        <v>11648.099999999627</v>
      </c>
      <c r="HS63" s="14">
        <f t="shared" si="90"/>
        <v>11648.099999999627</v>
      </c>
      <c r="HT63" s="14">
        <f t="shared" si="90"/>
        <v>11648.099999999627</v>
      </c>
      <c r="HU63" s="14">
        <f t="shared" si="90"/>
        <v>11648.099999999627</v>
      </c>
      <c r="HV63" s="14">
        <f t="shared" si="90"/>
        <v>11648.099999999627</v>
      </c>
      <c r="HW63" s="14">
        <f t="shared" si="90"/>
        <v>11648.099999999627</v>
      </c>
      <c r="HX63" s="14">
        <f t="shared" si="90"/>
        <v>11648.099999999627</v>
      </c>
      <c r="HY63" s="14">
        <f t="shared" si="90"/>
        <v>11648.099999999627</v>
      </c>
      <c r="HZ63" s="39">
        <f t="shared" si="90"/>
        <v>11648.099999999627</v>
      </c>
      <c r="IA63" s="14">
        <f t="shared" si="90"/>
        <v>11648.099999999627</v>
      </c>
      <c r="IB63" s="14">
        <f t="shared" si="90"/>
        <v>11648.099999999627</v>
      </c>
      <c r="IC63" s="14">
        <f t="shared" si="90"/>
        <v>11648.099999999627</v>
      </c>
      <c r="ID63" s="14">
        <f t="shared" si="90"/>
        <v>11648.099999999627</v>
      </c>
      <c r="IE63" s="14">
        <f t="shared" si="90"/>
        <v>11648.099999999627</v>
      </c>
      <c r="IF63" s="14">
        <f t="shared" si="90"/>
        <v>11648.099999999627</v>
      </c>
      <c r="IG63" s="14">
        <f t="shared" si="90"/>
        <v>11648.099999999627</v>
      </c>
      <c r="IH63" s="14">
        <f t="shared" si="90"/>
        <v>11648.099999999627</v>
      </c>
      <c r="II63" s="14">
        <f t="shared" si="90"/>
        <v>11648.099999999627</v>
      </c>
      <c r="IJ63" s="230">
        <f t="shared" si="90"/>
        <v>11648.099999999627</v>
      </c>
      <c r="IK63" s="14">
        <f t="shared" si="90"/>
        <v>11648.099999999627</v>
      </c>
      <c r="IL63" s="14">
        <f t="shared" ref="IL63:IT63" si="91">IK63-IL25</f>
        <v>11648.099999999627</v>
      </c>
      <c r="IM63" s="14">
        <f>IL63-IM25+20000000</f>
        <v>20011648.100000001</v>
      </c>
      <c r="IN63" s="14">
        <f t="shared" si="91"/>
        <v>20011648.100000001</v>
      </c>
      <c r="IO63" s="14">
        <f t="shared" si="91"/>
        <v>20011648.100000001</v>
      </c>
      <c r="IP63" s="14">
        <f t="shared" si="91"/>
        <v>20011648.100000001</v>
      </c>
      <c r="IQ63" s="14">
        <f t="shared" si="91"/>
        <v>20011648.100000001</v>
      </c>
      <c r="IR63" s="14">
        <f t="shared" si="70"/>
        <v>20011648.100000001</v>
      </c>
      <c r="IS63" s="14">
        <f t="shared" si="70"/>
        <v>20011648.100000001</v>
      </c>
      <c r="IT63" s="39">
        <f t="shared" si="91"/>
        <v>20011648.100000001</v>
      </c>
      <c r="IU63" s="14"/>
    </row>
    <row r="64" spans="1:255" ht="14.1" customHeight="1">
      <c r="A64" s="14" t="s">
        <v>56</v>
      </c>
      <c r="B64" s="14"/>
      <c r="C64" s="39">
        <f>25797123.7+15000000+20297.93</f>
        <v>40817421.630000003</v>
      </c>
      <c r="D64" s="14">
        <f>+C64</f>
        <v>40817421.630000003</v>
      </c>
      <c r="E64" s="14">
        <f>+D64</f>
        <v>40817421.630000003</v>
      </c>
      <c r="F64" s="14">
        <f>+E64</f>
        <v>40817421.630000003</v>
      </c>
      <c r="G64" s="14">
        <f>+F64</f>
        <v>40817421.630000003</v>
      </c>
      <c r="H64" s="14">
        <f>+G64</f>
        <v>40817421.630000003</v>
      </c>
      <c r="I64" s="14">
        <f>+H64+40000000</f>
        <v>80817421.629999995</v>
      </c>
      <c r="J64" s="14">
        <f>+I64</f>
        <v>80817421.629999995</v>
      </c>
      <c r="K64" s="14">
        <f>+J64</f>
        <v>80817421.629999995</v>
      </c>
      <c r="L64" s="14">
        <f>+K64-L22</f>
        <v>65817421.629999995</v>
      </c>
      <c r="M64" s="230">
        <f t="shared" ref="M64:S64" si="92">+L64+M22</f>
        <v>65817421.629999995</v>
      </c>
      <c r="N64" s="14">
        <f t="shared" si="92"/>
        <v>65817421.629999995</v>
      </c>
      <c r="O64" s="14">
        <f t="shared" si="92"/>
        <v>65817421.629999995</v>
      </c>
      <c r="P64" s="14">
        <f t="shared" si="92"/>
        <v>65817421.629999995</v>
      </c>
      <c r="Q64" s="14">
        <f t="shared" si="92"/>
        <v>65817421.629999995</v>
      </c>
      <c r="R64" s="14">
        <f t="shared" si="92"/>
        <v>65817421.629999995</v>
      </c>
      <c r="S64" s="14">
        <f t="shared" si="92"/>
        <v>65817421.629999995</v>
      </c>
      <c r="T64" s="14">
        <f>+S64-T22+20000000</f>
        <v>85817421.629999995</v>
      </c>
      <c r="U64" s="14">
        <f t="shared" ref="U64:AR64" si="93">+T64-U22</f>
        <v>85817421.629999995</v>
      </c>
      <c r="V64" s="39">
        <f t="shared" si="93"/>
        <v>85817421.629999995</v>
      </c>
      <c r="W64" s="14">
        <f t="shared" si="93"/>
        <v>85817421.629999995</v>
      </c>
      <c r="X64" s="14">
        <f t="shared" si="93"/>
        <v>85817421.629999995</v>
      </c>
      <c r="Y64" s="14">
        <f t="shared" si="93"/>
        <v>85817421.629999995</v>
      </c>
      <c r="Z64" s="14">
        <f t="shared" si="93"/>
        <v>85817421.629999995</v>
      </c>
      <c r="AA64" s="14">
        <f t="shared" si="93"/>
        <v>85817421.629999995</v>
      </c>
      <c r="AB64" s="14">
        <f t="shared" si="93"/>
        <v>85817421.629999995</v>
      </c>
      <c r="AC64" s="14">
        <f t="shared" si="93"/>
        <v>85817421.629999995</v>
      </c>
      <c r="AD64" s="14">
        <f t="shared" si="93"/>
        <v>85817421.629999995</v>
      </c>
      <c r="AE64" s="14">
        <f t="shared" si="93"/>
        <v>85817421.629999995</v>
      </c>
      <c r="AF64" s="230">
        <f t="shared" si="93"/>
        <v>85817421.629999995</v>
      </c>
      <c r="AG64" s="14">
        <f t="shared" si="93"/>
        <v>85817421.629999995</v>
      </c>
      <c r="AH64" s="14">
        <f t="shared" si="93"/>
        <v>85817421.629999995</v>
      </c>
      <c r="AI64" s="14">
        <f t="shared" si="93"/>
        <v>85817421.629999995</v>
      </c>
      <c r="AJ64" s="14">
        <f t="shared" si="93"/>
        <v>85817421.629999995</v>
      </c>
      <c r="AK64" s="14">
        <f t="shared" si="93"/>
        <v>85817421.629999995</v>
      </c>
      <c r="AL64" s="14">
        <f t="shared" si="93"/>
        <v>85817421.629999995</v>
      </c>
      <c r="AM64" s="14">
        <f t="shared" si="93"/>
        <v>85817421.629999995</v>
      </c>
      <c r="AN64" s="14">
        <f t="shared" si="93"/>
        <v>85817421.629999995</v>
      </c>
      <c r="AO64" s="14">
        <f t="shared" si="93"/>
        <v>85817421.629999995</v>
      </c>
      <c r="AP64" s="14">
        <f t="shared" si="93"/>
        <v>85817421.629999995</v>
      </c>
      <c r="AQ64" s="14">
        <f t="shared" si="93"/>
        <v>85817421.629999995</v>
      </c>
      <c r="AR64" s="39">
        <f t="shared" si="93"/>
        <v>85817421.629999995</v>
      </c>
      <c r="AS64" s="14">
        <v>85911316.209999993</v>
      </c>
      <c r="AT64" s="14">
        <f t="shared" ref="AT64:BN64" si="94">+AS64-AT22</f>
        <v>85911316.209999993</v>
      </c>
      <c r="AU64" s="14">
        <f t="shared" si="94"/>
        <v>85911316.209999993</v>
      </c>
      <c r="AV64" s="14">
        <f t="shared" si="94"/>
        <v>85911316.209999993</v>
      </c>
      <c r="AW64" s="14">
        <f t="shared" si="94"/>
        <v>85911316.209999993</v>
      </c>
      <c r="AX64" s="14">
        <f t="shared" si="94"/>
        <v>85911316.209999993</v>
      </c>
      <c r="AY64" s="14">
        <f t="shared" si="94"/>
        <v>85911316.209999993</v>
      </c>
      <c r="AZ64" s="14">
        <f t="shared" si="94"/>
        <v>85911316.209999993</v>
      </c>
      <c r="BA64" s="14">
        <f t="shared" si="94"/>
        <v>85911316.209999993</v>
      </c>
      <c r="BB64" s="14">
        <f t="shared" si="94"/>
        <v>55911316.209999993</v>
      </c>
      <c r="BC64" s="230">
        <f t="shared" si="94"/>
        <v>55911316.209999993</v>
      </c>
      <c r="BD64" s="14">
        <f t="shared" si="94"/>
        <v>55911316.209999993</v>
      </c>
      <c r="BE64" s="14">
        <f t="shared" si="94"/>
        <v>55911316.209999993</v>
      </c>
      <c r="BF64" s="14">
        <f t="shared" si="94"/>
        <v>55911316.209999993</v>
      </c>
      <c r="BG64" s="14">
        <f t="shared" si="94"/>
        <v>55911316.209999993</v>
      </c>
      <c r="BH64" s="14">
        <f t="shared" si="94"/>
        <v>55911316.209999993</v>
      </c>
      <c r="BI64" s="14">
        <f t="shared" si="94"/>
        <v>55911316.209999993</v>
      </c>
      <c r="BJ64" s="14">
        <f t="shared" si="94"/>
        <v>55911316.209999993</v>
      </c>
      <c r="BK64" s="14">
        <f t="shared" si="94"/>
        <v>55911316.209999993</v>
      </c>
      <c r="BL64" s="14">
        <f t="shared" si="94"/>
        <v>55911316.209999993</v>
      </c>
      <c r="BM64" s="14">
        <f t="shared" si="94"/>
        <v>55911316.209999993</v>
      </c>
      <c r="BN64" s="39">
        <f t="shared" si="94"/>
        <v>55911316.209999993</v>
      </c>
      <c r="BO64" s="14">
        <v>55947233.719999999</v>
      </c>
      <c r="BP64" s="14">
        <f t="shared" ref="BP64:CH64" si="95">+BO64-BP22</f>
        <v>55947233.719999999</v>
      </c>
      <c r="BQ64" s="14">
        <f t="shared" si="95"/>
        <v>55947233.719999999</v>
      </c>
      <c r="BR64" s="14">
        <f t="shared" si="95"/>
        <v>55947233.719999999</v>
      </c>
      <c r="BS64" s="14">
        <f t="shared" si="95"/>
        <v>55947233.719999999</v>
      </c>
      <c r="BT64" s="14">
        <f t="shared" si="95"/>
        <v>55947233.719999999</v>
      </c>
      <c r="BU64" s="14">
        <f t="shared" si="95"/>
        <v>55947233.719999999</v>
      </c>
      <c r="BV64" s="14">
        <f t="shared" si="95"/>
        <v>45947233.719999999</v>
      </c>
      <c r="BW64" s="14">
        <f t="shared" si="95"/>
        <v>45947233.719999999</v>
      </c>
      <c r="BX64" s="14">
        <f t="shared" si="95"/>
        <v>45947233.719999999</v>
      </c>
      <c r="BY64" s="230">
        <f t="shared" si="95"/>
        <v>45947233.719999999</v>
      </c>
      <c r="BZ64" s="14">
        <f t="shared" si="95"/>
        <v>45947233.719999999</v>
      </c>
      <c r="CA64" s="14">
        <f t="shared" si="95"/>
        <v>45947233.719999999</v>
      </c>
      <c r="CB64" s="14">
        <f t="shared" si="95"/>
        <v>45947233.719999999</v>
      </c>
      <c r="CC64" s="14">
        <f t="shared" si="95"/>
        <v>45947233.719999999</v>
      </c>
      <c r="CD64" s="14">
        <f t="shared" si="95"/>
        <v>45947233.719999999</v>
      </c>
      <c r="CE64" s="14">
        <f t="shared" si="95"/>
        <v>37947233.719999999</v>
      </c>
      <c r="CF64" s="14">
        <f t="shared" si="95"/>
        <v>37947233.719999999</v>
      </c>
      <c r="CG64" s="14">
        <f t="shared" si="95"/>
        <v>37947233.719999999</v>
      </c>
      <c r="CH64" s="39">
        <f t="shared" si="95"/>
        <v>37947233.719999999</v>
      </c>
      <c r="CI64" s="14">
        <v>37969855.439999998</v>
      </c>
      <c r="CJ64" s="14">
        <f t="shared" ref="CJ64:DO64" si="96">+CI64-CJ22</f>
        <v>37969855.439999998</v>
      </c>
      <c r="CK64" s="14">
        <f t="shared" si="96"/>
        <v>37969855.439999998</v>
      </c>
      <c r="CL64" s="14">
        <f t="shared" si="96"/>
        <v>37969855.439999998</v>
      </c>
      <c r="CM64" s="14">
        <f t="shared" si="96"/>
        <v>37969855.439999998</v>
      </c>
      <c r="CN64" s="14">
        <f t="shared" si="96"/>
        <v>37969855.439999998</v>
      </c>
      <c r="CO64" s="14">
        <f t="shared" si="96"/>
        <v>37969855.439999998</v>
      </c>
      <c r="CP64" s="14">
        <f t="shared" si="96"/>
        <v>37969855.439999998</v>
      </c>
      <c r="CQ64" s="14">
        <f t="shared" si="96"/>
        <v>7969855.4399999976</v>
      </c>
      <c r="CR64" s="14">
        <f t="shared" si="96"/>
        <v>7969855.4399999976</v>
      </c>
      <c r="CS64" s="230">
        <f t="shared" si="96"/>
        <v>7969855.4399999976</v>
      </c>
      <c r="CT64" s="14">
        <f t="shared" si="96"/>
        <v>7969855.4399999976</v>
      </c>
      <c r="CU64" s="14">
        <f t="shared" si="96"/>
        <v>7969855.4399999976</v>
      </c>
      <c r="CV64" s="14">
        <f t="shared" si="96"/>
        <v>7969855.4399999976</v>
      </c>
      <c r="CW64" s="14">
        <f t="shared" si="96"/>
        <v>7969855.4399999976</v>
      </c>
      <c r="CX64" s="14">
        <f t="shared" si="96"/>
        <v>7969855.4399999976</v>
      </c>
      <c r="CY64" s="14">
        <f t="shared" si="96"/>
        <v>7969855.4399999976</v>
      </c>
      <c r="CZ64" s="14">
        <f t="shared" si="96"/>
        <v>7969855.4399999976</v>
      </c>
      <c r="DA64" s="14">
        <f t="shared" si="96"/>
        <v>7969855.4399999976</v>
      </c>
      <c r="DB64" s="14">
        <f t="shared" si="96"/>
        <v>7969855.4399999976</v>
      </c>
      <c r="DC64" s="14">
        <f t="shared" si="96"/>
        <v>7969855.4399999976</v>
      </c>
      <c r="DD64" s="39">
        <f t="shared" si="96"/>
        <v>7969855.4399999976</v>
      </c>
      <c r="DE64" s="14">
        <v>7977490.7000000002</v>
      </c>
      <c r="DF64" s="14">
        <f t="shared" si="96"/>
        <v>7977490.7000000002</v>
      </c>
      <c r="DG64" s="14">
        <f t="shared" si="96"/>
        <v>7977490.7000000002</v>
      </c>
      <c r="DH64" s="14">
        <f t="shared" si="96"/>
        <v>7977490.7000000002</v>
      </c>
      <c r="DI64" s="14">
        <f t="shared" si="96"/>
        <v>7977490.7000000002</v>
      </c>
      <c r="DJ64" s="14">
        <f t="shared" si="96"/>
        <v>7977490.7000000002</v>
      </c>
      <c r="DK64" s="14">
        <f t="shared" si="96"/>
        <v>7977490.7000000002</v>
      </c>
      <c r="DL64" s="14">
        <f t="shared" si="96"/>
        <v>7977490.7000000002</v>
      </c>
      <c r="DM64" s="14">
        <f t="shared" si="96"/>
        <v>7490.7000000001863</v>
      </c>
      <c r="DN64" s="230">
        <f t="shared" si="96"/>
        <v>7490.7000000001863</v>
      </c>
      <c r="DO64" s="14">
        <f t="shared" si="96"/>
        <v>7490.7000000001863</v>
      </c>
      <c r="DP64" s="14">
        <f t="shared" ref="DP64:EU64" si="97">+DO64-DP22</f>
        <v>7490.7000000001863</v>
      </c>
      <c r="DQ64" s="14">
        <f t="shared" si="97"/>
        <v>7490.7000000001863</v>
      </c>
      <c r="DR64" s="14">
        <f t="shared" si="97"/>
        <v>7490.7000000001863</v>
      </c>
      <c r="DS64" s="14">
        <f t="shared" si="97"/>
        <v>7490.7000000001863</v>
      </c>
      <c r="DT64" s="14">
        <f t="shared" si="97"/>
        <v>7490.7000000001863</v>
      </c>
      <c r="DU64" s="14">
        <f t="shared" si="97"/>
        <v>7490.7000000001863</v>
      </c>
      <c r="DV64" s="14">
        <f t="shared" si="97"/>
        <v>7490.7000000001863</v>
      </c>
      <c r="DW64" s="14">
        <f t="shared" si="97"/>
        <v>7490.7000000001863</v>
      </c>
      <c r="DX64" s="14">
        <f t="shared" si="97"/>
        <v>7490.7000000001863</v>
      </c>
      <c r="DY64" s="14">
        <f t="shared" si="97"/>
        <v>7490.7000000001863</v>
      </c>
      <c r="DZ64" s="39">
        <v>8710.27</v>
      </c>
      <c r="EA64" s="14">
        <f t="shared" si="97"/>
        <v>8710.27</v>
      </c>
      <c r="EB64" s="14">
        <f t="shared" si="97"/>
        <v>8710.27</v>
      </c>
      <c r="EC64" s="14">
        <f t="shared" si="97"/>
        <v>8710.27</v>
      </c>
      <c r="ED64" s="14">
        <f t="shared" si="97"/>
        <v>8710.27</v>
      </c>
      <c r="EE64" s="14">
        <f t="shared" si="97"/>
        <v>8710.27</v>
      </c>
      <c r="EF64" s="14">
        <f t="shared" si="97"/>
        <v>8710.27</v>
      </c>
      <c r="EG64" s="14">
        <f t="shared" si="97"/>
        <v>8710.27</v>
      </c>
      <c r="EH64" s="14">
        <f t="shared" si="97"/>
        <v>8710.27</v>
      </c>
      <c r="EI64" s="14">
        <f t="shared" si="97"/>
        <v>8710.27</v>
      </c>
      <c r="EJ64" s="230">
        <f t="shared" si="97"/>
        <v>8710.27</v>
      </c>
      <c r="EK64" s="14">
        <f t="shared" si="97"/>
        <v>8710.27</v>
      </c>
      <c r="EL64" s="14">
        <f t="shared" si="97"/>
        <v>8710.27</v>
      </c>
      <c r="EM64" s="14">
        <f t="shared" si="97"/>
        <v>8710.27</v>
      </c>
      <c r="EN64" s="14">
        <f t="shared" si="97"/>
        <v>8710.27</v>
      </c>
      <c r="EO64" s="14">
        <f t="shared" si="97"/>
        <v>8710.27</v>
      </c>
      <c r="EP64" s="14">
        <f t="shared" si="97"/>
        <v>8710.27</v>
      </c>
      <c r="EQ64" s="14">
        <f t="shared" si="97"/>
        <v>8710.27</v>
      </c>
      <c r="ER64" s="14">
        <f t="shared" si="97"/>
        <v>8710.27</v>
      </c>
      <c r="ES64" s="14">
        <f t="shared" si="97"/>
        <v>8710.27</v>
      </c>
      <c r="ET64" s="14">
        <f t="shared" si="97"/>
        <v>8710.27</v>
      </c>
      <c r="EU64" s="39">
        <f t="shared" si="97"/>
        <v>8710.27</v>
      </c>
      <c r="EV64" s="14">
        <f t="shared" ref="EV64:GA64" si="98">+EU64-EV22</f>
        <v>8710.27</v>
      </c>
      <c r="EW64" s="14">
        <f t="shared" si="98"/>
        <v>8710.27</v>
      </c>
      <c r="EX64" s="14">
        <f t="shared" si="98"/>
        <v>8710.27</v>
      </c>
      <c r="EY64" s="14">
        <f t="shared" si="98"/>
        <v>8710.27</v>
      </c>
      <c r="EZ64" s="14">
        <f t="shared" si="98"/>
        <v>8710.27</v>
      </c>
      <c r="FA64" s="14">
        <f t="shared" si="98"/>
        <v>8710.27</v>
      </c>
      <c r="FB64" s="14">
        <f t="shared" si="98"/>
        <v>8710.27</v>
      </c>
      <c r="FC64" s="14">
        <f t="shared" si="98"/>
        <v>8710.27</v>
      </c>
      <c r="FD64" s="14">
        <f t="shared" si="98"/>
        <v>8710.27</v>
      </c>
      <c r="FE64" s="230">
        <f t="shared" si="98"/>
        <v>8710.27</v>
      </c>
      <c r="FF64" s="14">
        <f t="shared" si="98"/>
        <v>8710.27</v>
      </c>
      <c r="FG64" s="14">
        <f t="shared" si="98"/>
        <v>8710.27</v>
      </c>
      <c r="FH64" s="14">
        <f t="shared" si="98"/>
        <v>8710.27</v>
      </c>
      <c r="FI64" s="14">
        <f t="shared" si="98"/>
        <v>8710.27</v>
      </c>
      <c r="FJ64" s="80">
        <f t="shared" si="98"/>
        <v>8710.27</v>
      </c>
      <c r="FK64" s="14">
        <f t="shared" si="98"/>
        <v>8710.27</v>
      </c>
      <c r="FL64" s="14">
        <f t="shared" si="98"/>
        <v>8710.27</v>
      </c>
      <c r="FM64" s="14">
        <f t="shared" si="98"/>
        <v>8710.27</v>
      </c>
      <c r="FN64" s="14">
        <f t="shared" si="98"/>
        <v>8710.27</v>
      </c>
      <c r="FO64" s="14">
        <f>+FN64-FO22+10000000</f>
        <v>10008710.27</v>
      </c>
      <c r="FP64" s="39">
        <f t="shared" si="98"/>
        <v>10008710.27</v>
      </c>
      <c r="FQ64" s="14">
        <f t="shared" si="98"/>
        <v>10008710.27</v>
      </c>
      <c r="FR64" s="14">
        <f t="shared" si="98"/>
        <v>10008710.27</v>
      </c>
      <c r="FS64" s="14">
        <f t="shared" si="98"/>
        <v>10008710.27</v>
      </c>
      <c r="FT64" s="14">
        <f t="shared" si="98"/>
        <v>10008710.27</v>
      </c>
      <c r="FU64" s="14">
        <f t="shared" si="98"/>
        <v>10008710.27</v>
      </c>
      <c r="FV64" s="14">
        <f t="shared" si="98"/>
        <v>10008710.27</v>
      </c>
      <c r="FW64" s="14">
        <f t="shared" si="98"/>
        <v>10008710.27</v>
      </c>
      <c r="FX64" s="14">
        <f t="shared" si="98"/>
        <v>10008710.27</v>
      </c>
      <c r="FY64" s="14">
        <f t="shared" si="98"/>
        <v>10008710.27</v>
      </c>
      <c r="FZ64" s="230">
        <f t="shared" si="98"/>
        <v>5008710.2699999996</v>
      </c>
      <c r="GA64" s="14">
        <f t="shared" si="98"/>
        <v>5008710.2699999996</v>
      </c>
      <c r="GB64" s="14">
        <f t="shared" ref="GB64:HF64" si="99">+GA64-GB22</f>
        <v>5008710.2699999996</v>
      </c>
      <c r="GC64" s="14">
        <f t="shared" si="99"/>
        <v>5008710.2699999996</v>
      </c>
      <c r="GD64" s="14">
        <f t="shared" si="99"/>
        <v>5008710.2699999996</v>
      </c>
      <c r="GE64" s="14">
        <f t="shared" si="99"/>
        <v>5008710.2699999996</v>
      </c>
      <c r="GF64" s="14">
        <f t="shared" si="99"/>
        <v>5008710.2699999996</v>
      </c>
      <c r="GG64" s="14">
        <f t="shared" si="99"/>
        <v>5008710.2699999996</v>
      </c>
      <c r="GH64" s="14">
        <f t="shared" si="99"/>
        <v>5008710.2699999996</v>
      </c>
      <c r="GI64" s="14">
        <f t="shared" si="99"/>
        <v>5008710.2699999996</v>
      </c>
      <c r="GJ64" s="14">
        <f t="shared" si="99"/>
        <v>5008710.2699999996</v>
      </c>
      <c r="GK64" s="39">
        <f t="shared" si="99"/>
        <v>5008710.2699999996</v>
      </c>
      <c r="GL64" s="14">
        <f t="shared" si="99"/>
        <v>5008710.2699999996</v>
      </c>
      <c r="GM64" s="14">
        <f t="shared" si="99"/>
        <v>5008710.2699999996</v>
      </c>
      <c r="GN64" s="14">
        <f t="shared" si="99"/>
        <v>5008710.2699999996</v>
      </c>
      <c r="GO64" s="14">
        <f t="shared" si="99"/>
        <v>5008710.2699999996</v>
      </c>
      <c r="GP64" s="14">
        <f t="shared" si="99"/>
        <v>5008710.2699999996</v>
      </c>
      <c r="GQ64" s="14">
        <f t="shared" si="99"/>
        <v>5008710.2699999996</v>
      </c>
      <c r="GR64" s="14">
        <f t="shared" si="99"/>
        <v>5008710.2699999996</v>
      </c>
      <c r="GS64" s="14">
        <f t="shared" si="99"/>
        <v>5008710.2699999996</v>
      </c>
      <c r="GT64" s="230">
        <f t="shared" si="99"/>
        <v>5008710.2699999996</v>
      </c>
      <c r="GU64" s="14">
        <f t="shared" si="99"/>
        <v>5008710.2699999996</v>
      </c>
      <c r="GV64" s="14">
        <f t="shared" si="99"/>
        <v>5008710.2699999996</v>
      </c>
      <c r="GW64" s="14">
        <f t="shared" si="99"/>
        <v>5008710.2699999996</v>
      </c>
      <c r="GX64" s="14">
        <f t="shared" si="99"/>
        <v>5008710.2699999996</v>
      </c>
      <c r="GY64" s="14">
        <f t="shared" si="99"/>
        <v>5008710.2699999996</v>
      </c>
      <c r="GZ64" s="14">
        <f t="shared" si="99"/>
        <v>5008710.2699999996</v>
      </c>
      <c r="HA64" s="14">
        <f t="shared" si="99"/>
        <v>5008710.2699999996</v>
      </c>
      <c r="HB64" s="14">
        <f t="shared" si="99"/>
        <v>5008710.2699999996</v>
      </c>
      <c r="HC64" s="14">
        <f t="shared" si="99"/>
        <v>5008710.2699999996</v>
      </c>
      <c r="HD64" s="39">
        <f t="shared" si="99"/>
        <v>5008710.2699999996</v>
      </c>
      <c r="HE64" s="14">
        <v>5011602.47</v>
      </c>
      <c r="HF64" s="14">
        <f t="shared" si="99"/>
        <v>5011602.47</v>
      </c>
      <c r="HG64" s="14">
        <f t="shared" ref="HG64:IK64" si="100">+HF64-HG22</f>
        <v>5011602.47</v>
      </c>
      <c r="HH64" s="14">
        <f t="shared" si="100"/>
        <v>5011602.47</v>
      </c>
      <c r="HI64" s="14">
        <f t="shared" si="100"/>
        <v>5011602.47</v>
      </c>
      <c r="HJ64" s="14">
        <f t="shared" si="100"/>
        <v>5011602.47</v>
      </c>
      <c r="HK64" s="14">
        <f t="shared" si="100"/>
        <v>5011602.47</v>
      </c>
      <c r="HL64" s="14">
        <f t="shared" si="100"/>
        <v>5011602.47</v>
      </c>
      <c r="HM64" s="14">
        <f t="shared" si="100"/>
        <v>5011602.47</v>
      </c>
      <c r="HN64" s="14">
        <f t="shared" si="100"/>
        <v>5011602.47</v>
      </c>
      <c r="HO64" s="230">
        <f t="shared" si="100"/>
        <v>11602.469999999739</v>
      </c>
      <c r="HP64" s="14">
        <f t="shared" si="100"/>
        <v>11602.469999999739</v>
      </c>
      <c r="HQ64" s="14">
        <f t="shared" si="100"/>
        <v>11602.469999999739</v>
      </c>
      <c r="HR64" s="14">
        <f t="shared" si="100"/>
        <v>11602.469999999739</v>
      </c>
      <c r="HS64" s="14">
        <f t="shared" si="100"/>
        <v>11602.469999999739</v>
      </c>
      <c r="HT64" s="14">
        <f t="shared" si="100"/>
        <v>11602.469999999739</v>
      </c>
      <c r="HU64" s="14">
        <f t="shared" si="100"/>
        <v>11602.469999999739</v>
      </c>
      <c r="HV64" s="14">
        <f t="shared" si="100"/>
        <v>11602.469999999739</v>
      </c>
      <c r="HW64" s="14">
        <f t="shared" si="100"/>
        <v>11602.469999999739</v>
      </c>
      <c r="HX64" s="14">
        <f t="shared" si="100"/>
        <v>11602.469999999739</v>
      </c>
      <c r="HY64" s="14">
        <f>+HX64-HY22+6000000</f>
        <v>6011602.4699999997</v>
      </c>
      <c r="HZ64" s="39">
        <f t="shared" si="100"/>
        <v>6011602.4699999997</v>
      </c>
      <c r="IA64" s="14">
        <f t="shared" si="100"/>
        <v>6011602.4699999997</v>
      </c>
      <c r="IB64" s="14">
        <f t="shared" si="100"/>
        <v>6011602.4699999997</v>
      </c>
      <c r="IC64" s="14">
        <f t="shared" si="100"/>
        <v>6011602.4699999997</v>
      </c>
      <c r="ID64" s="14">
        <f t="shared" si="100"/>
        <v>6011602.4699999997</v>
      </c>
      <c r="IE64" s="14">
        <f t="shared" si="100"/>
        <v>6011602.4699999997</v>
      </c>
      <c r="IF64" s="14">
        <f t="shared" si="100"/>
        <v>6011602.4699999997</v>
      </c>
      <c r="IG64" s="14">
        <f t="shared" si="100"/>
        <v>6011602.4699999997</v>
      </c>
      <c r="IH64" s="14">
        <f t="shared" si="100"/>
        <v>6011602.4699999997</v>
      </c>
      <c r="II64" s="14">
        <f t="shared" si="100"/>
        <v>6011602.4699999997</v>
      </c>
      <c r="IJ64" s="230">
        <f t="shared" si="100"/>
        <v>6011602.4699999997</v>
      </c>
      <c r="IK64" s="14">
        <f t="shared" si="100"/>
        <v>6011602.4699999997</v>
      </c>
      <c r="IL64" s="14">
        <f t="shared" ref="IL64:IU64" si="101">+IK64-IL22</f>
        <v>6011602.4699999997</v>
      </c>
      <c r="IM64" s="14">
        <f>+IL64-IM22+25000000</f>
        <v>31011602.469999999</v>
      </c>
      <c r="IN64" s="14">
        <f t="shared" si="101"/>
        <v>31011602.469999999</v>
      </c>
      <c r="IO64" s="14">
        <f t="shared" si="101"/>
        <v>31011602.469999999</v>
      </c>
      <c r="IP64" s="14">
        <f t="shared" si="101"/>
        <v>31011602.469999999</v>
      </c>
      <c r="IQ64" s="14">
        <f t="shared" si="101"/>
        <v>31011602.469999999</v>
      </c>
      <c r="IR64" s="14">
        <f>+IQ64-IR22</f>
        <v>31011602.469999999</v>
      </c>
      <c r="IS64" s="14">
        <f>+IR64-IS22</f>
        <v>31011602.469999999</v>
      </c>
      <c r="IT64" s="14">
        <f t="shared" si="101"/>
        <v>31011602.469999999</v>
      </c>
      <c r="IU64" s="14">
        <f t="shared" si="101"/>
        <v>31011602.469999999</v>
      </c>
    </row>
    <row r="65" spans="1:255" ht="14.1" customHeight="1">
      <c r="A65" s="14" t="s">
        <v>20</v>
      </c>
      <c r="B65" s="22"/>
      <c r="C65" s="41">
        <f>25532971.64+10000000+16558.77</f>
        <v>35549530.410000004</v>
      </c>
      <c r="D65" s="23">
        <f>C65-D26</f>
        <v>35549530.410000004</v>
      </c>
      <c r="E65" s="23">
        <f>D65-E26</f>
        <v>35549530.410000004</v>
      </c>
      <c r="F65" s="23">
        <f>E65-F26</f>
        <v>35549530.410000004</v>
      </c>
      <c r="G65" s="23">
        <f>F65-G26</f>
        <v>35549530.410000004</v>
      </c>
      <c r="H65" s="23">
        <f>G65-H26</f>
        <v>35549530.410000004</v>
      </c>
      <c r="I65" s="23">
        <f>H65-I26+30000000</f>
        <v>65549530.410000004</v>
      </c>
      <c r="J65" s="23">
        <f t="shared" ref="J65:S65" si="102">I65-J26</f>
        <v>65549530.410000004</v>
      </c>
      <c r="K65" s="23">
        <f t="shared" si="102"/>
        <v>65549530.410000004</v>
      </c>
      <c r="L65" s="23">
        <f t="shared" si="102"/>
        <v>50549530.410000004</v>
      </c>
      <c r="M65" s="231">
        <f t="shared" si="102"/>
        <v>50549530.410000004</v>
      </c>
      <c r="N65" s="23">
        <f t="shared" si="102"/>
        <v>50549530.410000004</v>
      </c>
      <c r="O65" s="23">
        <f t="shared" si="102"/>
        <v>50549530.410000004</v>
      </c>
      <c r="P65" s="23">
        <f t="shared" si="102"/>
        <v>50549530.410000004</v>
      </c>
      <c r="Q65" s="23">
        <f t="shared" si="102"/>
        <v>50549530.410000004</v>
      </c>
      <c r="R65" s="23">
        <f t="shared" si="102"/>
        <v>50549530.410000004</v>
      </c>
      <c r="S65" s="23">
        <f t="shared" si="102"/>
        <v>50549530.410000004</v>
      </c>
      <c r="T65" s="23">
        <f>S65-T26+10000000+10000000</f>
        <v>70549530.409999996</v>
      </c>
      <c r="U65" s="23">
        <f>T65-U26</f>
        <v>70549530.409999996</v>
      </c>
      <c r="V65" s="41">
        <f>U65-V26+29764.18</f>
        <v>70579294.590000004</v>
      </c>
      <c r="W65" s="23">
        <f t="shared" ref="W65:AB65" si="103">V65-W26</f>
        <v>70579294.590000004</v>
      </c>
      <c r="X65" s="23">
        <f t="shared" si="103"/>
        <v>70579294.590000004</v>
      </c>
      <c r="Y65" s="23">
        <f t="shared" si="103"/>
        <v>70579294.590000004</v>
      </c>
      <c r="Z65" s="23">
        <f t="shared" si="103"/>
        <v>70579294.590000004</v>
      </c>
      <c r="AA65" s="23">
        <f t="shared" si="103"/>
        <v>70579294.590000004</v>
      </c>
      <c r="AB65" s="23">
        <f t="shared" si="103"/>
        <v>70579294.590000004</v>
      </c>
      <c r="AC65" s="23">
        <f>AB65-AC26+439016.4</f>
        <v>70436504.970000014</v>
      </c>
      <c r="AD65" s="23">
        <f t="shared" ref="AD65:AR65" si="104">AC65-AD26</f>
        <v>70436504.970000014</v>
      </c>
      <c r="AE65" s="23">
        <f t="shared" si="104"/>
        <v>70436504.970000014</v>
      </c>
      <c r="AF65" s="231">
        <f t="shared" si="104"/>
        <v>70436504.970000014</v>
      </c>
      <c r="AG65" s="23">
        <f t="shared" si="104"/>
        <v>70436504.970000014</v>
      </c>
      <c r="AH65" s="23">
        <f t="shared" si="104"/>
        <v>70436504.970000014</v>
      </c>
      <c r="AI65" s="23">
        <f t="shared" si="104"/>
        <v>70436504.970000014</v>
      </c>
      <c r="AJ65" s="23">
        <f t="shared" si="104"/>
        <v>70436504.970000014</v>
      </c>
      <c r="AK65" s="23">
        <f t="shared" si="104"/>
        <v>70436504.970000014</v>
      </c>
      <c r="AL65" s="23">
        <f t="shared" si="104"/>
        <v>70436504.970000014</v>
      </c>
      <c r="AM65" s="23">
        <f t="shared" si="104"/>
        <v>70436504.970000014</v>
      </c>
      <c r="AN65" s="23">
        <f t="shared" si="104"/>
        <v>70436504.970000014</v>
      </c>
      <c r="AO65" s="23">
        <f t="shared" si="104"/>
        <v>70436504.970000014</v>
      </c>
      <c r="AP65" s="23">
        <f t="shared" si="104"/>
        <v>70436504.970000014</v>
      </c>
      <c r="AQ65" s="23">
        <f t="shared" si="104"/>
        <v>70436504.970000014</v>
      </c>
      <c r="AR65" s="41">
        <f t="shared" si="104"/>
        <v>70436504.970000014</v>
      </c>
      <c r="AS65" s="23">
        <v>70619305.560000002</v>
      </c>
      <c r="AT65" s="23">
        <f t="shared" ref="AT65:BN65" si="105">AS65-AT26</f>
        <v>70619305.560000002</v>
      </c>
      <c r="AU65" s="23">
        <f t="shared" si="105"/>
        <v>70619305.560000002</v>
      </c>
      <c r="AV65" s="23">
        <f t="shared" si="105"/>
        <v>70619305.560000002</v>
      </c>
      <c r="AW65" s="23">
        <f t="shared" si="105"/>
        <v>70619305.560000002</v>
      </c>
      <c r="AX65" s="23">
        <f t="shared" si="105"/>
        <v>70619305.560000002</v>
      </c>
      <c r="AY65" s="23">
        <f t="shared" si="105"/>
        <v>70619305.560000002</v>
      </c>
      <c r="AZ65" s="23">
        <f t="shared" si="105"/>
        <v>70619305.560000002</v>
      </c>
      <c r="BA65" s="23">
        <f t="shared" si="105"/>
        <v>70619305.560000002</v>
      </c>
      <c r="BB65" s="23">
        <f t="shared" si="105"/>
        <v>70619305.560000002</v>
      </c>
      <c r="BC65" s="231">
        <f t="shared" si="105"/>
        <v>70619305.560000002</v>
      </c>
      <c r="BD65" s="23">
        <f t="shared" si="105"/>
        <v>70619305.560000002</v>
      </c>
      <c r="BE65" s="23">
        <f t="shared" si="105"/>
        <v>70619305.560000002</v>
      </c>
      <c r="BF65" s="23">
        <f t="shared" si="105"/>
        <v>70619305.560000002</v>
      </c>
      <c r="BG65" s="23">
        <f t="shared" si="105"/>
        <v>70619305.560000002</v>
      </c>
      <c r="BH65" s="23">
        <f t="shared" si="105"/>
        <v>70619305.560000002</v>
      </c>
      <c r="BI65" s="23">
        <f t="shared" si="105"/>
        <v>70619305.560000002</v>
      </c>
      <c r="BJ65" s="23">
        <f t="shared" si="105"/>
        <v>70619305.560000002</v>
      </c>
      <c r="BK65" s="23">
        <f t="shared" si="105"/>
        <v>70619305.560000002</v>
      </c>
      <c r="BL65" s="23">
        <f t="shared" si="105"/>
        <v>70619305.560000002</v>
      </c>
      <c r="BM65" s="23">
        <f t="shared" si="105"/>
        <v>70619305.560000002</v>
      </c>
      <c r="BN65" s="41">
        <f t="shared" si="105"/>
        <v>70619305.560000002</v>
      </c>
      <c r="BO65" s="23">
        <f>BN65-BO26+33094.33</f>
        <v>70652399.890000001</v>
      </c>
      <c r="BP65" s="23">
        <f t="shared" ref="BP65:CH65" si="106">BO65-BP26</f>
        <v>70652399.890000001</v>
      </c>
      <c r="BQ65" s="23">
        <f t="shared" si="106"/>
        <v>70652399.890000001</v>
      </c>
      <c r="BR65" s="23">
        <f t="shared" si="106"/>
        <v>70652399.890000001</v>
      </c>
      <c r="BS65" s="23">
        <f t="shared" si="106"/>
        <v>70652399.890000001</v>
      </c>
      <c r="BT65" s="23">
        <f t="shared" si="106"/>
        <v>70652399.890000001</v>
      </c>
      <c r="BU65" s="23">
        <f t="shared" si="106"/>
        <v>70652399.890000001</v>
      </c>
      <c r="BV65" s="23">
        <f t="shared" si="106"/>
        <v>50652399.890000001</v>
      </c>
      <c r="BW65" s="23">
        <f t="shared" si="106"/>
        <v>50652399.890000001</v>
      </c>
      <c r="BX65" s="23">
        <f t="shared" si="106"/>
        <v>50652399.890000001</v>
      </c>
      <c r="BY65" s="231">
        <f t="shared" si="106"/>
        <v>50652399.890000001</v>
      </c>
      <c r="BZ65" s="23">
        <f t="shared" si="106"/>
        <v>50652399.890000001</v>
      </c>
      <c r="CA65" s="23">
        <f t="shared" si="106"/>
        <v>50652399.890000001</v>
      </c>
      <c r="CB65" s="23">
        <f t="shared" si="106"/>
        <v>50652399.890000001</v>
      </c>
      <c r="CC65" s="23">
        <f t="shared" si="106"/>
        <v>50652399.890000001</v>
      </c>
      <c r="CD65" s="23">
        <f t="shared" si="106"/>
        <v>50652399.890000001</v>
      </c>
      <c r="CE65" s="23">
        <f t="shared" si="106"/>
        <v>40652399.890000001</v>
      </c>
      <c r="CF65" s="23">
        <f t="shared" si="106"/>
        <v>40652399.890000001</v>
      </c>
      <c r="CG65" s="23">
        <f t="shared" si="106"/>
        <v>40652399.890000001</v>
      </c>
      <c r="CH65" s="41">
        <f t="shared" si="106"/>
        <v>40652399.890000001</v>
      </c>
      <c r="CI65" s="23">
        <v>40673506.219999999</v>
      </c>
      <c r="CJ65" s="23">
        <f t="shared" ref="CJ65:DO65" si="107">CI65-CJ26</f>
        <v>40673506.219999999</v>
      </c>
      <c r="CK65" s="23">
        <f t="shared" si="107"/>
        <v>40673506.219999999</v>
      </c>
      <c r="CL65" s="23">
        <f t="shared" si="107"/>
        <v>40673506.219999999</v>
      </c>
      <c r="CM65" s="23">
        <f t="shared" si="107"/>
        <v>40673506.219999999</v>
      </c>
      <c r="CN65" s="23">
        <f t="shared" si="107"/>
        <v>40673506.219999999</v>
      </c>
      <c r="CO65" s="23">
        <f t="shared" si="107"/>
        <v>40673506.219999999</v>
      </c>
      <c r="CP65" s="23">
        <f t="shared" si="107"/>
        <v>40673506.219999999</v>
      </c>
      <c r="CQ65" s="23">
        <f t="shared" si="107"/>
        <v>2673506.2199999988</v>
      </c>
      <c r="CR65" s="23">
        <f t="shared" si="107"/>
        <v>2673506.2199999988</v>
      </c>
      <c r="CS65" s="231">
        <f t="shared" si="107"/>
        <v>2673506.2199999988</v>
      </c>
      <c r="CT65" s="23">
        <f t="shared" si="107"/>
        <v>2673506.2199999988</v>
      </c>
      <c r="CU65" s="23">
        <f t="shared" si="107"/>
        <v>2673506.2199999988</v>
      </c>
      <c r="CV65" s="23">
        <f t="shared" si="107"/>
        <v>2673506.2199999988</v>
      </c>
      <c r="CW65" s="23">
        <f t="shared" si="107"/>
        <v>2673506.2199999988</v>
      </c>
      <c r="CX65" s="23">
        <f t="shared" si="107"/>
        <v>2673506.2199999988</v>
      </c>
      <c r="CY65" s="23">
        <f t="shared" si="107"/>
        <v>2673506.2199999988</v>
      </c>
      <c r="CZ65" s="23">
        <f t="shared" si="107"/>
        <v>2673506.2199999988</v>
      </c>
      <c r="DA65" s="23">
        <f t="shared" si="107"/>
        <v>2673506.2199999988</v>
      </c>
      <c r="DB65" s="23">
        <f t="shared" si="107"/>
        <v>2673506.2199999988</v>
      </c>
      <c r="DC65" s="23">
        <f t="shared" si="107"/>
        <v>2673506.2199999988</v>
      </c>
      <c r="DD65" s="41">
        <f t="shared" si="107"/>
        <v>2673506.2199999988</v>
      </c>
      <c r="DE65" s="23">
        <v>2677788.02</v>
      </c>
      <c r="DF65" s="23">
        <f t="shared" si="107"/>
        <v>2677788.02</v>
      </c>
      <c r="DG65" s="23">
        <f t="shared" si="107"/>
        <v>2677788.02</v>
      </c>
      <c r="DH65" s="23">
        <f t="shared" si="107"/>
        <v>2677788.02</v>
      </c>
      <c r="DI65" s="23">
        <f t="shared" si="107"/>
        <v>2677788.02</v>
      </c>
      <c r="DJ65" s="23">
        <f t="shared" si="107"/>
        <v>2677788.02</v>
      </c>
      <c r="DK65" s="23">
        <f t="shared" si="107"/>
        <v>2677788.02</v>
      </c>
      <c r="DL65" s="23">
        <f t="shared" si="107"/>
        <v>2677788.02</v>
      </c>
      <c r="DM65" s="23">
        <f t="shared" si="107"/>
        <v>7788.0200000000186</v>
      </c>
      <c r="DN65" s="231">
        <f t="shared" si="107"/>
        <v>7788.0200000000186</v>
      </c>
      <c r="DO65" s="23">
        <f t="shared" si="107"/>
        <v>7788.0200000000186</v>
      </c>
      <c r="DP65" s="23">
        <f t="shared" ref="DP65:EU65" si="108">DO65-DP26</f>
        <v>7788.0200000000186</v>
      </c>
      <c r="DQ65" s="23">
        <f t="shared" si="108"/>
        <v>7788.0200000000186</v>
      </c>
      <c r="DR65" s="23">
        <f t="shared" si="108"/>
        <v>7788.0200000000186</v>
      </c>
      <c r="DS65" s="23">
        <f t="shared" si="108"/>
        <v>7788.0200000000186</v>
      </c>
      <c r="DT65" s="23">
        <f t="shared" si="108"/>
        <v>7788.0200000000186</v>
      </c>
      <c r="DU65" s="23">
        <f t="shared" si="108"/>
        <v>7788.0200000000186</v>
      </c>
      <c r="DV65" s="23">
        <f t="shared" si="108"/>
        <v>7788.0200000000186</v>
      </c>
      <c r="DW65" s="23">
        <f t="shared" si="108"/>
        <v>7788.0200000000186</v>
      </c>
      <c r="DX65" s="23">
        <f t="shared" si="108"/>
        <v>7788.0200000000186</v>
      </c>
      <c r="DY65" s="23">
        <f t="shared" si="108"/>
        <v>7788.0200000000186</v>
      </c>
      <c r="DZ65" s="41">
        <v>8056.01</v>
      </c>
      <c r="EA65" s="23">
        <f t="shared" si="108"/>
        <v>8056.01</v>
      </c>
      <c r="EB65" s="23">
        <f t="shared" si="108"/>
        <v>8056.01</v>
      </c>
      <c r="EC65" s="23">
        <f t="shared" si="108"/>
        <v>8056.01</v>
      </c>
      <c r="ED65" s="23">
        <f t="shared" si="108"/>
        <v>8056.01</v>
      </c>
      <c r="EE65" s="23">
        <f t="shared" si="108"/>
        <v>8056.01</v>
      </c>
      <c r="EF65" s="23">
        <f t="shared" si="108"/>
        <v>8056.01</v>
      </c>
      <c r="EG65" s="23">
        <f t="shared" si="108"/>
        <v>8056.01</v>
      </c>
      <c r="EH65" s="23">
        <f t="shared" si="108"/>
        <v>8056.01</v>
      </c>
      <c r="EI65" s="23">
        <f t="shared" si="108"/>
        <v>8056.01</v>
      </c>
      <c r="EJ65" s="231">
        <f t="shared" si="108"/>
        <v>8056.01</v>
      </c>
      <c r="EK65" s="23">
        <f t="shared" si="108"/>
        <v>8056.01</v>
      </c>
      <c r="EL65" s="23">
        <f t="shared" si="108"/>
        <v>8056.01</v>
      </c>
      <c r="EM65" s="23">
        <f t="shared" si="108"/>
        <v>8056.01</v>
      </c>
      <c r="EN65" s="23">
        <f t="shared" si="108"/>
        <v>8056.01</v>
      </c>
      <c r="EO65" s="23">
        <f t="shared" si="108"/>
        <v>8056.01</v>
      </c>
      <c r="EP65" s="23">
        <f t="shared" si="108"/>
        <v>8056.01</v>
      </c>
      <c r="EQ65" s="23">
        <f t="shared" si="108"/>
        <v>8056.01</v>
      </c>
      <c r="ER65" s="23">
        <f t="shared" si="108"/>
        <v>8056.01</v>
      </c>
      <c r="ES65" s="23">
        <f t="shared" si="108"/>
        <v>8056.01</v>
      </c>
      <c r="ET65" s="23">
        <f t="shared" si="108"/>
        <v>8056.01</v>
      </c>
      <c r="EU65" s="41">
        <f t="shared" si="108"/>
        <v>8056.01</v>
      </c>
      <c r="EV65" s="23">
        <f t="shared" ref="EV65:GA65" si="109">EU65-EV26</f>
        <v>8056.01</v>
      </c>
      <c r="EW65" s="23">
        <f t="shared" si="109"/>
        <v>8056.01</v>
      </c>
      <c r="EX65" s="23">
        <f t="shared" si="109"/>
        <v>8056.01</v>
      </c>
      <c r="EY65" s="23">
        <f t="shared" si="109"/>
        <v>8056.01</v>
      </c>
      <c r="EZ65" s="23">
        <f t="shared" si="109"/>
        <v>8056.01</v>
      </c>
      <c r="FA65" s="23">
        <f t="shared" si="109"/>
        <v>8056.01</v>
      </c>
      <c r="FB65" s="23">
        <f t="shared" si="109"/>
        <v>8056.01</v>
      </c>
      <c r="FC65" s="23">
        <f t="shared" si="109"/>
        <v>8056.01</v>
      </c>
      <c r="FD65" s="23">
        <f t="shared" si="109"/>
        <v>8056.01</v>
      </c>
      <c r="FE65" s="231">
        <f t="shared" si="109"/>
        <v>8056.01</v>
      </c>
      <c r="FF65" s="23">
        <f t="shared" si="109"/>
        <v>8056.01</v>
      </c>
      <c r="FG65" s="23">
        <f t="shared" si="109"/>
        <v>8056.01</v>
      </c>
      <c r="FH65" s="23">
        <f t="shared" si="109"/>
        <v>8056.01</v>
      </c>
      <c r="FI65" s="23">
        <f t="shared" si="109"/>
        <v>8056.01</v>
      </c>
      <c r="FJ65" s="81">
        <f t="shared" si="109"/>
        <v>8056.01</v>
      </c>
      <c r="FK65" s="23">
        <f t="shared" si="109"/>
        <v>8056.01</v>
      </c>
      <c r="FL65" s="23">
        <f t="shared" si="109"/>
        <v>8056.01</v>
      </c>
      <c r="FM65" s="23">
        <f t="shared" si="109"/>
        <v>8056.01</v>
      </c>
      <c r="FN65" s="23">
        <f t="shared" si="109"/>
        <v>8056.01</v>
      </c>
      <c r="FO65" s="23">
        <f>FN65-FO26+10000000</f>
        <v>10008056.01</v>
      </c>
      <c r="FP65" s="41">
        <f t="shared" si="109"/>
        <v>5008056.01</v>
      </c>
      <c r="FQ65" s="23">
        <v>5008136.29</v>
      </c>
      <c r="FR65" s="23">
        <f t="shared" si="109"/>
        <v>5008136.29</v>
      </c>
      <c r="FS65" s="23">
        <f t="shared" si="109"/>
        <v>5008136.29</v>
      </c>
      <c r="FT65" s="23">
        <f t="shared" si="109"/>
        <v>5008136.29</v>
      </c>
      <c r="FU65" s="23">
        <f t="shared" si="109"/>
        <v>5008136.29</v>
      </c>
      <c r="FV65" s="23">
        <f t="shared" si="109"/>
        <v>5008136.29</v>
      </c>
      <c r="FW65" s="23">
        <f t="shared" si="109"/>
        <v>5008136.29</v>
      </c>
      <c r="FX65" s="23">
        <f t="shared" si="109"/>
        <v>5008136.29</v>
      </c>
      <c r="FY65" s="23">
        <f t="shared" si="109"/>
        <v>8136.2900000000373</v>
      </c>
      <c r="FZ65" s="231">
        <f t="shared" si="109"/>
        <v>8136.2900000000373</v>
      </c>
      <c r="GA65" s="23">
        <f t="shared" si="109"/>
        <v>8136.2900000000373</v>
      </c>
      <c r="GB65" s="23">
        <f t="shared" ref="GB65:HF65" si="110">GA65-GB26</f>
        <v>8136.2900000000373</v>
      </c>
      <c r="GC65" s="23">
        <f t="shared" si="110"/>
        <v>8136.2900000000373</v>
      </c>
      <c r="GD65" s="23">
        <f t="shared" si="110"/>
        <v>8136.2900000000373</v>
      </c>
      <c r="GE65" s="23">
        <f t="shared" si="110"/>
        <v>8136.2900000000373</v>
      </c>
      <c r="GF65" s="23">
        <f t="shared" si="110"/>
        <v>8136.2900000000373</v>
      </c>
      <c r="GG65" s="23">
        <f t="shared" si="110"/>
        <v>8136.2900000000373</v>
      </c>
      <c r="GH65" s="23">
        <f t="shared" si="110"/>
        <v>8136.2900000000373</v>
      </c>
      <c r="GI65" s="23">
        <f t="shared" si="110"/>
        <v>8136.2900000000373</v>
      </c>
      <c r="GJ65" s="23">
        <f t="shared" si="110"/>
        <v>8136.2900000000373</v>
      </c>
      <c r="GK65" s="41">
        <f t="shared" si="110"/>
        <v>8136.2900000000373</v>
      </c>
      <c r="GL65" s="23">
        <f t="shared" si="110"/>
        <v>8136.2900000000373</v>
      </c>
      <c r="GM65" s="23">
        <f t="shared" si="110"/>
        <v>8136.2900000000373</v>
      </c>
      <c r="GN65" s="23">
        <f t="shared" si="110"/>
        <v>8136.2900000000373</v>
      </c>
      <c r="GO65" s="23">
        <f t="shared" si="110"/>
        <v>8136.2900000000373</v>
      </c>
      <c r="GP65" s="23">
        <f t="shared" si="110"/>
        <v>8136.2900000000373</v>
      </c>
      <c r="GQ65" s="23">
        <f t="shared" si="110"/>
        <v>8136.2900000000373</v>
      </c>
      <c r="GR65" s="23">
        <f t="shared" si="110"/>
        <v>8136.2900000000373</v>
      </c>
      <c r="GS65" s="23">
        <f t="shared" si="110"/>
        <v>8136.2900000000373</v>
      </c>
      <c r="GT65" s="231">
        <f t="shared" si="110"/>
        <v>8136.2900000000373</v>
      </c>
      <c r="GU65" s="23">
        <f t="shared" si="110"/>
        <v>8136.2900000000373</v>
      </c>
      <c r="GV65" s="23">
        <f t="shared" si="110"/>
        <v>8136.2900000000373</v>
      </c>
      <c r="GW65" s="23">
        <f t="shared" si="110"/>
        <v>8136.2900000000373</v>
      </c>
      <c r="GX65" s="23">
        <f t="shared" si="110"/>
        <v>8136.2900000000373</v>
      </c>
      <c r="GY65" s="23">
        <f t="shared" si="110"/>
        <v>8136.2900000000373</v>
      </c>
      <c r="GZ65" s="23">
        <f t="shared" si="110"/>
        <v>8136.2900000000373</v>
      </c>
      <c r="HA65" s="23">
        <f t="shared" si="110"/>
        <v>8136.2900000000373</v>
      </c>
      <c r="HB65" s="23">
        <f t="shared" si="110"/>
        <v>8136.2900000000373</v>
      </c>
      <c r="HC65" s="23">
        <f t="shared" si="110"/>
        <v>8136.2900000000373</v>
      </c>
      <c r="HD65" s="41">
        <f t="shared" si="110"/>
        <v>8136.2900000000373</v>
      </c>
      <c r="HE65" s="23">
        <v>8446</v>
      </c>
      <c r="HF65" s="23">
        <f t="shared" si="110"/>
        <v>8446</v>
      </c>
      <c r="HG65" s="23">
        <f t="shared" ref="HG65:IK65" si="111">HF65-HG26</f>
        <v>8446</v>
      </c>
      <c r="HH65" s="23">
        <f t="shared" si="111"/>
        <v>8446</v>
      </c>
      <c r="HI65" s="23">
        <f t="shared" si="111"/>
        <v>8446</v>
      </c>
      <c r="HJ65" s="23">
        <f t="shared" si="111"/>
        <v>8446</v>
      </c>
      <c r="HK65" s="23">
        <f t="shared" si="111"/>
        <v>8446</v>
      </c>
      <c r="HL65" s="23">
        <f t="shared" si="111"/>
        <v>8446</v>
      </c>
      <c r="HM65" s="23">
        <f t="shared" si="111"/>
        <v>8446</v>
      </c>
      <c r="HN65" s="23">
        <f t="shared" si="111"/>
        <v>8446</v>
      </c>
      <c r="HO65" s="231">
        <f t="shared" si="111"/>
        <v>8446</v>
      </c>
      <c r="HP65" s="23">
        <f t="shared" si="111"/>
        <v>8446</v>
      </c>
      <c r="HQ65" s="23">
        <f t="shared" si="111"/>
        <v>8446</v>
      </c>
      <c r="HR65" s="23">
        <f t="shared" si="111"/>
        <v>8446</v>
      </c>
      <c r="HS65" s="23">
        <f t="shared" si="111"/>
        <v>8446</v>
      </c>
      <c r="HT65" s="23">
        <f t="shared" si="111"/>
        <v>8446</v>
      </c>
      <c r="HU65" s="23">
        <f t="shared" si="111"/>
        <v>8446</v>
      </c>
      <c r="HV65" s="23">
        <f t="shared" si="111"/>
        <v>8446</v>
      </c>
      <c r="HW65" s="23">
        <f t="shared" si="111"/>
        <v>8446</v>
      </c>
      <c r="HX65" s="23">
        <f t="shared" si="111"/>
        <v>8446</v>
      </c>
      <c r="HY65" s="23">
        <f t="shared" si="111"/>
        <v>8446</v>
      </c>
      <c r="HZ65" s="41">
        <f t="shared" si="111"/>
        <v>8446</v>
      </c>
      <c r="IA65" s="23">
        <f t="shared" si="111"/>
        <v>8446</v>
      </c>
      <c r="IB65" s="23">
        <f t="shared" si="111"/>
        <v>8446</v>
      </c>
      <c r="IC65" s="23">
        <f t="shared" si="111"/>
        <v>8446</v>
      </c>
      <c r="ID65" s="23">
        <f t="shared" si="111"/>
        <v>8446</v>
      </c>
      <c r="IE65" s="23">
        <f t="shared" si="111"/>
        <v>8446</v>
      </c>
      <c r="IF65" s="23">
        <f t="shared" si="111"/>
        <v>8446</v>
      </c>
      <c r="IG65" s="23">
        <f t="shared" si="111"/>
        <v>8446</v>
      </c>
      <c r="IH65" s="23">
        <f t="shared" si="111"/>
        <v>8446</v>
      </c>
      <c r="II65" s="23">
        <f t="shared" si="111"/>
        <v>8446</v>
      </c>
      <c r="IJ65" s="231">
        <f t="shared" si="111"/>
        <v>8446</v>
      </c>
      <c r="IK65" s="23">
        <f t="shared" si="111"/>
        <v>8446</v>
      </c>
      <c r="IL65" s="23">
        <f t="shared" ref="IL65:IT65" si="112">IK65-IL26</f>
        <v>8446</v>
      </c>
      <c r="IM65" s="23">
        <f t="shared" si="112"/>
        <v>8446</v>
      </c>
      <c r="IN65" s="23">
        <f t="shared" si="112"/>
        <v>8446</v>
      </c>
      <c r="IO65" s="23">
        <f t="shared" si="112"/>
        <v>8446</v>
      </c>
      <c r="IP65" s="23">
        <f t="shared" si="112"/>
        <v>8446</v>
      </c>
      <c r="IQ65" s="23">
        <f t="shared" si="112"/>
        <v>8446</v>
      </c>
      <c r="IR65" s="23">
        <f>IQ65-IR26</f>
        <v>8446</v>
      </c>
      <c r="IS65" s="23">
        <f>IR65-IS26</f>
        <v>8446</v>
      </c>
      <c r="IT65" s="41">
        <f t="shared" si="112"/>
        <v>8446</v>
      </c>
      <c r="IU65" s="23"/>
    </row>
    <row r="66" spans="1:255" ht="14.1" customHeight="1">
      <c r="A66" s="9" t="s">
        <v>21</v>
      </c>
      <c r="B66" s="15"/>
      <c r="C66" s="40">
        <f t="shared" ref="C66:BN66" si="113">SUM(C58:C65)</f>
        <v>289887837.19</v>
      </c>
      <c r="D66" s="9">
        <f t="shared" si="113"/>
        <v>317187837.19</v>
      </c>
      <c r="E66" s="9">
        <f t="shared" si="113"/>
        <v>354687837.19</v>
      </c>
      <c r="F66" s="9">
        <f t="shared" si="113"/>
        <v>403787837.19000006</v>
      </c>
      <c r="G66" s="9">
        <f t="shared" si="113"/>
        <v>440687837.19000006</v>
      </c>
      <c r="H66" s="9">
        <f t="shared" si="113"/>
        <v>438087837.19000006</v>
      </c>
      <c r="I66" s="9">
        <f t="shared" si="113"/>
        <v>447487837.19</v>
      </c>
      <c r="J66" s="9">
        <f t="shared" si="113"/>
        <v>447237837.19</v>
      </c>
      <c r="K66" s="9">
        <f t="shared" si="113"/>
        <v>489437837.19</v>
      </c>
      <c r="L66" s="9">
        <f t="shared" si="113"/>
        <v>377437837.19</v>
      </c>
      <c r="M66" s="232">
        <f t="shared" si="113"/>
        <v>335637837.19000006</v>
      </c>
      <c r="N66" s="9">
        <f t="shared" si="113"/>
        <v>367437837.19</v>
      </c>
      <c r="O66" s="9">
        <f t="shared" si="113"/>
        <v>378637837.19</v>
      </c>
      <c r="P66" s="9">
        <f t="shared" si="113"/>
        <v>406937837.19</v>
      </c>
      <c r="Q66" s="9">
        <f t="shared" si="113"/>
        <v>416837837.19</v>
      </c>
      <c r="R66" s="9">
        <f t="shared" si="113"/>
        <v>437137837.19</v>
      </c>
      <c r="S66" s="9">
        <f t="shared" si="113"/>
        <v>434737837.19</v>
      </c>
      <c r="T66" s="9">
        <f t="shared" si="113"/>
        <v>436837837.18999994</v>
      </c>
      <c r="U66" s="9">
        <f t="shared" si="113"/>
        <v>438937837.18999994</v>
      </c>
      <c r="V66" s="40">
        <f t="shared" si="113"/>
        <v>438707255.26999998</v>
      </c>
      <c r="W66" s="9">
        <f t="shared" si="113"/>
        <v>438357255.26999998</v>
      </c>
      <c r="X66" s="9">
        <f t="shared" si="113"/>
        <v>437057255.26999998</v>
      </c>
      <c r="Y66" s="9">
        <f t="shared" si="113"/>
        <v>436457255.26999998</v>
      </c>
      <c r="Z66" s="9">
        <f t="shared" si="113"/>
        <v>437257255.26999998</v>
      </c>
      <c r="AA66" s="9">
        <f t="shared" si="113"/>
        <v>420657255.26999998</v>
      </c>
      <c r="AB66" s="9">
        <f t="shared" si="113"/>
        <v>430657255.26999998</v>
      </c>
      <c r="AC66" s="9">
        <f t="shared" si="113"/>
        <v>433707825.60000002</v>
      </c>
      <c r="AD66" s="9">
        <f t="shared" si="113"/>
        <v>433707825.60000002</v>
      </c>
      <c r="AE66" s="9">
        <f t="shared" si="113"/>
        <v>434057825.60000002</v>
      </c>
      <c r="AF66" s="232">
        <f t="shared" si="113"/>
        <v>367057825.60000002</v>
      </c>
      <c r="AG66" s="9">
        <f t="shared" si="113"/>
        <v>370557825.60000002</v>
      </c>
      <c r="AH66" s="9">
        <f t="shared" si="113"/>
        <v>369857825.60000002</v>
      </c>
      <c r="AI66" s="9">
        <f t="shared" si="113"/>
        <v>371057825.60000002</v>
      </c>
      <c r="AJ66" s="9">
        <f t="shared" si="113"/>
        <v>369957825.60000002</v>
      </c>
      <c r="AK66" s="9">
        <f t="shared" si="113"/>
        <v>372357825.60000002</v>
      </c>
      <c r="AL66" s="9">
        <f t="shared" si="113"/>
        <v>369757825.60000002</v>
      </c>
      <c r="AM66" s="9">
        <f t="shared" si="113"/>
        <v>370757825.60000002</v>
      </c>
      <c r="AN66" s="9">
        <f t="shared" si="113"/>
        <v>374157825.60000002</v>
      </c>
      <c r="AO66" s="9">
        <f t="shared" si="113"/>
        <v>375657825.60000002</v>
      </c>
      <c r="AP66" s="9">
        <f t="shared" si="113"/>
        <v>376957825.60000002</v>
      </c>
      <c r="AQ66" s="9">
        <f t="shared" si="113"/>
        <v>374357825.60000002</v>
      </c>
      <c r="AR66" s="40">
        <f t="shared" si="113"/>
        <v>374757825.60000002</v>
      </c>
      <c r="AS66" s="9">
        <f t="shared" si="113"/>
        <v>375085276.84999996</v>
      </c>
      <c r="AT66" s="9">
        <f t="shared" si="113"/>
        <v>376685276.84999996</v>
      </c>
      <c r="AU66" s="9">
        <f t="shared" si="113"/>
        <v>376485276.84999996</v>
      </c>
      <c r="AV66" s="9">
        <f t="shared" si="113"/>
        <v>360885276.84999996</v>
      </c>
      <c r="AW66" s="9">
        <f t="shared" si="113"/>
        <v>363885276.84999996</v>
      </c>
      <c r="AX66" s="9">
        <f t="shared" si="113"/>
        <v>363585276.84999996</v>
      </c>
      <c r="AY66" s="9">
        <f t="shared" si="113"/>
        <v>363085276.84999996</v>
      </c>
      <c r="AZ66" s="9">
        <f t="shared" si="113"/>
        <v>363085276.84999996</v>
      </c>
      <c r="BA66" s="9">
        <f t="shared" si="113"/>
        <v>366218989.78999996</v>
      </c>
      <c r="BB66" s="9">
        <f t="shared" si="113"/>
        <v>368318989.78999996</v>
      </c>
      <c r="BC66" s="232">
        <f t="shared" si="113"/>
        <v>299618989.78999996</v>
      </c>
      <c r="BD66" s="9">
        <f t="shared" si="113"/>
        <v>298918989.78999996</v>
      </c>
      <c r="BE66" s="9">
        <f t="shared" si="113"/>
        <v>294718989.78999996</v>
      </c>
      <c r="BF66" s="9">
        <f t="shared" si="113"/>
        <v>289718989.78999996</v>
      </c>
      <c r="BG66" s="9">
        <f t="shared" si="113"/>
        <v>289718989.78999996</v>
      </c>
      <c r="BH66" s="9">
        <f t="shared" si="113"/>
        <v>293218989.78999996</v>
      </c>
      <c r="BI66" s="9">
        <f t="shared" si="113"/>
        <v>293818989.78999996</v>
      </c>
      <c r="BJ66" s="9">
        <f t="shared" si="113"/>
        <v>293318989.78999996</v>
      </c>
      <c r="BK66" s="9">
        <f t="shared" si="113"/>
        <v>294227602.90999997</v>
      </c>
      <c r="BL66" s="9">
        <f t="shared" si="113"/>
        <v>293527602.90999997</v>
      </c>
      <c r="BM66" s="9">
        <f t="shared" si="113"/>
        <v>292127602.90999997</v>
      </c>
      <c r="BN66" s="40">
        <f t="shared" si="113"/>
        <v>288727602.90999997</v>
      </c>
      <c r="BO66" s="9">
        <f t="shared" ref="BO66:DZ66" si="114">SUM(BO58:BO65)</f>
        <v>284273234.56999999</v>
      </c>
      <c r="BP66" s="9">
        <f t="shared" si="114"/>
        <v>281673234.56999999</v>
      </c>
      <c r="BQ66" s="9">
        <f t="shared" si="114"/>
        <v>282873234.56999999</v>
      </c>
      <c r="BR66" s="9">
        <f t="shared" si="114"/>
        <v>274673234.56999999</v>
      </c>
      <c r="BS66" s="9">
        <f t="shared" si="114"/>
        <v>273673234.56999999</v>
      </c>
      <c r="BT66" s="9">
        <f t="shared" si="114"/>
        <v>273273234.56999999</v>
      </c>
      <c r="BU66" s="9">
        <f t="shared" si="114"/>
        <v>273173234.56999999</v>
      </c>
      <c r="BV66" s="9">
        <f t="shared" si="114"/>
        <v>268473234.56999999</v>
      </c>
      <c r="BW66" s="9">
        <f t="shared" si="114"/>
        <v>267673234.56999999</v>
      </c>
      <c r="BX66" s="9">
        <f t="shared" si="114"/>
        <v>268673234.56999999</v>
      </c>
      <c r="BY66" s="232">
        <f t="shared" si="114"/>
        <v>198173234.56999999</v>
      </c>
      <c r="BZ66" s="9">
        <f t="shared" si="114"/>
        <v>196573234.56999999</v>
      </c>
      <c r="CA66" s="9">
        <f t="shared" si="114"/>
        <v>196173234.56999999</v>
      </c>
      <c r="CB66" s="9">
        <f t="shared" si="114"/>
        <v>186573234.56999999</v>
      </c>
      <c r="CC66" s="9">
        <f t="shared" si="114"/>
        <v>186473234.56999999</v>
      </c>
      <c r="CD66" s="9">
        <f t="shared" si="114"/>
        <v>193873234.56999999</v>
      </c>
      <c r="CE66" s="9">
        <f t="shared" si="114"/>
        <v>195873234.56999999</v>
      </c>
      <c r="CF66" s="9">
        <f t="shared" si="114"/>
        <v>197973234.56999999</v>
      </c>
      <c r="CG66" s="9">
        <f t="shared" si="114"/>
        <v>196573234.56999999</v>
      </c>
      <c r="CH66" s="40">
        <f t="shared" si="114"/>
        <v>191273234.56999999</v>
      </c>
      <c r="CI66" s="9">
        <f t="shared" si="114"/>
        <v>190768959.36999997</v>
      </c>
      <c r="CJ66" s="9">
        <f t="shared" si="114"/>
        <v>191968959.36999997</v>
      </c>
      <c r="CK66" s="9">
        <f t="shared" si="114"/>
        <v>191268959.36999997</v>
      </c>
      <c r="CL66" s="9">
        <f t="shared" si="114"/>
        <v>190918959.36999997</v>
      </c>
      <c r="CM66" s="9">
        <f t="shared" si="114"/>
        <v>174918959.36999997</v>
      </c>
      <c r="CN66" s="9">
        <f t="shared" si="114"/>
        <v>174168959.37</v>
      </c>
      <c r="CO66" s="9">
        <f t="shared" si="114"/>
        <v>173368959.37</v>
      </c>
      <c r="CP66" s="9">
        <f t="shared" si="114"/>
        <v>173118959.37</v>
      </c>
      <c r="CQ66" s="9">
        <f t="shared" si="114"/>
        <v>174518959.37000003</v>
      </c>
      <c r="CR66" s="9">
        <f t="shared" si="114"/>
        <v>177618959.37000003</v>
      </c>
      <c r="CS66" s="232">
        <f t="shared" si="114"/>
        <v>112718959.36999999</v>
      </c>
      <c r="CT66" s="9">
        <f t="shared" si="114"/>
        <v>111868959.36999999</v>
      </c>
      <c r="CU66" s="9">
        <f t="shared" si="114"/>
        <v>111768959.36999999</v>
      </c>
      <c r="CV66" s="9">
        <f t="shared" si="114"/>
        <v>110168959.36999999</v>
      </c>
      <c r="CW66" s="9">
        <f t="shared" si="114"/>
        <v>115568959.36999999</v>
      </c>
      <c r="CX66" s="9">
        <f t="shared" si="114"/>
        <v>113668959.36999999</v>
      </c>
      <c r="CY66" s="9">
        <f t="shared" si="114"/>
        <v>112468959.36999999</v>
      </c>
      <c r="CZ66" s="9">
        <f t="shared" si="114"/>
        <v>111318959.36999999</v>
      </c>
      <c r="DA66" s="9">
        <f t="shared" si="114"/>
        <v>117918959.36999999</v>
      </c>
      <c r="DB66" s="9">
        <f t="shared" si="114"/>
        <v>115268959.36999999</v>
      </c>
      <c r="DC66" s="9">
        <f t="shared" si="114"/>
        <v>114318959.36999999</v>
      </c>
      <c r="DD66" s="40">
        <f t="shared" si="114"/>
        <v>99518959.36999999</v>
      </c>
      <c r="DE66" s="9">
        <f t="shared" si="114"/>
        <v>98162558.850000009</v>
      </c>
      <c r="DF66" s="9">
        <f t="shared" si="114"/>
        <v>98412558.850000009</v>
      </c>
      <c r="DG66" s="9">
        <f t="shared" si="114"/>
        <v>107412558.85000001</v>
      </c>
      <c r="DH66" s="9">
        <f t="shared" si="114"/>
        <v>108412558.85000001</v>
      </c>
      <c r="DI66" s="9">
        <f t="shared" si="114"/>
        <v>108212558.85000001</v>
      </c>
      <c r="DJ66" s="9">
        <f t="shared" si="114"/>
        <v>107912558.85000001</v>
      </c>
      <c r="DK66" s="9">
        <f t="shared" si="114"/>
        <v>106112558.85000001</v>
      </c>
      <c r="DL66" s="9">
        <f t="shared" si="114"/>
        <v>105962558.85000001</v>
      </c>
      <c r="DM66" s="9">
        <f t="shared" si="114"/>
        <v>107462558.85000001</v>
      </c>
      <c r="DN66" s="232">
        <f t="shared" si="114"/>
        <v>42462558.850000001</v>
      </c>
      <c r="DO66" s="9">
        <f t="shared" si="114"/>
        <v>41962558.850000001</v>
      </c>
      <c r="DP66" s="9">
        <f t="shared" si="114"/>
        <v>34612558.850000001</v>
      </c>
      <c r="DQ66" s="9">
        <f t="shared" si="114"/>
        <v>33562558.850000001</v>
      </c>
      <c r="DR66" s="9">
        <f t="shared" si="114"/>
        <v>32212558.849999998</v>
      </c>
      <c r="DS66" s="9">
        <f t="shared" si="114"/>
        <v>31012558.849999998</v>
      </c>
      <c r="DT66" s="9">
        <f t="shared" si="114"/>
        <v>28212558.849999998</v>
      </c>
      <c r="DU66" s="9">
        <f t="shared" si="114"/>
        <v>25412558.849999998</v>
      </c>
      <c r="DV66" s="9">
        <f t="shared" si="114"/>
        <v>27862558.849999998</v>
      </c>
      <c r="DW66" s="9">
        <f t="shared" si="114"/>
        <v>37612558.850000001</v>
      </c>
      <c r="DX66" s="9">
        <f t="shared" si="114"/>
        <v>35662558.850000001</v>
      </c>
      <c r="DY66" s="9">
        <f t="shared" si="114"/>
        <v>35662558.850000001</v>
      </c>
      <c r="DZ66" s="40">
        <f t="shared" si="114"/>
        <v>31594031.219999999</v>
      </c>
      <c r="EA66" s="9">
        <f t="shared" ref="EA66:GL66" si="115">SUM(EA58:EA65)</f>
        <v>31444031.219999999</v>
      </c>
      <c r="EB66" s="9">
        <f t="shared" si="115"/>
        <v>36044031.219999991</v>
      </c>
      <c r="EC66" s="9">
        <f t="shared" si="115"/>
        <v>34394031.219999991</v>
      </c>
      <c r="ED66" s="9">
        <f t="shared" si="115"/>
        <v>22044031.219999999</v>
      </c>
      <c r="EE66" s="9">
        <f t="shared" si="115"/>
        <v>19694031.219999999</v>
      </c>
      <c r="EF66" s="9">
        <f t="shared" si="115"/>
        <v>69294031.219999999</v>
      </c>
      <c r="EG66" s="9">
        <f t="shared" si="115"/>
        <v>69194031.219999999</v>
      </c>
      <c r="EH66" s="9">
        <f t="shared" si="115"/>
        <v>67394031.219999999</v>
      </c>
      <c r="EI66" s="9">
        <f t="shared" si="115"/>
        <v>76044031.220000014</v>
      </c>
      <c r="EJ66" s="232">
        <f t="shared" si="115"/>
        <v>10694031.220000006</v>
      </c>
      <c r="EK66" s="9">
        <f t="shared" si="115"/>
        <v>18744031.220000006</v>
      </c>
      <c r="EL66" s="9">
        <f t="shared" si="115"/>
        <v>29994031.220000006</v>
      </c>
      <c r="EM66" s="9">
        <f t="shared" si="115"/>
        <v>28094031.220000006</v>
      </c>
      <c r="EN66" s="9">
        <f t="shared" si="115"/>
        <v>27644031.220000006</v>
      </c>
      <c r="EO66" s="9">
        <f t="shared" si="115"/>
        <v>25544031.220000006</v>
      </c>
      <c r="EP66" s="9">
        <f t="shared" si="115"/>
        <v>21444031.220000006</v>
      </c>
      <c r="EQ66" s="9">
        <f t="shared" si="115"/>
        <v>95144031.220000014</v>
      </c>
      <c r="ER66" s="9">
        <f t="shared" si="115"/>
        <v>92394031.220000014</v>
      </c>
      <c r="ES66" s="9">
        <f t="shared" si="115"/>
        <v>92144031.220000014</v>
      </c>
      <c r="ET66" s="9">
        <f t="shared" si="115"/>
        <v>91194031.220000014</v>
      </c>
      <c r="EU66" s="40">
        <f t="shared" si="115"/>
        <v>87644031.220000014</v>
      </c>
      <c r="EV66" s="9">
        <f t="shared" si="115"/>
        <v>85244031.220000014</v>
      </c>
      <c r="EW66" s="9">
        <f t="shared" si="115"/>
        <v>86194031.220000014</v>
      </c>
      <c r="EX66" s="9">
        <f t="shared" si="115"/>
        <v>86094031.220000014</v>
      </c>
      <c r="EY66" s="9">
        <f t="shared" si="115"/>
        <v>70594031.220000014</v>
      </c>
      <c r="EZ66" s="9">
        <f t="shared" si="115"/>
        <v>69294031.220000014</v>
      </c>
      <c r="FA66" s="9">
        <f t="shared" si="115"/>
        <v>69794031.220000014</v>
      </c>
      <c r="FB66" s="9">
        <f t="shared" si="115"/>
        <v>83294031.220000014</v>
      </c>
      <c r="FC66" s="9">
        <f t="shared" si="115"/>
        <v>82994031.220000014</v>
      </c>
      <c r="FD66" s="9">
        <f t="shared" si="115"/>
        <v>81494031.220000014</v>
      </c>
      <c r="FE66" s="232">
        <f t="shared" si="115"/>
        <v>14794031.22000001</v>
      </c>
      <c r="FF66" s="9">
        <f t="shared" si="115"/>
        <v>13594031.22000001</v>
      </c>
      <c r="FG66" s="9">
        <f t="shared" si="115"/>
        <v>12994031.22000001</v>
      </c>
      <c r="FH66" s="9">
        <f t="shared" si="115"/>
        <v>21794031.22000001</v>
      </c>
      <c r="FI66" s="9">
        <f t="shared" si="115"/>
        <v>17294031.22000001</v>
      </c>
      <c r="FJ66" s="82">
        <f t="shared" si="115"/>
        <v>16944031.22000001</v>
      </c>
      <c r="FK66" s="9">
        <f t="shared" si="115"/>
        <v>15144031.22000001</v>
      </c>
      <c r="FL66" s="9">
        <f t="shared" si="115"/>
        <v>17694031.22000001</v>
      </c>
      <c r="FM66" s="9">
        <f t="shared" si="115"/>
        <v>136394031.22000003</v>
      </c>
      <c r="FN66" s="9">
        <f t="shared" si="115"/>
        <v>132094031.22000001</v>
      </c>
      <c r="FO66" s="9">
        <f t="shared" si="115"/>
        <v>133844031.22000001</v>
      </c>
      <c r="FP66" s="40">
        <f t="shared" si="115"/>
        <v>132994031.22000001</v>
      </c>
      <c r="FQ66" s="9">
        <f t="shared" si="115"/>
        <v>132644111.50000001</v>
      </c>
      <c r="FR66" s="9">
        <f t="shared" si="115"/>
        <v>128744111.50000001</v>
      </c>
      <c r="FS66" s="9">
        <f t="shared" si="115"/>
        <v>125344111.50000001</v>
      </c>
      <c r="FT66" s="9">
        <f t="shared" si="115"/>
        <v>109094111.50000001</v>
      </c>
      <c r="FU66" s="9">
        <f t="shared" si="115"/>
        <v>108744111.50000001</v>
      </c>
      <c r="FV66" s="9">
        <f t="shared" si="115"/>
        <v>108444111.50000001</v>
      </c>
      <c r="FW66" s="9">
        <f t="shared" si="115"/>
        <v>108344111.50000001</v>
      </c>
      <c r="FX66" s="9">
        <f t="shared" si="115"/>
        <v>105344111.50000001</v>
      </c>
      <c r="FY66" s="9">
        <f t="shared" si="115"/>
        <v>105244111.50000001</v>
      </c>
      <c r="FZ66" s="232">
        <f t="shared" si="115"/>
        <v>40544111.500000007</v>
      </c>
      <c r="GA66" s="9">
        <f t="shared" si="115"/>
        <v>33694111.500000007</v>
      </c>
      <c r="GB66" s="9">
        <f t="shared" si="115"/>
        <v>34794111.500000007</v>
      </c>
      <c r="GC66" s="9">
        <f t="shared" si="115"/>
        <v>36744111.500000007</v>
      </c>
      <c r="GD66" s="9">
        <f t="shared" si="115"/>
        <v>34844111.500000007</v>
      </c>
      <c r="GE66" s="9">
        <f t="shared" si="115"/>
        <v>35994111.500000007</v>
      </c>
      <c r="GF66" s="9">
        <f t="shared" si="115"/>
        <v>38044111.500000007</v>
      </c>
      <c r="GG66" s="9">
        <f t="shared" si="115"/>
        <v>122294111.50000001</v>
      </c>
      <c r="GH66" s="9">
        <f t="shared" si="115"/>
        <v>124194111.50000001</v>
      </c>
      <c r="GI66" s="9">
        <f t="shared" si="115"/>
        <v>127894111.50000001</v>
      </c>
      <c r="GJ66" s="9">
        <f t="shared" si="115"/>
        <v>147744111.50000003</v>
      </c>
      <c r="GK66" s="40">
        <f t="shared" si="115"/>
        <v>145044111.50000003</v>
      </c>
      <c r="GL66" s="9">
        <f t="shared" si="115"/>
        <v>143294111.50000003</v>
      </c>
      <c r="GM66" s="9">
        <f t="shared" ref="GM66:IT66" si="116">SUM(GM58:GM65)</f>
        <v>146044111.50000003</v>
      </c>
      <c r="GN66" s="9">
        <f t="shared" si="116"/>
        <v>145644111.50000003</v>
      </c>
      <c r="GO66" s="9">
        <f t="shared" si="116"/>
        <v>149244111.50000003</v>
      </c>
      <c r="GP66" s="9">
        <f t="shared" si="116"/>
        <v>134744111.5</v>
      </c>
      <c r="GQ66" s="9">
        <f t="shared" si="116"/>
        <v>134144111.50000001</v>
      </c>
      <c r="GR66" s="9">
        <f t="shared" si="116"/>
        <v>134944111.5</v>
      </c>
      <c r="GS66" s="9">
        <f t="shared" si="116"/>
        <v>134044111.50000001</v>
      </c>
      <c r="GT66" s="232">
        <f t="shared" si="116"/>
        <v>65644111.500000007</v>
      </c>
      <c r="GU66" s="9">
        <f t="shared" si="116"/>
        <v>63694111.500000007</v>
      </c>
      <c r="GV66" s="9">
        <f t="shared" si="116"/>
        <v>70044111.500000015</v>
      </c>
      <c r="GW66" s="9">
        <f t="shared" si="116"/>
        <v>67344111.500000015</v>
      </c>
      <c r="GX66" s="9">
        <f t="shared" si="116"/>
        <v>68844111.500000015</v>
      </c>
      <c r="GY66" s="9">
        <f t="shared" si="116"/>
        <v>69444111.500000015</v>
      </c>
      <c r="GZ66" s="9">
        <f t="shared" si="116"/>
        <v>61694111.500000007</v>
      </c>
      <c r="HA66" s="9">
        <f t="shared" si="116"/>
        <v>62194111.500000007</v>
      </c>
      <c r="HB66" s="9">
        <f t="shared" si="116"/>
        <v>61944111.500000007</v>
      </c>
      <c r="HC66" s="9">
        <f t="shared" si="116"/>
        <v>67794111.500000015</v>
      </c>
      <c r="HD66" s="40">
        <f t="shared" si="116"/>
        <v>72444111.500000015</v>
      </c>
      <c r="HE66" s="9">
        <f t="shared" si="116"/>
        <v>72603059.470000014</v>
      </c>
      <c r="HF66" s="9">
        <f t="shared" si="116"/>
        <v>75303059.470000014</v>
      </c>
      <c r="HG66" s="9">
        <f t="shared" si="116"/>
        <v>77607235.019999996</v>
      </c>
      <c r="HH66" s="9">
        <f t="shared" si="116"/>
        <v>66457235.020000011</v>
      </c>
      <c r="HI66" s="9">
        <f t="shared" si="116"/>
        <v>63757235.020000011</v>
      </c>
      <c r="HJ66" s="9">
        <f t="shared" si="116"/>
        <v>64516919.950000003</v>
      </c>
      <c r="HK66" s="9">
        <f t="shared" si="116"/>
        <v>73416919.950000003</v>
      </c>
      <c r="HL66" s="9">
        <f t="shared" si="116"/>
        <v>75516919.950000003</v>
      </c>
      <c r="HM66" s="9">
        <f t="shared" si="116"/>
        <v>74916919.950000003</v>
      </c>
      <c r="HN66" s="9">
        <f t="shared" si="116"/>
        <v>75416919.950000003</v>
      </c>
      <c r="HO66" s="232">
        <f t="shared" si="116"/>
        <v>7466919.9499999993</v>
      </c>
      <c r="HP66" s="9">
        <f t="shared" si="116"/>
        <v>13016919.949999999</v>
      </c>
      <c r="HQ66" s="9">
        <f t="shared" si="116"/>
        <v>17316919.950000003</v>
      </c>
      <c r="HR66" s="9">
        <f t="shared" si="116"/>
        <v>13716919.949999999</v>
      </c>
      <c r="HS66" s="9">
        <f t="shared" si="116"/>
        <v>22716919.950000003</v>
      </c>
      <c r="HT66" s="9">
        <f t="shared" si="116"/>
        <v>39566919.950000003</v>
      </c>
      <c r="HU66" s="9">
        <f t="shared" si="116"/>
        <v>40466919.950000003</v>
      </c>
      <c r="HV66" s="9">
        <f t="shared" si="116"/>
        <v>68216919.949999988</v>
      </c>
      <c r="HW66" s="9">
        <f t="shared" si="116"/>
        <v>67216919.949999988</v>
      </c>
      <c r="HX66" s="9">
        <f t="shared" si="116"/>
        <v>72916919.949999988</v>
      </c>
      <c r="HY66" s="9">
        <f t="shared" si="116"/>
        <v>81566919.949999988</v>
      </c>
      <c r="HZ66" s="40">
        <f t="shared" si="116"/>
        <v>96666919.949999988</v>
      </c>
      <c r="IA66" s="9">
        <f t="shared" si="116"/>
        <v>99616919.949999988</v>
      </c>
      <c r="IB66" s="9">
        <f t="shared" si="116"/>
        <v>139216919.94999999</v>
      </c>
      <c r="IC66" s="9">
        <f t="shared" si="116"/>
        <v>151216919.94999999</v>
      </c>
      <c r="ID66" s="9">
        <f t="shared" si="116"/>
        <v>160766919.94999999</v>
      </c>
      <c r="IE66" s="9">
        <f t="shared" si="116"/>
        <v>167716919.94999999</v>
      </c>
      <c r="IF66" s="9">
        <f t="shared" si="116"/>
        <v>174116919.94999999</v>
      </c>
      <c r="IG66" s="9">
        <f t="shared" si="116"/>
        <v>174266919.94999999</v>
      </c>
      <c r="IH66" s="9">
        <f t="shared" si="116"/>
        <v>236216919.94999999</v>
      </c>
      <c r="II66" s="9">
        <f t="shared" si="116"/>
        <v>247516919.94999999</v>
      </c>
      <c r="IJ66" s="232">
        <f t="shared" si="116"/>
        <v>196816919.94999999</v>
      </c>
      <c r="IK66" s="9">
        <f t="shared" si="116"/>
        <v>198966919.94999999</v>
      </c>
      <c r="IL66" s="9">
        <f t="shared" si="116"/>
        <v>213716919.94999999</v>
      </c>
      <c r="IM66" s="9">
        <f t="shared" si="116"/>
        <v>223616919.95000002</v>
      </c>
      <c r="IN66" s="9">
        <f t="shared" si="116"/>
        <v>239166919.95000002</v>
      </c>
      <c r="IO66" s="9">
        <f t="shared" si="116"/>
        <v>246166919.95000002</v>
      </c>
      <c r="IP66" s="9">
        <f t="shared" si="116"/>
        <v>265566919.94999999</v>
      </c>
      <c r="IQ66" s="9">
        <f t="shared" si="116"/>
        <v>281116919.94999999</v>
      </c>
      <c r="IR66" s="9">
        <f>SUM(IR58:IR65)</f>
        <v>315216919.95000005</v>
      </c>
      <c r="IS66" s="9">
        <f>SUM(IS58:IS65)</f>
        <v>341966919.95000005</v>
      </c>
      <c r="IT66" s="40">
        <f t="shared" si="116"/>
        <v>341966919.95000005</v>
      </c>
      <c r="IU66" s="9"/>
    </row>
    <row r="67" spans="1:255">
      <c r="C67" s="152"/>
      <c r="M67" s="213"/>
      <c r="AF67" s="213"/>
      <c r="BC67" s="213"/>
      <c r="BY67" s="213"/>
      <c r="CS67" s="213"/>
      <c r="CZ67" s="8"/>
      <c r="DN67" s="213"/>
      <c r="DR67" s="8"/>
      <c r="EB67" s="8"/>
      <c r="EJ67" s="213"/>
      <c r="EK67" s="140"/>
      <c r="EQ67" s="8"/>
      <c r="FD67" s="8"/>
      <c r="FE67" s="213"/>
      <c r="FJ67" s="71"/>
      <c r="FZ67" s="213"/>
      <c r="GT67" s="213"/>
      <c r="HO67" s="213"/>
      <c r="IJ67" s="213"/>
    </row>
    <row r="68" spans="1:255" s="63" customFormat="1" ht="16.5">
      <c r="A68" s="62" t="s">
        <v>60</v>
      </c>
      <c r="C68" s="61">
        <f t="shared" ref="C68:BN68" si="117">C54+C66</f>
        <v>290000935.20999998</v>
      </c>
      <c r="D68" s="61">
        <f t="shared" si="117"/>
        <v>317318110.20999998</v>
      </c>
      <c r="E68" s="61">
        <f t="shared" si="117"/>
        <v>354799504.20999998</v>
      </c>
      <c r="F68" s="61">
        <f t="shared" si="117"/>
        <v>403919700.21000004</v>
      </c>
      <c r="G68" s="61">
        <f t="shared" si="117"/>
        <v>440808599.21000004</v>
      </c>
      <c r="H68" s="61">
        <f t="shared" si="117"/>
        <v>438216019.21000004</v>
      </c>
      <c r="I68" s="61">
        <f t="shared" si="117"/>
        <v>447721327.20999998</v>
      </c>
      <c r="J68" s="61">
        <f t="shared" si="117"/>
        <v>447352038.98999995</v>
      </c>
      <c r="K68" s="61">
        <f t="shared" si="117"/>
        <v>489558181.99000001</v>
      </c>
      <c r="L68" s="61">
        <f t="shared" si="117"/>
        <v>377558688.98999995</v>
      </c>
      <c r="M68" s="233">
        <f t="shared" si="117"/>
        <v>335791933.88999999</v>
      </c>
      <c r="N68" s="61">
        <f t="shared" si="117"/>
        <v>367587329.08999997</v>
      </c>
      <c r="O68" s="61">
        <f t="shared" si="117"/>
        <v>378815141.08999997</v>
      </c>
      <c r="P68" s="61">
        <f t="shared" si="117"/>
        <v>407052052.08999997</v>
      </c>
      <c r="Q68" s="61">
        <f t="shared" si="117"/>
        <v>416946275.08999997</v>
      </c>
      <c r="R68" s="61">
        <f t="shared" si="117"/>
        <v>437248998.08999991</v>
      </c>
      <c r="S68" s="61">
        <f t="shared" si="117"/>
        <v>434856888.08999991</v>
      </c>
      <c r="T68" s="61">
        <f t="shared" si="117"/>
        <v>436952608.08999991</v>
      </c>
      <c r="U68" s="61">
        <f t="shared" si="117"/>
        <v>439042770.08999991</v>
      </c>
      <c r="V68" s="61">
        <f t="shared" si="117"/>
        <v>438828830.16999996</v>
      </c>
      <c r="W68" s="61">
        <f t="shared" si="117"/>
        <v>438524043.16999996</v>
      </c>
      <c r="X68" s="61">
        <f t="shared" si="117"/>
        <v>437188059.1699999</v>
      </c>
      <c r="Y68" s="61">
        <f t="shared" si="117"/>
        <v>436571574.1699999</v>
      </c>
      <c r="Z68" s="61">
        <f t="shared" si="117"/>
        <v>437387437.1699999</v>
      </c>
      <c r="AA68" s="61">
        <f t="shared" si="117"/>
        <v>420840926.16999996</v>
      </c>
      <c r="AB68" s="61">
        <f t="shared" si="117"/>
        <v>430832551.16999996</v>
      </c>
      <c r="AC68" s="61">
        <f t="shared" si="117"/>
        <v>433894174.5</v>
      </c>
      <c r="AD68" s="61">
        <f t="shared" si="117"/>
        <v>433885817.5</v>
      </c>
      <c r="AE68" s="61">
        <f t="shared" si="117"/>
        <v>434177357.5</v>
      </c>
      <c r="AF68" s="233">
        <f t="shared" si="117"/>
        <v>367252652.49999994</v>
      </c>
      <c r="AG68" s="61">
        <f t="shared" si="117"/>
        <v>370703899.49999994</v>
      </c>
      <c r="AH68" s="61">
        <f t="shared" si="117"/>
        <v>370843683.49999994</v>
      </c>
      <c r="AI68" s="61">
        <f t="shared" si="117"/>
        <v>371212774.49999994</v>
      </c>
      <c r="AJ68" s="61">
        <f t="shared" si="117"/>
        <v>370057957.49999994</v>
      </c>
      <c r="AK68" s="61">
        <f t="shared" si="117"/>
        <v>372457825.49999994</v>
      </c>
      <c r="AL68" s="61">
        <f t="shared" si="117"/>
        <v>369857825.49999994</v>
      </c>
      <c r="AM68" s="61">
        <f t="shared" si="117"/>
        <v>370865969.49999994</v>
      </c>
      <c r="AN68" s="61">
        <f t="shared" si="117"/>
        <v>374273998.49999994</v>
      </c>
      <c r="AO68" s="61">
        <f t="shared" si="117"/>
        <v>375768998.49999994</v>
      </c>
      <c r="AP68" s="61">
        <f t="shared" si="117"/>
        <v>377073099.49999994</v>
      </c>
      <c r="AQ68" s="61">
        <f t="shared" si="117"/>
        <v>374480237.49999994</v>
      </c>
      <c r="AR68" s="61">
        <f t="shared" si="117"/>
        <v>375123862.49999994</v>
      </c>
      <c r="AS68" s="61">
        <f t="shared" si="117"/>
        <v>375250528.74999988</v>
      </c>
      <c r="AT68" s="61">
        <f t="shared" si="117"/>
        <v>376894021.74999988</v>
      </c>
      <c r="AU68" s="61">
        <f t="shared" si="117"/>
        <v>376668965.74999988</v>
      </c>
      <c r="AV68" s="61">
        <f t="shared" si="117"/>
        <v>361027437.74999988</v>
      </c>
      <c r="AW68" s="61">
        <f t="shared" si="117"/>
        <v>363996055.74999988</v>
      </c>
      <c r="AX68" s="61">
        <f t="shared" si="117"/>
        <v>363796832.74999988</v>
      </c>
      <c r="AY68" s="61">
        <f t="shared" si="117"/>
        <v>363215711.74999988</v>
      </c>
      <c r="AZ68" s="61">
        <f t="shared" si="117"/>
        <v>363248258.74999988</v>
      </c>
      <c r="BA68" s="61">
        <f t="shared" si="117"/>
        <v>366338247.68999988</v>
      </c>
      <c r="BB68" s="61">
        <f t="shared" si="117"/>
        <v>368443272.68999988</v>
      </c>
      <c r="BC68" s="233">
        <f t="shared" si="117"/>
        <v>299747884.68999988</v>
      </c>
      <c r="BD68" s="61">
        <f t="shared" si="117"/>
        <v>299030186.68999988</v>
      </c>
      <c r="BE68" s="61">
        <f t="shared" si="117"/>
        <v>294836749.68999988</v>
      </c>
      <c r="BF68" s="61">
        <f t="shared" si="117"/>
        <v>289881316.68999988</v>
      </c>
      <c r="BG68" s="61">
        <f t="shared" si="117"/>
        <v>289864989.68999988</v>
      </c>
      <c r="BH68" s="61">
        <f t="shared" si="117"/>
        <v>293333929.68999988</v>
      </c>
      <c r="BI68" s="61">
        <f t="shared" si="117"/>
        <v>293927169.68999988</v>
      </c>
      <c r="BJ68" s="61">
        <f t="shared" si="117"/>
        <v>293449916.68999988</v>
      </c>
      <c r="BK68" s="61">
        <f t="shared" si="117"/>
        <v>294359780.80999988</v>
      </c>
      <c r="BL68" s="61">
        <f t="shared" si="117"/>
        <v>293638511.80999988</v>
      </c>
      <c r="BM68" s="61">
        <f t="shared" si="117"/>
        <v>292234171.80999988</v>
      </c>
      <c r="BN68" s="61">
        <f t="shared" si="117"/>
        <v>288866084.80999988</v>
      </c>
      <c r="BO68" s="61">
        <f t="shared" ref="BO68:DZ68" si="118">BO54+BO66</f>
        <v>284460562.46999991</v>
      </c>
      <c r="BP68" s="61">
        <f t="shared" si="118"/>
        <v>281849173.46999991</v>
      </c>
      <c r="BQ68" s="61">
        <f t="shared" si="118"/>
        <v>283019783.46999991</v>
      </c>
      <c r="BR68" s="61">
        <f t="shared" si="118"/>
        <v>274814111.46999991</v>
      </c>
      <c r="BS68" s="61">
        <f t="shared" si="118"/>
        <v>273920164.46999991</v>
      </c>
      <c r="BT68" s="61">
        <f t="shared" si="118"/>
        <v>273398154.46999991</v>
      </c>
      <c r="BU68" s="61">
        <f t="shared" si="118"/>
        <v>272921921.46999991</v>
      </c>
      <c r="BV68" s="61">
        <f t="shared" si="118"/>
        <v>268599749.46999991</v>
      </c>
      <c r="BW68" s="61">
        <f t="shared" si="118"/>
        <v>267790551.46999994</v>
      </c>
      <c r="BX68" s="61">
        <f t="shared" si="118"/>
        <v>268775820.46999991</v>
      </c>
      <c r="BY68" s="233">
        <f t="shared" si="118"/>
        <v>198277355.46999991</v>
      </c>
      <c r="BZ68" s="61">
        <f t="shared" si="118"/>
        <v>196726977.46999994</v>
      </c>
      <c r="CA68" s="61">
        <f t="shared" si="118"/>
        <v>196346137.46999991</v>
      </c>
      <c r="CB68" s="61">
        <f t="shared" si="118"/>
        <v>186690764.46999994</v>
      </c>
      <c r="CC68" s="61">
        <f t="shared" si="118"/>
        <v>186580812.46999994</v>
      </c>
      <c r="CD68" s="61">
        <f t="shared" si="118"/>
        <v>193977362.46999994</v>
      </c>
      <c r="CE68" s="61">
        <f t="shared" si="118"/>
        <v>195985431.46999991</v>
      </c>
      <c r="CF68" s="61">
        <f t="shared" si="118"/>
        <v>198081364.46999991</v>
      </c>
      <c r="CG68" s="61">
        <f t="shared" si="118"/>
        <v>196715390.46999991</v>
      </c>
      <c r="CH68" s="61">
        <f t="shared" si="118"/>
        <v>191420388.46999991</v>
      </c>
      <c r="CI68" s="61">
        <f t="shared" si="118"/>
        <v>190906343.26999992</v>
      </c>
      <c r="CJ68" s="61">
        <f t="shared" si="118"/>
        <v>192110222.26999992</v>
      </c>
      <c r="CK68" s="61">
        <f t="shared" si="118"/>
        <v>191401796.26999992</v>
      </c>
      <c r="CL68" s="61">
        <f t="shared" si="118"/>
        <v>191032838.26999992</v>
      </c>
      <c r="CM68" s="61">
        <f t="shared" si="118"/>
        <v>175035985.26999992</v>
      </c>
      <c r="CN68" s="61">
        <f t="shared" si="118"/>
        <v>174272385.26999995</v>
      </c>
      <c r="CO68" s="61">
        <f t="shared" si="118"/>
        <v>173489113.26999995</v>
      </c>
      <c r="CP68" s="61">
        <f t="shared" si="118"/>
        <v>173311484.26999992</v>
      </c>
      <c r="CQ68" s="61">
        <f t="shared" si="118"/>
        <v>174656208.26999998</v>
      </c>
      <c r="CR68" s="61">
        <f t="shared" si="118"/>
        <v>177760409.26999998</v>
      </c>
      <c r="CS68" s="233">
        <f t="shared" si="118"/>
        <v>112833660.26999992</v>
      </c>
      <c r="CT68" s="61">
        <f t="shared" si="118"/>
        <v>112076305.26999992</v>
      </c>
      <c r="CU68" s="61">
        <f t="shared" si="118"/>
        <v>112017135.26999992</v>
      </c>
      <c r="CV68" s="61">
        <f t="shared" si="118"/>
        <v>110476636.26999992</v>
      </c>
      <c r="CW68" s="61">
        <f t="shared" si="118"/>
        <v>115792434.26999992</v>
      </c>
      <c r="CX68" s="61">
        <f t="shared" si="118"/>
        <v>113779763.26999992</v>
      </c>
      <c r="CY68" s="61">
        <f t="shared" si="118"/>
        <v>112929318.26999992</v>
      </c>
      <c r="CZ68" s="61">
        <f t="shared" si="118"/>
        <v>111528270.26999992</v>
      </c>
      <c r="DA68" s="61">
        <f t="shared" si="118"/>
        <v>118134022.26999992</v>
      </c>
      <c r="DB68" s="61">
        <f t="shared" si="118"/>
        <v>115459827.26999992</v>
      </c>
      <c r="DC68" s="61">
        <f t="shared" si="118"/>
        <v>114421163.26999992</v>
      </c>
      <c r="DD68" s="61">
        <f t="shared" si="118"/>
        <v>99640695.269999921</v>
      </c>
      <c r="DE68" s="61">
        <f t="shared" si="118"/>
        <v>98278120.74999994</v>
      </c>
      <c r="DF68" s="61">
        <f t="shared" si="118"/>
        <v>98513469.74999994</v>
      </c>
      <c r="DG68" s="61">
        <f t="shared" si="118"/>
        <v>107512558.74999994</v>
      </c>
      <c r="DH68" s="61">
        <f t="shared" si="118"/>
        <v>108512558.84999995</v>
      </c>
      <c r="DI68" s="61">
        <f t="shared" si="118"/>
        <v>108065101.69999994</v>
      </c>
      <c r="DJ68" s="61">
        <f t="shared" si="118"/>
        <v>108012558.84999995</v>
      </c>
      <c r="DK68" s="61">
        <f t="shared" si="118"/>
        <v>106212558.84999995</v>
      </c>
      <c r="DL68" s="61">
        <f t="shared" si="118"/>
        <v>106062558.84999995</v>
      </c>
      <c r="DM68" s="61">
        <f t="shared" si="118"/>
        <v>107562558.84999993</v>
      </c>
      <c r="DN68" s="233">
        <f t="shared" si="118"/>
        <v>43000260.229999922</v>
      </c>
      <c r="DO68" s="61">
        <f t="shared" si="118"/>
        <v>42384212.80999992</v>
      </c>
      <c r="DP68" s="61">
        <f t="shared" si="118"/>
        <v>34833209.84999992</v>
      </c>
      <c r="DQ68" s="61">
        <f t="shared" si="118"/>
        <v>33707251.84999992</v>
      </c>
      <c r="DR68" s="61">
        <f t="shared" si="118"/>
        <v>32333183.84999992</v>
      </c>
      <c r="DS68" s="61">
        <f t="shared" si="118"/>
        <v>31152843.84999992</v>
      </c>
      <c r="DT68" s="61">
        <f t="shared" si="118"/>
        <v>28342972.84999992</v>
      </c>
      <c r="DU68" s="61">
        <f t="shared" si="118"/>
        <v>25532822.84999992</v>
      </c>
      <c r="DV68" s="61">
        <f t="shared" si="118"/>
        <v>27969020.84999992</v>
      </c>
      <c r="DW68" s="61">
        <f t="shared" si="118"/>
        <v>37808987.849999927</v>
      </c>
      <c r="DX68" s="61">
        <f t="shared" si="118"/>
        <v>36140518.849999927</v>
      </c>
      <c r="DY68" s="61">
        <f t="shared" si="118"/>
        <v>35794748.849999927</v>
      </c>
      <c r="DZ68" s="61">
        <f t="shared" si="118"/>
        <v>31694663.219999924</v>
      </c>
      <c r="EA68" s="61">
        <f t="shared" ref="EA68:GL68" si="119">EA54+EA66</f>
        <v>31544031.219999924</v>
      </c>
      <c r="EB68" s="61">
        <f t="shared" si="119"/>
        <v>36239431.219999917</v>
      </c>
      <c r="EC68" s="61">
        <f t="shared" si="119"/>
        <v>34562260.219999917</v>
      </c>
      <c r="ED68" s="61">
        <f t="shared" si="119"/>
        <v>22173897.219999921</v>
      </c>
      <c r="EE68" s="248">
        <f t="shared" si="119"/>
        <v>19835005.219999921</v>
      </c>
      <c r="EF68" s="61">
        <f t="shared" si="119"/>
        <v>69396847.219999909</v>
      </c>
      <c r="EG68" s="61">
        <f t="shared" si="119"/>
        <v>69323039.255499914</v>
      </c>
      <c r="EH68" s="61">
        <f t="shared" si="119"/>
        <v>67517695.255499914</v>
      </c>
      <c r="EI68" s="61">
        <f t="shared" si="119"/>
        <v>76182204.255499929</v>
      </c>
      <c r="EJ68" s="233">
        <f t="shared" si="119"/>
        <v>11041683.255499929</v>
      </c>
      <c r="EK68" s="248">
        <f t="shared" si="119"/>
        <v>19009886.62549993</v>
      </c>
      <c r="EL68" s="61">
        <f t="shared" si="119"/>
        <v>30107711.255499933</v>
      </c>
      <c r="EM68" s="61">
        <f t="shared" si="119"/>
        <v>28199206.255499933</v>
      </c>
      <c r="EN68" s="61">
        <f t="shared" si="119"/>
        <v>27748489.255499933</v>
      </c>
      <c r="EO68" s="61">
        <f t="shared" si="119"/>
        <v>25708517.255499933</v>
      </c>
      <c r="EP68" s="61">
        <f t="shared" si="119"/>
        <v>21589407.255499933</v>
      </c>
      <c r="EQ68" s="61">
        <f t="shared" si="119"/>
        <v>95273917.255499944</v>
      </c>
      <c r="ER68" s="61">
        <f t="shared" si="119"/>
        <v>92555013.255499944</v>
      </c>
      <c r="ES68" s="61">
        <f t="shared" si="119"/>
        <v>92285719.255499944</v>
      </c>
      <c r="ET68" s="61">
        <f t="shared" si="119"/>
        <v>91317632.235499948</v>
      </c>
      <c r="EU68" s="61">
        <f t="shared" si="119"/>
        <v>87748537.235499948</v>
      </c>
      <c r="EV68" s="61">
        <f t="shared" si="119"/>
        <v>85413615.235499948</v>
      </c>
      <c r="EW68" s="61">
        <f t="shared" si="119"/>
        <v>86315226.235499948</v>
      </c>
      <c r="EX68" s="61">
        <f t="shared" si="119"/>
        <v>86226053.235499948</v>
      </c>
      <c r="EY68" s="61">
        <f t="shared" si="119"/>
        <v>70750869.235499948</v>
      </c>
      <c r="EZ68" s="61">
        <f t="shared" si="119"/>
        <v>69760617.235499948</v>
      </c>
      <c r="FA68" s="61">
        <f t="shared" si="119"/>
        <v>70027581.235499948</v>
      </c>
      <c r="FB68" s="61">
        <f t="shared" si="119"/>
        <v>83422294.235499948</v>
      </c>
      <c r="FC68" s="61">
        <f t="shared" si="119"/>
        <v>83186180.235499948</v>
      </c>
      <c r="FD68" s="61">
        <f t="shared" si="119"/>
        <v>81635522.235499948</v>
      </c>
      <c r="FE68" s="233">
        <f t="shared" si="119"/>
        <v>14916083.23549993</v>
      </c>
      <c r="FF68" s="61">
        <f t="shared" si="119"/>
        <v>13707701.23549993</v>
      </c>
      <c r="FG68" s="61">
        <f t="shared" si="119"/>
        <v>13126913.23549993</v>
      </c>
      <c r="FH68" s="61">
        <f t="shared" si="119"/>
        <v>21914351.205499932</v>
      </c>
      <c r="FI68" s="61">
        <f t="shared" si="119"/>
        <v>17397268.205499932</v>
      </c>
      <c r="FJ68" s="233">
        <f t="shared" si="119"/>
        <v>17045473.205499932</v>
      </c>
      <c r="FK68" s="61">
        <f t="shared" si="119"/>
        <v>15271410.20549993</v>
      </c>
      <c r="FL68" s="61">
        <f t="shared" si="119"/>
        <v>17825970.205499928</v>
      </c>
      <c r="FM68" s="61">
        <f t="shared" si="119"/>
        <v>136497949.20549995</v>
      </c>
      <c r="FN68" s="61">
        <f t="shared" si="119"/>
        <v>132208077.20549992</v>
      </c>
      <c r="FO68" s="61">
        <f t="shared" si="119"/>
        <v>133982365.20549992</v>
      </c>
      <c r="FP68" s="61">
        <f t="shared" si="119"/>
        <v>133132799.20549992</v>
      </c>
      <c r="FQ68" s="61">
        <f t="shared" si="119"/>
        <v>132771851.48549992</v>
      </c>
      <c r="FR68" s="61">
        <f t="shared" si="119"/>
        <v>128869837.4854999</v>
      </c>
      <c r="FS68" s="61">
        <f t="shared" si="119"/>
        <v>125446488.4854999</v>
      </c>
      <c r="FT68" s="61">
        <f t="shared" si="119"/>
        <v>109462769.48549992</v>
      </c>
      <c r="FU68" s="61">
        <f t="shared" si="119"/>
        <v>109106433.48549992</v>
      </c>
      <c r="FV68" s="61">
        <f t="shared" si="119"/>
        <v>108574292.48549992</v>
      </c>
      <c r="FW68" s="61">
        <f t="shared" si="119"/>
        <v>108449358.48549992</v>
      </c>
      <c r="FX68" s="61">
        <f t="shared" si="119"/>
        <v>105455043.48549992</v>
      </c>
      <c r="FY68" s="61">
        <f t="shared" si="119"/>
        <v>105364114.48549992</v>
      </c>
      <c r="FZ68" s="233">
        <f t="shared" si="119"/>
        <v>40774642.485499881</v>
      </c>
      <c r="GA68" s="61">
        <f t="shared" si="119"/>
        <v>33882998.485499881</v>
      </c>
      <c r="GB68" s="61">
        <f t="shared" si="119"/>
        <v>34932313.485499881</v>
      </c>
      <c r="GC68" s="61">
        <f t="shared" si="119"/>
        <v>36881942.485499881</v>
      </c>
      <c r="GD68" s="61">
        <f t="shared" si="119"/>
        <v>34949184.485499881</v>
      </c>
      <c r="GE68" s="61">
        <f t="shared" si="119"/>
        <v>36129716.485499881</v>
      </c>
      <c r="GF68" s="248">
        <f t="shared" si="119"/>
        <v>38148920.485499881</v>
      </c>
      <c r="GG68" s="61">
        <f t="shared" si="119"/>
        <v>122398739.48549987</v>
      </c>
      <c r="GH68" s="61">
        <f t="shared" si="119"/>
        <v>124297614.48549987</v>
      </c>
      <c r="GI68" s="61">
        <f t="shared" si="119"/>
        <v>128002170.48549987</v>
      </c>
      <c r="GJ68" s="61">
        <f t="shared" si="119"/>
        <v>147937189.48549989</v>
      </c>
      <c r="GK68" s="61">
        <f t="shared" si="119"/>
        <v>145354367.48549989</v>
      </c>
      <c r="GL68" s="61">
        <f t="shared" si="119"/>
        <v>143479516.48549989</v>
      </c>
      <c r="GM68" s="61">
        <f t="shared" ref="GM68:IT68" si="120">GM54+GM66</f>
        <v>146179806.48549989</v>
      </c>
      <c r="GN68" s="61">
        <f t="shared" si="120"/>
        <v>146305474.48549989</v>
      </c>
      <c r="GO68" s="61">
        <f t="shared" si="120"/>
        <v>149580825.57549989</v>
      </c>
      <c r="GP68" s="61">
        <f t="shared" si="120"/>
        <v>134886863.48549986</v>
      </c>
      <c r="GQ68" s="61">
        <f t="shared" si="120"/>
        <v>134258776.48549986</v>
      </c>
      <c r="GR68" s="61">
        <f t="shared" si="120"/>
        <v>135078582.48549986</v>
      </c>
      <c r="GS68" s="61">
        <f t="shared" si="120"/>
        <v>134173117.48549987</v>
      </c>
      <c r="GT68" s="233">
        <f t="shared" si="120"/>
        <v>65762514.485499866</v>
      </c>
      <c r="GU68" s="61">
        <f t="shared" si="120"/>
        <v>63861500.485499866</v>
      </c>
      <c r="GV68" s="61">
        <f t="shared" si="120"/>
        <v>70345090.485499874</v>
      </c>
      <c r="GW68" s="61">
        <f t="shared" si="120"/>
        <v>67520630.38549988</v>
      </c>
      <c r="GX68" s="61">
        <f t="shared" si="120"/>
        <v>69223697.38549988</v>
      </c>
      <c r="GY68" s="61">
        <f t="shared" si="120"/>
        <v>69595432.38549988</v>
      </c>
      <c r="GZ68" s="61">
        <f t="shared" si="120"/>
        <v>61890048.385499865</v>
      </c>
      <c r="HA68" s="61">
        <f t="shared" si="120"/>
        <v>62346445.385499865</v>
      </c>
      <c r="HB68" s="61">
        <f t="shared" si="120"/>
        <v>62047245.385499865</v>
      </c>
      <c r="HC68" s="61">
        <f t="shared" si="120"/>
        <v>67894115.385499865</v>
      </c>
      <c r="HD68" s="61">
        <f t="shared" si="120"/>
        <v>72544126.385499865</v>
      </c>
      <c r="HE68" s="61">
        <f t="shared" si="120"/>
        <v>72706343.355499864</v>
      </c>
      <c r="HF68" s="61">
        <f t="shared" si="120"/>
        <v>75428081.355499864</v>
      </c>
      <c r="HG68" s="61">
        <f t="shared" si="120"/>
        <v>77795091.905499846</v>
      </c>
      <c r="HH68" s="61">
        <f t="shared" si="120"/>
        <v>66645440.905499868</v>
      </c>
      <c r="HI68" s="61">
        <f t="shared" si="120"/>
        <v>63957025.905499868</v>
      </c>
      <c r="HJ68" s="61">
        <f t="shared" si="120"/>
        <v>64628733.83549986</v>
      </c>
      <c r="HK68" s="61">
        <f t="shared" si="120"/>
        <v>73535254.835499853</v>
      </c>
      <c r="HL68" s="61">
        <f t="shared" si="120"/>
        <v>75636525.837499857</v>
      </c>
      <c r="HM68" s="61">
        <f t="shared" si="120"/>
        <v>75560707.837499857</v>
      </c>
      <c r="HN68" s="61">
        <f t="shared" si="120"/>
        <v>75553583.837499857</v>
      </c>
      <c r="HO68" s="233">
        <f t="shared" si="120"/>
        <v>7588884.8374998532</v>
      </c>
      <c r="HP68" s="61">
        <f t="shared" si="120"/>
        <v>13126442.837499853</v>
      </c>
      <c r="HQ68" s="61">
        <f t="shared" si="120"/>
        <v>17485849.837499857</v>
      </c>
      <c r="HR68" s="61">
        <f t="shared" si="120"/>
        <v>13847188.837499853</v>
      </c>
      <c r="HS68" s="61">
        <f t="shared" si="120"/>
        <v>22893879.837499861</v>
      </c>
      <c r="HT68" s="61">
        <f t="shared" si="120"/>
        <v>39683567.837499864</v>
      </c>
      <c r="HU68" s="61">
        <f t="shared" si="120"/>
        <v>40573985.837499864</v>
      </c>
      <c r="HV68" s="61">
        <f t="shared" si="120"/>
        <v>68317238.837499857</v>
      </c>
      <c r="HW68" s="61">
        <f t="shared" si="120"/>
        <v>67316919.837499857</v>
      </c>
      <c r="HX68" s="61">
        <f t="shared" si="120"/>
        <v>73016919.837499857</v>
      </c>
      <c r="HY68" s="61">
        <f t="shared" si="120"/>
        <v>81666939.837499857</v>
      </c>
      <c r="HZ68" s="61">
        <f t="shared" si="120"/>
        <v>96766919.837499857</v>
      </c>
      <c r="IA68" s="61">
        <f t="shared" si="120"/>
        <v>99716919.837499842</v>
      </c>
      <c r="IB68" s="61">
        <f t="shared" si="120"/>
        <v>139316919.83749986</v>
      </c>
      <c r="IC68" s="61">
        <f t="shared" si="120"/>
        <v>151752513.89749986</v>
      </c>
      <c r="ID68" s="61">
        <f t="shared" si="120"/>
        <v>161140463.89749986</v>
      </c>
      <c r="IE68" s="61">
        <f t="shared" si="120"/>
        <v>167890702.99749985</v>
      </c>
      <c r="IF68" s="61">
        <f t="shared" si="120"/>
        <v>174227638.99749985</v>
      </c>
      <c r="IG68" s="61">
        <f t="shared" si="120"/>
        <v>174404419.99749985</v>
      </c>
      <c r="IH68" s="61">
        <f t="shared" si="120"/>
        <v>236339809.99749985</v>
      </c>
      <c r="II68" s="61">
        <f t="shared" si="120"/>
        <v>247772347.99749985</v>
      </c>
      <c r="IJ68" s="233">
        <f t="shared" si="120"/>
        <v>197056063.99749985</v>
      </c>
      <c r="IK68" s="61">
        <f t="shared" si="120"/>
        <v>199082161.99749985</v>
      </c>
      <c r="IL68" s="61">
        <f t="shared" si="120"/>
        <v>213869244.99749985</v>
      </c>
      <c r="IM68" s="61">
        <f t="shared" si="120"/>
        <v>223737940.99749988</v>
      </c>
      <c r="IN68" s="61">
        <f t="shared" si="120"/>
        <v>239272324.99749988</v>
      </c>
      <c r="IO68" s="61">
        <f t="shared" si="120"/>
        <v>246328486.99749988</v>
      </c>
      <c r="IP68" s="61">
        <f t="shared" si="120"/>
        <v>265766559.99749985</v>
      </c>
      <c r="IQ68" s="61">
        <f t="shared" si="120"/>
        <v>281245470.99749982</v>
      </c>
      <c r="IR68" s="61">
        <f>IR54+IR66</f>
        <v>315320819.99749994</v>
      </c>
      <c r="IS68" s="61">
        <f>IS54+IS66</f>
        <v>342068647.99749988</v>
      </c>
      <c r="IT68" s="61">
        <f t="shared" si="120"/>
        <v>342068647.99749988</v>
      </c>
      <c r="IU68" s="96"/>
    </row>
    <row r="69" spans="1:255" ht="15" thickBot="1">
      <c r="M69" s="237"/>
      <c r="AF69" s="237"/>
      <c r="BC69" s="237"/>
      <c r="BY69" s="237"/>
      <c r="CS69" s="237"/>
      <c r="DN69" s="237"/>
      <c r="ED69" s="146" t="s">
        <v>49</v>
      </c>
      <c r="EE69" s="146"/>
      <c r="EJ69" s="266" t="s">
        <v>96</v>
      </c>
      <c r="EK69" s="365"/>
      <c r="EL69" s="42"/>
      <c r="EM69" s="42"/>
      <c r="EN69" s="42"/>
      <c r="EO69" s="42"/>
      <c r="EP69" s="42"/>
      <c r="EQ69" s="268" t="s">
        <v>98</v>
      </c>
      <c r="EY69" s="146" t="s">
        <v>49</v>
      </c>
      <c r="FE69" s="266" t="s">
        <v>97</v>
      </c>
      <c r="FF69" s="42"/>
      <c r="FG69" s="42"/>
      <c r="FH69" s="42"/>
      <c r="FI69" s="42"/>
      <c r="FJ69" s="282" t="s">
        <v>105</v>
      </c>
      <c r="FK69" s="42"/>
      <c r="FL69" s="42"/>
      <c r="FM69" s="267" t="s">
        <v>100</v>
      </c>
      <c r="FZ69" s="356" t="s">
        <v>99</v>
      </c>
      <c r="GA69" s="38"/>
      <c r="GB69" s="38"/>
      <c r="GC69" s="38"/>
      <c r="GD69" s="38"/>
      <c r="GE69" s="38"/>
      <c r="GF69" s="357" t="s">
        <v>49</v>
      </c>
      <c r="GG69" s="267" t="s">
        <v>100</v>
      </c>
      <c r="GT69" s="237"/>
      <c r="HO69" s="358" t="s">
        <v>101</v>
      </c>
      <c r="IJ69" s="237"/>
    </row>
    <row r="70" spans="1:255" ht="15" thickBot="1">
      <c r="CM70" s="219" t="s">
        <v>49</v>
      </c>
      <c r="DN70" s="270">
        <v>0</v>
      </c>
      <c r="EF70" s="383" t="s">
        <v>146</v>
      </c>
      <c r="EJ70" s="270">
        <v>0</v>
      </c>
      <c r="EK70" s="381" t="s">
        <v>143</v>
      </c>
      <c r="FB70" s="383" t="s">
        <v>146</v>
      </c>
      <c r="FE70" s="270">
        <v>0</v>
      </c>
      <c r="FF70" s="381" t="s">
        <v>176</v>
      </c>
      <c r="FJ70" s="283" t="s">
        <v>104</v>
      </c>
      <c r="FZ70" s="270">
        <v>0</v>
      </c>
      <c r="GJ70" s="383" t="s">
        <v>146</v>
      </c>
    </row>
    <row r="71" spans="1:255" ht="15" thickBot="1">
      <c r="DN71" s="269" t="s">
        <v>103</v>
      </c>
      <c r="EF71" s="383" t="s">
        <v>144</v>
      </c>
      <c r="EJ71" s="269" t="s">
        <v>103</v>
      </c>
      <c r="EK71" s="140"/>
      <c r="FB71" s="383" t="s">
        <v>144</v>
      </c>
      <c r="FE71" s="269" t="s">
        <v>103</v>
      </c>
      <c r="FI71" s="140"/>
      <c r="FZ71" s="269" t="s">
        <v>103</v>
      </c>
      <c r="GJ71" s="383" t="s">
        <v>144</v>
      </c>
      <c r="IR71" s="481" t="s">
        <v>88</v>
      </c>
      <c r="IS71" s="481" t="s">
        <v>168</v>
      </c>
    </row>
    <row r="72" spans="1:255" ht="15" thickBot="1">
      <c r="DN72" s="457"/>
      <c r="EF72" s="497" t="s">
        <v>174</v>
      </c>
      <c r="EJ72" s="501"/>
      <c r="EK72" s="140"/>
      <c r="FB72" s="382" t="s">
        <v>145</v>
      </c>
      <c r="FE72" s="457"/>
      <c r="FI72" s="140"/>
      <c r="FZ72" s="457"/>
      <c r="GJ72" s="497" t="s">
        <v>175</v>
      </c>
      <c r="IR72" s="461" t="s">
        <v>164</v>
      </c>
      <c r="IS72" s="461" t="s">
        <v>169</v>
      </c>
    </row>
    <row r="73" spans="1:255" ht="15.75" thickBot="1">
      <c r="U73" s="8" t="s">
        <v>79</v>
      </c>
      <c r="V73" s="254">
        <v>1.05</v>
      </c>
      <c r="DO73" s="8" t="s">
        <v>49</v>
      </c>
      <c r="EF73" s="384">
        <v>40035</v>
      </c>
      <c r="EK73" s="140"/>
      <c r="FB73" s="384">
        <v>40066</v>
      </c>
      <c r="FY73" s="459" t="s">
        <v>162</v>
      </c>
      <c r="FZ73" s="460">
        <f>+FZ33/+FZ47</f>
        <v>2.6056065044701988E-2</v>
      </c>
      <c r="GJ73" s="384">
        <v>40115</v>
      </c>
      <c r="GS73" s="459" t="s">
        <v>162</v>
      </c>
      <c r="GT73" s="460">
        <f>+GT33/+GT47</f>
        <v>2.7726492399574549E-2</v>
      </c>
      <c r="HB73" s="459" t="s">
        <v>162</v>
      </c>
      <c r="HC73" s="464">
        <f>+HB33/HC47</f>
        <v>3.4113486832658191E-2</v>
      </c>
      <c r="HL73" s="459" t="s">
        <v>162</v>
      </c>
      <c r="HM73" s="464">
        <f>+HM33/+HM47</f>
        <v>4.4912144888337183E-2</v>
      </c>
      <c r="HN73" s="459" t="s">
        <v>162</v>
      </c>
      <c r="HO73" s="462">
        <f>+HO33/+HO47</f>
        <v>2.5345731882880484E-2</v>
      </c>
      <c r="HT73" s="459"/>
      <c r="HU73" s="459" t="s">
        <v>162</v>
      </c>
      <c r="HV73" s="464">
        <f>+HU33/HV47</f>
        <v>3.4949798660920121E-2</v>
      </c>
      <c r="ID73" s="459" t="s">
        <v>162</v>
      </c>
      <c r="IE73" s="464">
        <f>+IE33/+IE47</f>
        <v>5.2619810497097089E-2</v>
      </c>
      <c r="II73" s="459" t="s">
        <v>162</v>
      </c>
      <c r="IJ73" s="462">
        <f>+IJ33/+IJ47</f>
        <v>2.7355983437621627E-2</v>
      </c>
      <c r="IM73" s="459" t="s">
        <v>162</v>
      </c>
      <c r="IN73" s="464">
        <f>+IN33/+IN47</f>
        <v>3.689717091933651E-2</v>
      </c>
      <c r="IQ73" s="459" t="s">
        <v>162</v>
      </c>
      <c r="IR73" s="462">
        <f>(+FZ73+GT73+HO73+IJ73)/4</f>
        <v>2.6621068191194662E-2</v>
      </c>
      <c r="IS73" s="464">
        <f>(+HC73+HM73+HV73+IE73+IN73)/5</f>
        <v>4.0698482359669816E-2</v>
      </c>
    </row>
    <row r="74" spans="1:255" ht="15" thickBot="1">
      <c r="V74" s="8" t="s">
        <v>49</v>
      </c>
      <c r="EK74" s="359"/>
      <c r="EL74" s="253" t="s">
        <v>135</v>
      </c>
      <c r="FY74" s="459" t="s">
        <v>163</v>
      </c>
      <c r="FZ74" s="460">
        <f>+FZ36/FZ47</f>
        <v>0.16322776230960506</v>
      </c>
      <c r="GS74" s="459" t="s">
        <v>163</v>
      </c>
      <c r="GT74" s="460">
        <f>+GT36/GT47</f>
        <v>0.15406544500068503</v>
      </c>
      <c r="HB74" s="459" t="s">
        <v>163</v>
      </c>
      <c r="HC74" s="464">
        <f>+HB36/HC47</f>
        <v>0.10636698166341585</v>
      </c>
      <c r="HL74" s="459" t="s">
        <v>163</v>
      </c>
      <c r="HM74" s="464">
        <f>+HM36/HM47</f>
        <v>0.10308948911931987</v>
      </c>
      <c r="HN74" s="459" t="s">
        <v>163</v>
      </c>
      <c r="HO74" s="462">
        <f>+HO36/HO47</f>
        <v>0.16537798176294644</v>
      </c>
      <c r="HT74" s="459"/>
      <c r="HU74" s="459" t="s">
        <v>163</v>
      </c>
      <c r="HV74" s="464">
        <f>+HU36/HV47</f>
        <v>0.12074574343215795</v>
      </c>
      <c r="ID74" s="459" t="s">
        <v>163</v>
      </c>
      <c r="IE74" s="464">
        <f>+IE36/IE47</f>
        <v>0.12644043201293637</v>
      </c>
      <c r="II74" s="459" t="s">
        <v>163</v>
      </c>
      <c r="IJ74" s="462">
        <f>+IJ36/IJ47</f>
        <v>0.15941654554361553</v>
      </c>
      <c r="IM74" s="459" t="s">
        <v>163</v>
      </c>
      <c r="IN74" s="464">
        <f>+IN36/IN47</f>
        <v>0.11753233234159939</v>
      </c>
      <c r="IQ74" s="459" t="s">
        <v>163</v>
      </c>
      <c r="IR74" s="462">
        <f>(+FZ74+GT74+HO74+IJ74)/4</f>
        <v>0.16052193365421302</v>
      </c>
      <c r="IS74" s="464">
        <f>(+HC74+HM74+HV74+IE74+IN74)/5</f>
        <v>0.11483499571388589</v>
      </c>
    </row>
    <row r="75" spans="1:255" ht="15" thickBot="1">
      <c r="C75" s="262" t="s">
        <v>90</v>
      </c>
      <c r="D75" s="262" t="s">
        <v>88</v>
      </c>
      <c r="E75" s="259" t="s">
        <v>89</v>
      </c>
      <c r="F75" s="262" t="s">
        <v>90</v>
      </c>
      <c r="G75" s="262" t="s">
        <v>88</v>
      </c>
      <c r="H75" s="264" t="s">
        <v>89</v>
      </c>
      <c r="U75" s="8" t="s">
        <v>80</v>
      </c>
      <c r="V75" s="203">
        <v>1</v>
      </c>
    </row>
    <row r="76" spans="1:255">
      <c r="C76" s="391">
        <v>39493</v>
      </c>
      <c r="D76" s="392">
        <v>55502242</v>
      </c>
      <c r="E76" s="393"/>
      <c r="F76" s="391">
        <v>39859</v>
      </c>
      <c r="G76" s="392">
        <f>+M47</f>
        <v>53978285.130000003</v>
      </c>
      <c r="H76" s="394">
        <f t="shared" ref="H76:H87" si="121">+G76/$G$76</f>
        <v>1</v>
      </c>
      <c r="EK76" s="272"/>
      <c r="EL76" s="253" t="s">
        <v>83</v>
      </c>
    </row>
    <row r="77" spans="1:255">
      <c r="C77" s="395">
        <v>39520</v>
      </c>
      <c r="D77" s="396">
        <v>56580536</v>
      </c>
      <c r="E77" s="394">
        <f t="shared" ref="E77:E87" si="122">+D77/$D$76</f>
        <v>1.0194279359021208</v>
      </c>
      <c r="F77" s="395">
        <v>39885</v>
      </c>
      <c r="G77" s="396">
        <f>+AF47</f>
        <v>54541475.32</v>
      </c>
      <c r="H77" s="394">
        <f t="shared" si="121"/>
        <v>1.0104336436150876</v>
      </c>
    </row>
    <row r="78" spans="1:255">
      <c r="C78" s="395">
        <v>39553</v>
      </c>
      <c r="D78" s="396">
        <v>55070015</v>
      </c>
      <c r="E78" s="394">
        <f t="shared" si="122"/>
        <v>0.992212440715458</v>
      </c>
      <c r="F78" s="395">
        <v>39918</v>
      </c>
      <c r="G78" s="396">
        <f>+BC47</f>
        <v>56435928.600000001</v>
      </c>
      <c r="H78" s="394">
        <f t="shared" si="121"/>
        <v>1.0455302250540393</v>
      </c>
    </row>
    <row r="79" spans="1:255">
      <c r="C79" s="395">
        <v>39583</v>
      </c>
      <c r="D79" s="396">
        <v>57949631</v>
      </c>
      <c r="E79" s="394">
        <f t="shared" si="122"/>
        <v>1.0440953178071617</v>
      </c>
      <c r="F79" s="395">
        <v>39948</v>
      </c>
      <c r="G79" s="396">
        <f>+BY47</f>
        <v>60449640.920000002</v>
      </c>
      <c r="H79" s="394">
        <f t="shared" si="121"/>
        <v>1.1198881323186638</v>
      </c>
    </row>
    <row r="80" spans="1:255">
      <c r="C80" s="395">
        <v>39614</v>
      </c>
      <c r="D80" s="396">
        <v>58346530</v>
      </c>
      <c r="E80" s="394">
        <f t="shared" si="122"/>
        <v>1.0512463622640686</v>
      </c>
      <c r="F80" s="395">
        <v>39979</v>
      </c>
      <c r="G80" s="396">
        <f>+CS47</f>
        <v>54545058.329999998</v>
      </c>
      <c r="H80" s="394">
        <f t="shared" si="121"/>
        <v>1.0105000223448186</v>
      </c>
    </row>
    <row r="81" spans="3:9">
      <c r="C81" s="395">
        <v>39644</v>
      </c>
      <c r="D81" s="396">
        <v>60200844</v>
      </c>
      <c r="E81" s="394">
        <f t="shared" si="122"/>
        <v>1.0846560756951042</v>
      </c>
      <c r="F81" s="395">
        <v>40009</v>
      </c>
      <c r="G81" s="396">
        <f>+DN47</f>
        <v>58097699.210000001</v>
      </c>
      <c r="H81" s="394">
        <f t="shared" si="121"/>
        <v>1.076316134721192</v>
      </c>
    </row>
    <row r="82" spans="3:9">
      <c r="C82" s="395">
        <v>39675</v>
      </c>
      <c r="D82" s="396">
        <v>56206256</v>
      </c>
      <c r="E82" s="394">
        <f t="shared" si="122"/>
        <v>1.0126844245318956</v>
      </c>
      <c r="F82" s="395">
        <v>40040</v>
      </c>
      <c r="G82" s="396">
        <f>+EJ47</f>
        <v>54887530.409999996</v>
      </c>
      <c r="H82" s="394">
        <f t="shared" si="121"/>
        <v>1.0168446492475667</v>
      </c>
    </row>
    <row r="83" spans="3:9">
      <c r="C83" s="395">
        <v>39706</v>
      </c>
      <c r="D83" s="396">
        <v>56888969</v>
      </c>
      <c r="E83" s="394">
        <f t="shared" si="122"/>
        <v>1.0249850627655726</v>
      </c>
      <c r="F83" s="395">
        <v>40071</v>
      </c>
      <c r="G83" s="396">
        <f>+FE47</f>
        <v>56387650.93</v>
      </c>
      <c r="H83" s="394">
        <f t="shared" si="121"/>
        <v>1.0446358344693119</v>
      </c>
    </row>
    <row r="84" spans="3:9">
      <c r="C84" s="395">
        <v>39736</v>
      </c>
      <c r="D84" s="396">
        <v>60022720</v>
      </c>
      <c r="E84" s="394">
        <f t="shared" si="122"/>
        <v>1.0814467638982943</v>
      </c>
      <c r="F84" s="395">
        <v>40101</v>
      </c>
      <c r="G84" s="396">
        <f>+FZ47</f>
        <v>57761146.490000002</v>
      </c>
      <c r="H84" s="394">
        <f t="shared" si="121"/>
        <v>1.0700811696942474</v>
      </c>
    </row>
    <row r="85" spans="3:9">
      <c r="C85" s="395">
        <v>39767</v>
      </c>
      <c r="D85" s="397">
        <v>60942294</v>
      </c>
      <c r="E85" s="394">
        <f t="shared" si="122"/>
        <v>1.0980149955023439</v>
      </c>
      <c r="F85" s="395">
        <v>40132</v>
      </c>
      <c r="G85" s="396">
        <f>+GT47</f>
        <v>58268806.479999997</v>
      </c>
      <c r="H85" s="394">
        <f t="shared" si="121"/>
        <v>1.079486062583626</v>
      </c>
    </row>
    <row r="86" spans="3:9">
      <c r="C86" s="398">
        <v>39797</v>
      </c>
      <c r="D86" s="397">
        <v>59275629</v>
      </c>
      <c r="E86" s="399">
        <f t="shared" si="122"/>
        <v>1.0679862085571246</v>
      </c>
      <c r="F86" s="398">
        <v>40162</v>
      </c>
      <c r="G86" s="397">
        <f>+HO47</f>
        <v>59201249.619999997</v>
      </c>
      <c r="H86" s="399">
        <f t="shared" si="121"/>
        <v>1.0967604746505217</v>
      </c>
    </row>
    <row r="87" spans="3:9" ht="15" thickBot="1">
      <c r="C87" s="403">
        <v>39828</v>
      </c>
      <c r="D87" s="404">
        <v>57354428</v>
      </c>
      <c r="E87" s="405">
        <f t="shared" si="122"/>
        <v>1.0333713726375233</v>
      </c>
      <c r="F87" s="403">
        <v>39828</v>
      </c>
      <c r="G87" s="396">
        <f>+IJ47</f>
        <v>54918399.969999999</v>
      </c>
      <c r="H87" s="405">
        <f t="shared" si="121"/>
        <v>1.0174165377380153</v>
      </c>
    </row>
    <row r="88" spans="3:9" ht="15" thickBot="1">
      <c r="C88" s="258"/>
      <c r="D88" s="263">
        <f>SUM(D76:D87)</f>
        <v>694340094</v>
      </c>
      <c r="G88" s="263">
        <f>SUM(G76:G87)</f>
        <v>679472871.40999997</v>
      </c>
      <c r="I88" s="410">
        <f>+G88-D88</f>
        <v>-14867222.590000033</v>
      </c>
    </row>
    <row r="89" spans="3:9">
      <c r="C89" s="258"/>
    </row>
    <row r="90" spans="3:9">
      <c r="F90" s="411" t="s">
        <v>92</v>
      </c>
      <c r="G90" s="260">
        <v>57354428</v>
      </c>
      <c r="H90" s="8" t="s">
        <v>94</v>
      </c>
    </row>
    <row r="91" spans="3:9">
      <c r="F91" s="411" t="s">
        <v>93</v>
      </c>
      <c r="G91" s="261">
        <v>14192701</v>
      </c>
      <c r="H91" s="8" t="s">
        <v>91</v>
      </c>
    </row>
    <row r="92" spans="3:9">
      <c r="F92" s="258"/>
      <c r="H92" s="265">
        <f>+G91/G90</f>
        <v>0.24745606389797836</v>
      </c>
    </row>
    <row r="93" spans="3:9">
      <c r="C93" s="258"/>
      <c r="H93" s="253" t="s">
        <v>95</v>
      </c>
    </row>
    <row r="94" spans="3:9">
      <c r="C94" s="258"/>
    </row>
    <row r="95" spans="3:9">
      <c r="C95" s="258"/>
    </row>
    <row r="96" spans="3:9">
      <c r="C96" s="258"/>
    </row>
    <row r="97" spans="3:3">
      <c r="C97" s="258"/>
    </row>
    <row r="98" spans="3:3">
      <c r="C98" s="258"/>
    </row>
  </sheetData>
  <phoneticPr fontId="0" type="noConversion"/>
  <pageMargins left="0.25" right="0.25" top="0.5" bottom="0.5" header="0.5" footer="0.25"/>
  <pageSetup scale="49" orientation="landscape" useFirstPageNumber="1" r:id="rId1"/>
  <headerFooter alignWithMargins="0">
    <oddFooter>&amp;LRevised: &amp;D &amp;T&amp;CPage &amp;P</oddFooter>
  </headerFooter>
  <colBreaks count="1" manualBreakCount="1">
    <brk id="100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1"/>
  </sheetPr>
  <dimension ref="B1:U82"/>
  <sheetViews>
    <sheetView zoomScaleNormal="100" zoomScaleSheetLayoutView="100" workbookViewId="0">
      <selection activeCell="C6" sqref="C6"/>
    </sheetView>
  </sheetViews>
  <sheetFormatPr defaultRowHeight="14.25"/>
  <cols>
    <col min="1" max="1" width="1.625" style="288" customWidth="1"/>
    <col min="2" max="2" width="2.5" style="288" customWidth="1"/>
    <col min="3" max="3" width="25.125" style="288" customWidth="1"/>
    <col min="4" max="4" width="3.625" style="288" bestFit="1" customWidth="1"/>
    <col min="5" max="5" width="13.75" style="288" bestFit="1" customWidth="1"/>
    <col min="6" max="6" width="1.625" style="288" customWidth="1"/>
    <col min="7" max="7" width="12.5" style="289" bestFit="1" customWidth="1"/>
    <col min="8" max="8" width="2.375" style="289" bestFit="1" customWidth="1"/>
    <col min="9" max="9" width="13.75" style="288" customWidth="1"/>
    <col min="10" max="10" width="1.625" style="288" customWidth="1"/>
    <col min="11" max="11" width="13.25" style="288" bestFit="1" customWidth="1"/>
    <col min="12" max="12" width="2.5" style="592" bestFit="1" customWidth="1"/>
    <col min="13" max="13" width="13.125" style="288" customWidth="1"/>
    <col min="14" max="14" width="2.375" style="592" bestFit="1" customWidth="1"/>
    <col min="15" max="15" width="2.375" style="288" customWidth="1"/>
    <col min="16" max="16" width="14.375" style="288" customWidth="1"/>
    <col min="17" max="17" width="1.75" style="288" customWidth="1"/>
    <col min="18" max="18" width="14.375" style="288" bestFit="1" customWidth="1"/>
    <col min="19" max="19" width="13.375" style="292" bestFit="1" customWidth="1"/>
    <col min="20" max="20" width="14.125" style="551" bestFit="1" customWidth="1"/>
    <col min="21" max="21" width="10.5" style="288" bestFit="1" customWidth="1"/>
    <col min="22" max="16384" width="9" style="288"/>
  </cols>
  <sheetData>
    <row r="1" spans="2:21" ht="18">
      <c r="B1" s="273" t="s">
        <v>106</v>
      </c>
      <c r="G1" s="289" t="s">
        <v>49</v>
      </c>
    </row>
    <row r="2" spans="2:21" ht="15">
      <c r="B2" s="286" t="s">
        <v>107</v>
      </c>
    </row>
    <row r="3" spans="2:21" ht="15">
      <c r="B3" s="285"/>
    </row>
    <row r="5" spans="2:21" ht="15.75">
      <c r="C5" s="284" t="s">
        <v>205</v>
      </c>
    </row>
    <row r="6" spans="2:21" ht="15.75" thickBot="1">
      <c r="C6" s="286" t="s">
        <v>202</v>
      </c>
    </row>
    <row r="7" spans="2:21" ht="15">
      <c r="B7" s="286"/>
      <c r="P7" s="629"/>
      <c r="Q7" s="658"/>
      <c r="R7" s="630"/>
      <c r="S7" s="631"/>
    </row>
    <row r="8" spans="2:21" ht="15">
      <c r="B8" s="286"/>
      <c r="P8" s="632" t="s">
        <v>226</v>
      </c>
      <c r="Q8" s="659"/>
      <c r="R8" s="633"/>
      <c r="S8" s="634"/>
    </row>
    <row r="9" spans="2:21">
      <c r="G9" s="288"/>
      <c r="H9" s="288"/>
      <c r="P9" s="635"/>
      <c r="Q9" s="633"/>
      <c r="R9" s="633"/>
      <c r="S9" s="634"/>
    </row>
    <row r="10" spans="2:21" ht="15">
      <c r="F10" s="291"/>
      <c r="G10" s="275" t="s">
        <v>111</v>
      </c>
      <c r="H10" s="288"/>
      <c r="K10" s="389" t="s">
        <v>182</v>
      </c>
      <c r="P10" s="636" t="s">
        <v>200</v>
      </c>
      <c r="Q10" s="660"/>
      <c r="R10" s="637" t="s">
        <v>199</v>
      </c>
      <c r="S10" s="638" t="s">
        <v>201</v>
      </c>
    </row>
    <row r="11" spans="2:21" ht="15">
      <c r="C11" s="302" t="s">
        <v>118</v>
      </c>
      <c r="E11" s="291"/>
      <c r="F11" s="275"/>
      <c r="G11" s="291" t="s">
        <v>122</v>
      </c>
      <c r="H11" s="301" t="s">
        <v>128</v>
      </c>
      <c r="K11" s="291" t="s">
        <v>122</v>
      </c>
      <c r="P11" s="639" t="s">
        <v>198</v>
      </c>
      <c r="Q11" s="640"/>
      <c r="R11" s="640" t="s">
        <v>59</v>
      </c>
      <c r="S11" s="641" t="s">
        <v>203</v>
      </c>
      <c r="T11" s="695" t="s">
        <v>211</v>
      </c>
    </row>
    <row r="12" spans="2:21" ht="9" customHeight="1">
      <c r="C12" s="292"/>
      <c r="E12" s="291"/>
      <c r="F12" s="275"/>
      <c r="G12" s="291"/>
      <c r="H12" s="288"/>
      <c r="P12" s="635"/>
      <c r="Q12" s="633"/>
      <c r="R12" s="642"/>
      <c r="S12" s="643"/>
    </row>
    <row r="13" spans="2:21">
      <c r="C13" s="292" t="s">
        <v>132</v>
      </c>
      <c r="D13" s="293"/>
      <c r="E13" s="294">
        <v>40035</v>
      </c>
      <c r="F13" s="294"/>
      <c r="G13" s="289">
        <f>+'FY-09, FEB-09 - JAN-10, w TANs'!EF11</f>
        <v>50000000</v>
      </c>
      <c r="H13" s="301"/>
      <c r="I13" s="294">
        <v>40400</v>
      </c>
      <c r="K13" s="608">
        <f>+'FY-10, FEB-10 - JAN-11'!EG11</f>
        <v>30000000</v>
      </c>
      <c r="O13" s="288">
        <v>1</v>
      </c>
      <c r="P13" s="644">
        <f>+'FY-10, FEB-10 - JAN-11'!EQ69</f>
        <v>-29703169.224500127</v>
      </c>
      <c r="Q13" s="661"/>
      <c r="R13" s="645">
        <v>40414</v>
      </c>
      <c r="S13" s="646">
        <f>+P13+K13</f>
        <v>296830.77549987286</v>
      </c>
      <c r="T13" s="551">
        <f>+'FY-10, FEB-10 - JAN-11'!EQ68</f>
        <v>296830.77549987123</v>
      </c>
      <c r="U13" s="551">
        <f>+S13-T13</f>
        <v>1.6298145055770874E-9</v>
      </c>
    </row>
    <row r="14" spans="2:21">
      <c r="C14" s="292" t="s">
        <v>133</v>
      </c>
      <c r="D14" s="293"/>
      <c r="E14" s="294">
        <v>40066</v>
      </c>
      <c r="F14" s="294"/>
      <c r="G14" s="325">
        <f>+'FY-09, FEB-09 - JAN-10, w TANs'!FB11</f>
        <v>15000000</v>
      </c>
      <c r="H14" s="301"/>
      <c r="I14" s="294">
        <v>40431</v>
      </c>
      <c r="K14" s="656">
        <f>+'FY-10, FEB-10 - JAN-11'!FB11</f>
        <v>50000000</v>
      </c>
      <c r="O14" s="288">
        <v>2</v>
      </c>
      <c r="P14" s="644">
        <f>+'FY-10, FEB-10 - JAN-11'!FM69</f>
        <v>-62622338.47450012</v>
      </c>
      <c r="Q14" s="661"/>
      <c r="R14" s="645">
        <v>40445</v>
      </c>
      <c r="S14" s="646">
        <f>+P14+K13+K14</f>
        <v>17377661.52549988</v>
      </c>
      <c r="T14" s="551">
        <f>+'FY-10, FEB-10 - JAN-11'!FM68</f>
        <v>17377661.52549988</v>
      </c>
      <c r="U14" s="551">
        <f t="shared" ref="U14:U17" si="0">+S14-T14</f>
        <v>0</v>
      </c>
    </row>
    <row r="15" spans="2:21">
      <c r="C15" s="292" t="s">
        <v>134</v>
      </c>
      <c r="D15" s="293"/>
      <c r="E15" s="294">
        <v>40115</v>
      </c>
      <c r="F15" s="294"/>
      <c r="G15" s="289">
        <f>+'FY-09, FEB-09 - JAN-10, w TANs'!GJ11</f>
        <v>20000000</v>
      </c>
      <c r="H15" s="288"/>
      <c r="I15" s="294">
        <v>40480</v>
      </c>
      <c r="K15" s="289">
        <v>0</v>
      </c>
      <c r="O15" s="288">
        <v>3</v>
      </c>
      <c r="P15" s="644">
        <f>+'FY-10, FEB-10 - JAN-11'!GB69</f>
        <v>17343333.195499912</v>
      </c>
      <c r="Q15" s="661"/>
      <c r="R15" s="645">
        <v>40469</v>
      </c>
      <c r="S15" s="646">
        <f>+P15+K13+K14</f>
        <v>97343333.195499912</v>
      </c>
      <c r="T15" s="551">
        <f>+'FY-10, FEB-10 - JAN-11'!GB68</f>
        <v>97343333.195499912</v>
      </c>
      <c r="U15" s="551">
        <f t="shared" si="0"/>
        <v>0</v>
      </c>
    </row>
    <row r="16" spans="2:21">
      <c r="C16" s="292"/>
      <c r="D16" s="293"/>
      <c r="E16" s="294">
        <v>40147</v>
      </c>
      <c r="F16" s="294"/>
      <c r="G16" s="294" t="s">
        <v>112</v>
      </c>
      <c r="H16" s="288"/>
      <c r="I16" s="294">
        <v>40512</v>
      </c>
      <c r="K16" s="657">
        <v>0</v>
      </c>
      <c r="O16" s="591">
        <v>4</v>
      </c>
      <c r="P16" s="644">
        <f>+'FY-10, FEB-10 - JAN-11'!HB69</f>
        <v>25963571.815499961</v>
      </c>
      <c r="Q16" s="661"/>
      <c r="R16" s="645">
        <v>40497</v>
      </c>
      <c r="S16" s="646">
        <f>+P16+K13+K14</f>
        <v>105963571.81549996</v>
      </c>
      <c r="T16" s="551">
        <f>+'FY-10, FEB-10 - JAN-11'!HB68</f>
        <v>105963571.81549996</v>
      </c>
      <c r="U16" s="551">
        <f t="shared" si="0"/>
        <v>0</v>
      </c>
    </row>
    <row r="17" spans="2:21">
      <c r="C17" s="292" t="s">
        <v>120</v>
      </c>
      <c r="D17" s="293"/>
      <c r="E17" s="294">
        <v>40162</v>
      </c>
      <c r="F17" s="294"/>
      <c r="G17" s="587" t="s">
        <v>112</v>
      </c>
      <c r="H17" s="288"/>
      <c r="I17" s="294">
        <v>40527</v>
      </c>
      <c r="K17" s="587" t="s">
        <v>112</v>
      </c>
      <c r="O17" s="591">
        <v>5</v>
      </c>
      <c r="P17" s="644">
        <f>+'FY-10, FEB-10 - JAN-11'!HS69</f>
        <v>-14802629.744500063</v>
      </c>
      <c r="Q17" s="661"/>
      <c r="R17" s="645">
        <v>40532</v>
      </c>
      <c r="S17" s="646">
        <f>+P17+K13+K14</f>
        <v>65197370.255499937</v>
      </c>
      <c r="T17" s="551">
        <f>+'FY-10, FEB-10 - JAN-11'!HS68</f>
        <v>65197370.255499937</v>
      </c>
      <c r="U17" s="551">
        <f t="shared" si="0"/>
        <v>0</v>
      </c>
    </row>
    <row r="18" spans="2:21" ht="7.5" customHeight="1">
      <c r="C18" s="292"/>
      <c r="D18" s="293"/>
      <c r="E18" s="294"/>
      <c r="F18" s="294"/>
      <c r="G18" s="288"/>
      <c r="H18" s="288"/>
      <c r="P18" s="635"/>
      <c r="Q18" s="633"/>
      <c r="R18" s="633"/>
      <c r="S18" s="634"/>
    </row>
    <row r="19" spans="2:21">
      <c r="C19" s="292" t="s">
        <v>121</v>
      </c>
      <c r="E19" s="701">
        <f>+'FY-09, FEB-09 - JAN-10 wo TANs'!HO68</f>
        <v>-77411115.162500098</v>
      </c>
      <c r="F19" s="702"/>
      <c r="G19" s="703"/>
      <c r="H19" s="703"/>
      <c r="I19" s="701">
        <f>+P14</f>
        <v>-62622338.47450012</v>
      </c>
      <c r="J19" s="298"/>
      <c r="P19" s="644"/>
      <c r="Q19" s="633"/>
      <c r="R19" s="651"/>
      <c r="S19" s="650"/>
    </row>
    <row r="20" spans="2:21" ht="15" thickBot="1">
      <c r="C20" s="292"/>
      <c r="E20" s="298"/>
      <c r="F20" s="328"/>
      <c r="G20" s="288"/>
      <c r="H20" s="288"/>
      <c r="I20" s="298"/>
      <c r="J20" s="328"/>
      <c r="P20" s="647"/>
      <c r="Q20" s="648"/>
      <c r="R20" s="648"/>
      <c r="S20" s="649"/>
    </row>
    <row r="21" spans="2:21" ht="15">
      <c r="C21" s="292" t="s">
        <v>117</v>
      </c>
      <c r="E21" s="295"/>
      <c r="F21" s="295"/>
      <c r="G21" s="390">
        <f>SUM(G13:G20)</f>
        <v>85000000</v>
      </c>
      <c r="H21" s="288"/>
      <c r="K21" s="390">
        <f>SUM(K13:K20)</f>
        <v>80000000</v>
      </c>
    </row>
    <row r="22" spans="2:21" ht="7.5" customHeight="1">
      <c r="C22" s="292"/>
      <c r="E22" s="289"/>
      <c r="F22" s="289"/>
      <c r="G22" s="288"/>
      <c r="H22" s="288"/>
    </row>
    <row r="23" spans="2:21" ht="15" thickBot="1">
      <c r="C23" s="292" t="s">
        <v>131</v>
      </c>
      <c r="G23" s="296">
        <f>+E19+G21</f>
        <v>7588884.8374999017</v>
      </c>
      <c r="H23" s="288"/>
      <c r="K23" s="296">
        <f>+I19+K21</f>
        <v>17377661.52549988</v>
      </c>
    </row>
    <row r="24" spans="2:21" ht="15" thickTop="1">
      <c r="C24" s="292"/>
      <c r="G24" s="295"/>
      <c r="H24" s="288"/>
    </row>
    <row r="25" spans="2:21">
      <c r="C25" s="292"/>
      <c r="G25" s="295"/>
      <c r="H25" s="295"/>
      <c r="K25" s="295"/>
    </row>
    <row r="26" spans="2:21">
      <c r="C26" s="292"/>
      <c r="G26" s="295"/>
      <c r="H26" s="295"/>
      <c r="K26" s="295"/>
    </row>
    <row r="27" spans="2:21">
      <c r="B27" s="301" t="s">
        <v>128</v>
      </c>
      <c r="C27" s="327" t="s">
        <v>212</v>
      </c>
      <c r="E27" s="289"/>
      <c r="F27" s="289"/>
      <c r="I27" s="289"/>
      <c r="J27" s="289"/>
    </row>
    <row r="28" spans="2:21">
      <c r="E28" s="289"/>
      <c r="F28" s="289"/>
      <c r="I28" s="289"/>
      <c r="J28" s="289"/>
    </row>
    <row r="29" spans="2:21">
      <c r="E29" s="289"/>
      <c r="F29" s="289"/>
      <c r="I29" s="289"/>
      <c r="J29" s="289"/>
    </row>
    <row r="30" spans="2:21" ht="15">
      <c r="E30" s="360" t="s">
        <v>136</v>
      </c>
      <c r="F30" s="289"/>
      <c r="I30" s="289"/>
      <c r="J30" s="289"/>
    </row>
    <row r="31" spans="2:21" ht="15">
      <c r="B31" s="302" t="s">
        <v>196</v>
      </c>
      <c r="E31" s="291" t="s">
        <v>68</v>
      </c>
      <c r="F31" s="291"/>
      <c r="G31" s="291" t="s">
        <v>125</v>
      </c>
      <c r="H31" s="291"/>
      <c r="I31" s="291" t="s">
        <v>110</v>
      </c>
      <c r="J31" s="291"/>
      <c r="K31" s="290" t="s">
        <v>111</v>
      </c>
      <c r="M31" s="290" t="s">
        <v>182</v>
      </c>
    </row>
    <row r="32" spans="2:21" ht="15" thickBot="1">
      <c r="C32" s="292"/>
      <c r="E32" s="289"/>
      <c r="F32" s="289"/>
      <c r="I32" s="289"/>
      <c r="J32" s="289"/>
      <c r="P32" s="588" t="s">
        <v>111</v>
      </c>
      <c r="Q32" s="588"/>
    </row>
    <row r="33" spans="3:20" ht="16.5">
      <c r="C33" s="294" t="s">
        <v>126</v>
      </c>
      <c r="D33" s="300">
        <v>0.2</v>
      </c>
      <c r="E33" s="297">
        <v>39700</v>
      </c>
      <c r="F33" s="297"/>
      <c r="G33" s="303">
        <f>+'FY-08, FEB-08 - Jan-09, w-TANs'!FA16</f>
        <v>69900517</v>
      </c>
      <c r="H33" s="304"/>
      <c r="I33" s="305"/>
      <c r="J33" s="289"/>
      <c r="K33" s="289"/>
      <c r="P33" s="518" t="s">
        <v>181</v>
      </c>
      <c r="Q33" s="662"/>
      <c r="R33" s="292"/>
    </row>
    <row r="34" spans="3:20">
      <c r="C34" s="294"/>
      <c r="D34" s="300"/>
      <c r="E34" s="297"/>
      <c r="F34" s="297"/>
      <c r="G34" s="306"/>
      <c r="H34" s="307"/>
      <c r="I34" s="308"/>
      <c r="J34" s="289"/>
      <c r="K34" s="289"/>
      <c r="P34" s="620" t="s">
        <v>223</v>
      </c>
      <c r="Q34" s="663"/>
      <c r="R34" s="292"/>
    </row>
    <row r="35" spans="3:20" ht="16.5">
      <c r="C35" s="292" t="s">
        <v>123</v>
      </c>
      <c r="D35" s="300">
        <v>0.45</v>
      </c>
      <c r="E35" s="297">
        <v>39716</v>
      </c>
      <c r="F35" s="297"/>
      <c r="G35" s="306"/>
      <c r="H35" s="307"/>
      <c r="I35" s="308">
        <f>+'FY-08, FEB-08 - Jan-09, w-TANs'!FM16</f>
        <v>113633309</v>
      </c>
      <c r="J35" s="289"/>
      <c r="K35" s="289"/>
      <c r="P35" s="519"/>
      <c r="Q35" s="664"/>
      <c r="R35" s="292"/>
    </row>
    <row r="36" spans="3:20" ht="16.5">
      <c r="D36" s="301"/>
      <c r="G36" s="306"/>
      <c r="H36" s="307"/>
      <c r="I36" s="308"/>
      <c r="J36" s="289"/>
      <c r="K36" s="289"/>
      <c r="P36" s="618" t="s">
        <v>209</v>
      </c>
      <c r="Q36" s="665"/>
      <c r="R36" s="292"/>
    </row>
    <row r="37" spans="3:20" ht="16.5">
      <c r="C37" s="292" t="s">
        <v>123</v>
      </c>
      <c r="D37" s="300">
        <v>0.35</v>
      </c>
      <c r="E37" s="297">
        <v>40111</v>
      </c>
      <c r="F37" s="297"/>
      <c r="G37" s="309"/>
      <c r="H37" s="310"/>
      <c r="I37" s="311">
        <f>+'FY-08, FEB-08 - Jan-09, w-TANs'!GH16</f>
        <v>89115955</v>
      </c>
      <c r="J37" s="289"/>
      <c r="K37" s="289"/>
      <c r="M37" s="289" t="s">
        <v>49</v>
      </c>
      <c r="P37" s="521">
        <v>238453859</v>
      </c>
      <c r="Q37" s="666"/>
      <c r="R37" s="554">
        <f>+P37-K53</f>
        <v>4</v>
      </c>
    </row>
    <row r="38" spans="3:20" s="323" customFormat="1">
      <c r="D38" s="561"/>
      <c r="G38" s="325"/>
      <c r="H38" s="325"/>
      <c r="I38" s="325"/>
      <c r="J38" s="325"/>
      <c r="K38" s="325"/>
      <c r="L38" s="593"/>
      <c r="N38" s="593"/>
      <c r="P38" s="589"/>
      <c r="Q38" s="667"/>
      <c r="R38" s="324"/>
      <c r="S38" s="324"/>
      <c r="T38" s="552"/>
    </row>
    <row r="39" spans="3:20" ht="16.5">
      <c r="C39" s="292" t="s">
        <v>123</v>
      </c>
      <c r="D39" s="300">
        <v>0.2</v>
      </c>
      <c r="E39" s="297">
        <v>40050</v>
      </c>
      <c r="F39" s="297"/>
      <c r="I39" s="313">
        <f>+'FY-09, FEB-09 - JAN-10, w TANs'!EQ16</f>
        <v>66633052</v>
      </c>
      <c r="J39" s="314"/>
      <c r="K39" s="315"/>
      <c r="P39" s="619" t="s">
        <v>213</v>
      </c>
      <c r="Q39" s="633"/>
      <c r="R39" s="292"/>
    </row>
    <row r="40" spans="3:20" ht="16.5">
      <c r="D40" s="301"/>
      <c r="I40" s="316"/>
      <c r="J40" s="317"/>
      <c r="K40" s="318"/>
      <c r="P40" s="520">
        <v>-193402915</v>
      </c>
      <c r="Q40" s="668"/>
      <c r="R40" s="554">
        <f>+P40+K41+K43</f>
        <v>0</v>
      </c>
    </row>
    <row r="41" spans="3:20" ht="16.5">
      <c r="C41" s="292" t="s">
        <v>124</v>
      </c>
      <c r="D41" s="300">
        <v>0.45</v>
      </c>
      <c r="E41" s="297">
        <v>40081</v>
      </c>
      <c r="F41" s="297"/>
      <c r="I41" s="316"/>
      <c r="J41" s="317"/>
      <c r="K41" s="318">
        <f>+'FY-09, FEB-09 - JAN-10, w TANs'!FM16</f>
        <v>109117874</v>
      </c>
      <c r="L41" s="327"/>
      <c r="P41" s="590"/>
      <c r="Q41" s="669"/>
    </row>
    <row r="42" spans="3:20" ht="16.5">
      <c r="D42" s="301"/>
      <c r="I42" s="316"/>
      <c r="J42" s="317"/>
      <c r="K42" s="318"/>
      <c r="P42" s="619" t="s">
        <v>214</v>
      </c>
      <c r="Q42" s="633"/>
      <c r="R42" s="292"/>
    </row>
    <row r="43" spans="3:20" ht="17.25" thickBot="1">
      <c r="C43" s="292" t="s">
        <v>124</v>
      </c>
      <c r="D43" s="300">
        <v>0.35</v>
      </c>
      <c r="E43" s="297">
        <v>40112</v>
      </c>
      <c r="F43" s="297"/>
      <c r="I43" s="319"/>
      <c r="J43" s="320"/>
      <c r="K43" s="321">
        <f>+'FY-09, FEB-09 - JAN-10, w TANs'!GG16</f>
        <v>84285041</v>
      </c>
      <c r="L43" s="327"/>
      <c r="P43" s="653">
        <f>+P37+P40</f>
        <v>45050944</v>
      </c>
      <c r="Q43" s="633"/>
      <c r="R43" s="554">
        <f>+P43-K45</f>
        <v>4</v>
      </c>
      <c r="S43" s="607" t="s">
        <v>177</v>
      </c>
    </row>
    <row r="44" spans="3:20" s="323" customFormat="1" ht="16.5">
      <c r="D44" s="561"/>
      <c r="G44" s="325"/>
      <c r="H44" s="325"/>
      <c r="I44" s="325"/>
      <c r="J44" s="325"/>
      <c r="K44" s="325"/>
      <c r="L44" s="593"/>
      <c r="N44" s="593"/>
      <c r="Q44" s="668"/>
      <c r="R44" s="292"/>
      <c r="T44" s="552"/>
    </row>
    <row r="45" spans="3:20" ht="17.25" thickBot="1">
      <c r="C45" s="292" t="s">
        <v>124</v>
      </c>
      <c r="D45" s="300">
        <v>0.2</v>
      </c>
      <c r="E45" s="297">
        <v>40415</v>
      </c>
      <c r="F45" s="297"/>
      <c r="I45" s="289"/>
      <c r="J45" s="289"/>
      <c r="K45" s="556">
        <f>+'FY-10, FEB-10 - JAN-11'!ER16</f>
        <v>45050940</v>
      </c>
      <c r="L45" s="594" t="s">
        <v>227</v>
      </c>
      <c r="M45" s="557"/>
      <c r="P45" s="588" t="s">
        <v>182</v>
      </c>
      <c r="Q45" s="670"/>
    </row>
    <row r="46" spans="3:20" ht="16.5">
      <c r="I46" s="289"/>
      <c r="J46" s="289"/>
      <c r="K46" s="558"/>
      <c r="L46" s="595"/>
      <c r="M46" s="559"/>
      <c r="P46" s="518" t="s">
        <v>181</v>
      </c>
      <c r="Q46" s="588"/>
      <c r="T46" s="292"/>
    </row>
    <row r="47" spans="3:20" ht="16.5">
      <c r="C47" s="292" t="s">
        <v>197</v>
      </c>
      <c r="D47" s="300">
        <v>0.45</v>
      </c>
      <c r="E47" s="297">
        <v>40448</v>
      </c>
      <c r="I47" s="289"/>
      <c r="J47" s="289"/>
      <c r="K47" s="558"/>
      <c r="L47" s="595"/>
      <c r="M47" s="605">
        <f>+'FY-10, FEB-10 - JAN-11'!FN16</f>
        <v>101304280</v>
      </c>
      <c r="N47" s="327" t="s">
        <v>227</v>
      </c>
      <c r="O47" s="591"/>
      <c r="P47" s="725" t="s">
        <v>244</v>
      </c>
      <c r="Q47" s="662"/>
      <c r="R47" s="655" t="s">
        <v>49</v>
      </c>
      <c r="T47" s="292"/>
    </row>
    <row r="48" spans="3:20" ht="16.5">
      <c r="D48" s="301"/>
      <c r="I48" s="289"/>
      <c r="J48" s="289"/>
      <c r="K48" s="558"/>
      <c r="L48" s="595"/>
      <c r="M48" s="606"/>
      <c r="N48" s="607"/>
      <c r="O48" s="591"/>
      <c r="P48" s="618" t="s">
        <v>228</v>
      </c>
      <c r="Q48" s="663"/>
      <c r="R48" s="292"/>
      <c r="T48" s="292"/>
    </row>
    <row r="49" spans="2:21" ht="16.5">
      <c r="C49" s="292" t="s">
        <v>197</v>
      </c>
      <c r="D49" s="300">
        <v>0.35</v>
      </c>
      <c r="E49" s="297">
        <v>40476</v>
      </c>
      <c r="I49" s="289"/>
      <c r="J49" s="289"/>
      <c r="K49" s="560"/>
      <c r="L49" s="596"/>
      <c r="M49" s="724">
        <f>+'FY-10, FEB-10 - JAN-11'!GG16</f>
        <v>56086086</v>
      </c>
      <c r="N49" s="327" t="s">
        <v>227</v>
      </c>
      <c r="O49" s="591"/>
      <c r="P49" s="654">
        <v>194973283</v>
      </c>
      <c r="Q49" s="664"/>
      <c r="R49" s="292"/>
      <c r="T49" s="292"/>
    </row>
    <row r="50" spans="2:21" ht="16.5">
      <c r="D50" s="301"/>
      <c r="I50" s="289"/>
      <c r="J50" s="289"/>
      <c r="K50" s="289"/>
      <c r="M50" s="591"/>
      <c r="N50" s="607"/>
      <c r="O50" s="591"/>
      <c r="P50" s="755" t="s">
        <v>245</v>
      </c>
      <c r="Q50" s="665"/>
      <c r="R50" s="292"/>
      <c r="T50" s="292"/>
    </row>
    <row r="51" spans="2:21" ht="16.5">
      <c r="C51" s="292" t="s">
        <v>197</v>
      </c>
      <c r="D51" s="300">
        <v>0.2</v>
      </c>
      <c r="E51" s="297">
        <v>40780</v>
      </c>
      <c r="I51" s="289"/>
      <c r="J51" s="289"/>
      <c r="K51" s="289"/>
      <c r="M51" s="707">
        <f>+P55</f>
        <v>34367351</v>
      </c>
      <c r="N51" s="327" t="s">
        <v>130</v>
      </c>
      <c r="O51" s="591"/>
      <c r="P51" s="756">
        <v>-3215566</v>
      </c>
      <c r="Q51" s="671" t="s">
        <v>49</v>
      </c>
      <c r="R51" s="640"/>
      <c r="S51" s="640"/>
      <c r="T51" s="640"/>
      <c r="U51" s="633"/>
    </row>
    <row r="52" spans="2:21" ht="16.5">
      <c r="I52" s="289"/>
      <c r="J52" s="289"/>
      <c r="K52" s="289"/>
      <c r="N52" s="607"/>
      <c r="O52" s="591"/>
      <c r="P52" s="619" t="s">
        <v>213</v>
      </c>
      <c r="Q52" s="667"/>
      <c r="R52" s="712"/>
      <c r="S52" s="713"/>
      <c r="T52" s="714"/>
      <c r="U52" s="715"/>
    </row>
    <row r="53" spans="2:21" ht="17.25" thickBot="1">
      <c r="C53" s="587" t="s">
        <v>127</v>
      </c>
      <c r="G53" s="326"/>
      <c r="I53" s="296">
        <f>SUM(I33:I46)</f>
        <v>269382316</v>
      </c>
      <c r="J53" s="289"/>
      <c r="K53" s="296">
        <f>SUM(K33:K46)</f>
        <v>238453855</v>
      </c>
      <c r="M53" s="296">
        <f>SUM(M45:M51)</f>
        <v>191757717</v>
      </c>
      <c r="P53" s="520">
        <f>-M47-M49</f>
        <v>-157390366</v>
      </c>
      <c r="Q53" s="668"/>
      <c r="R53" s="716"/>
      <c r="S53" s="717"/>
      <c r="T53" s="717"/>
      <c r="U53" s="718"/>
    </row>
    <row r="54" spans="2:21" ht="17.25" thickTop="1">
      <c r="G54" s="329"/>
      <c r="I54" s="289"/>
      <c r="J54" s="289"/>
      <c r="K54" s="289"/>
      <c r="P54" s="619" t="s">
        <v>214</v>
      </c>
      <c r="Q54" s="633"/>
      <c r="R54" s="716"/>
      <c r="S54" s="717"/>
      <c r="T54" s="719"/>
      <c r="U54" s="720"/>
    </row>
    <row r="55" spans="2:21" ht="17.25" thickBot="1">
      <c r="C55" s="292" t="s">
        <v>129</v>
      </c>
      <c r="I55" s="312">
        <f>+G33+I35+I37</f>
        <v>272649781</v>
      </c>
      <c r="J55" s="289"/>
      <c r="K55" s="322">
        <f>+I39+K41+K43</f>
        <v>260035967</v>
      </c>
      <c r="M55" s="562">
        <f>+K45+M47+M49</f>
        <v>202441306</v>
      </c>
      <c r="P55" s="653">
        <f>+P49+P51+P53</f>
        <v>34367351</v>
      </c>
      <c r="Q55" s="669"/>
      <c r="R55" s="712"/>
      <c r="S55" s="717"/>
      <c r="T55" s="298"/>
      <c r="U55" s="633"/>
    </row>
    <row r="56" spans="2:21" s="323" customFormat="1">
      <c r="C56" s="324"/>
      <c r="E56" s="604"/>
      <c r="G56" s="325"/>
      <c r="H56" s="325"/>
      <c r="I56" s="326"/>
      <c r="J56" s="325"/>
      <c r="K56" s="326"/>
      <c r="L56" s="593"/>
      <c r="N56" s="593"/>
      <c r="P56" s="733">
        <f>+M51-P55</f>
        <v>0</v>
      </c>
      <c r="Q56" s="633"/>
      <c r="R56" s="642"/>
      <c r="S56" s="667"/>
      <c r="T56" s="642"/>
      <c r="U56" s="667"/>
    </row>
    <row r="57" spans="2:21" ht="16.5">
      <c r="B57" s="301" t="s">
        <v>130</v>
      </c>
      <c r="C57" s="301" t="s">
        <v>204</v>
      </c>
      <c r="Q57" s="668"/>
      <c r="R57" s="642"/>
      <c r="S57" s="642"/>
      <c r="T57" s="667"/>
      <c r="U57" s="633"/>
    </row>
    <row r="58" spans="2:21" ht="16.5">
      <c r="B58" s="301"/>
      <c r="C58" s="301"/>
      <c r="Q58" s="670"/>
      <c r="R58" s="298"/>
      <c r="S58" s="721"/>
      <c r="T58" s="722"/>
      <c r="U58" s="633"/>
    </row>
    <row r="59" spans="2:21">
      <c r="B59" s="301"/>
      <c r="C59" s="301"/>
    </row>
    <row r="60" spans="2:21" ht="15" thickBot="1">
      <c r="B60" s="301"/>
    </row>
    <row r="61" spans="2:21">
      <c r="B61" s="301"/>
      <c r="C61" s="599" t="s">
        <v>108</v>
      </c>
      <c r="D61" s="609"/>
      <c r="E61" s="609"/>
      <c r="F61" s="609"/>
      <c r="G61" s="610"/>
      <c r="H61" s="610"/>
      <c r="I61" s="611"/>
    </row>
    <row r="62" spans="2:21">
      <c r="B62" s="301"/>
      <c r="C62" s="600"/>
      <c r="D62" s="612"/>
      <c r="E62" s="612"/>
      <c r="F62" s="612"/>
      <c r="G62" s="613"/>
      <c r="H62" s="613"/>
      <c r="I62" s="614"/>
    </row>
    <row r="63" spans="2:21">
      <c r="C63" s="601" t="s">
        <v>231</v>
      </c>
      <c r="D63" s="612"/>
      <c r="E63" s="612"/>
      <c r="F63" s="612"/>
      <c r="G63" s="613"/>
      <c r="H63" s="613"/>
      <c r="I63" s="614"/>
    </row>
    <row r="64" spans="2:21">
      <c r="C64" s="602" t="s">
        <v>109</v>
      </c>
      <c r="D64" s="612"/>
      <c r="E64" s="612"/>
      <c r="F64" s="612"/>
      <c r="G64" s="613"/>
      <c r="H64" s="613"/>
      <c r="I64" s="614"/>
    </row>
    <row r="65" spans="3:20">
      <c r="C65" s="601"/>
      <c r="D65" s="612"/>
      <c r="E65" s="612"/>
      <c r="F65" s="612"/>
      <c r="G65" s="613"/>
      <c r="H65" s="613"/>
      <c r="I65" s="614"/>
    </row>
    <row r="66" spans="3:20">
      <c r="C66" s="601" t="s">
        <v>207</v>
      </c>
      <c r="D66" s="612"/>
      <c r="E66" s="612"/>
      <c r="F66" s="612"/>
      <c r="G66" s="613"/>
      <c r="H66" s="613"/>
      <c r="I66" s="614"/>
    </row>
    <row r="67" spans="3:20">
      <c r="C67" s="603" t="s">
        <v>206</v>
      </c>
      <c r="D67" s="612"/>
      <c r="E67" s="612"/>
      <c r="F67" s="612"/>
      <c r="G67" s="613"/>
      <c r="H67" s="613"/>
      <c r="I67" s="614"/>
    </row>
    <row r="68" spans="3:20">
      <c r="C68" s="601"/>
      <c r="D68" s="612"/>
      <c r="E68" s="612"/>
      <c r="F68" s="612"/>
      <c r="G68" s="613"/>
      <c r="H68" s="613"/>
      <c r="I68" s="614"/>
    </row>
    <row r="69" spans="3:20">
      <c r="C69" s="601" t="s">
        <v>208</v>
      </c>
      <c r="D69" s="612"/>
      <c r="E69" s="612"/>
      <c r="F69" s="612"/>
      <c r="G69" s="613"/>
      <c r="H69" s="613"/>
      <c r="I69" s="614"/>
    </row>
    <row r="70" spans="3:20">
      <c r="C70" s="603" t="s">
        <v>119</v>
      </c>
      <c r="D70" s="612"/>
      <c r="E70" s="612"/>
      <c r="F70" s="612"/>
      <c r="G70" s="613"/>
      <c r="H70" s="613"/>
      <c r="I70" s="614"/>
    </row>
    <row r="71" spans="3:20" ht="15" thickBot="1">
      <c r="C71" s="621"/>
      <c r="D71" s="615"/>
      <c r="E71" s="615"/>
      <c r="F71" s="615"/>
      <c r="G71" s="616"/>
      <c r="H71" s="616"/>
      <c r="I71" s="617"/>
    </row>
    <row r="72" spans="3:20" s="287" customFormat="1" ht="12.75">
      <c r="D72" s="299"/>
      <c r="E72" s="299"/>
      <c r="F72" s="299"/>
      <c r="G72" s="299"/>
      <c r="H72" s="598"/>
      <c r="L72" s="597"/>
      <c r="N72" s="597"/>
      <c r="S72" s="555"/>
      <c r="T72" s="553"/>
    </row>
    <row r="73" spans="3:20" s="287" customFormat="1" ht="12.75">
      <c r="D73" s="299"/>
      <c r="E73" s="299"/>
      <c r="F73" s="299"/>
      <c r="G73" s="299"/>
      <c r="H73" s="598"/>
      <c r="L73" s="597"/>
      <c r="N73" s="597"/>
      <c r="S73" s="555"/>
      <c r="T73" s="553"/>
    </row>
    <row r="74" spans="3:20" s="287" customFormat="1" ht="12.75">
      <c r="D74" s="299"/>
      <c r="E74" s="299"/>
      <c r="F74" s="299"/>
      <c r="G74" s="299"/>
      <c r="H74" s="598"/>
      <c r="L74" s="597"/>
      <c r="N74" s="597"/>
      <c r="S74" s="555"/>
      <c r="T74" s="553"/>
    </row>
    <row r="75" spans="3:20" s="287" customFormat="1" ht="12.75">
      <c r="D75" s="299"/>
      <c r="E75" s="299"/>
      <c r="F75" s="299"/>
      <c r="G75" s="299"/>
      <c r="H75" s="598"/>
      <c r="L75" s="597"/>
      <c r="N75" s="597"/>
      <c r="S75" s="555"/>
      <c r="T75" s="553"/>
    </row>
    <row r="76" spans="3:20" s="287" customFormat="1" ht="12.75">
      <c r="D76" s="299"/>
      <c r="E76" s="299"/>
      <c r="F76" s="299"/>
      <c r="G76" s="299"/>
      <c r="H76" s="598"/>
      <c r="L76" s="597"/>
      <c r="N76" s="597"/>
      <c r="S76" s="555"/>
      <c r="T76" s="553"/>
    </row>
    <row r="77" spans="3:20" s="287" customFormat="1" ht="12.75">
      <c r="D77" s="299"/>
      <c r="E77" s="299"/>
      <c r="F77" s="299"/>
      <c r="G77" s="299"/>
      <c r="H77" s="598"/>
      <c r="L77" s="597"/>
      <c r="N77" s="597"/>
      <c r="S77" s="555"/>
      <c r="T77" s="553"/>
    </row>
    <row r="78" spans="3:20" s="287" customFormat="1" ht="12.75">
      <c r="D78" s="299"/>
      <c r="E78" s="299"/>
      <c r="F78" s="299"/>
      <c r="G78" s="299"/>
      <c r="H78" s="598"/>
      <c r="L78" s="597"/>
      <c r="N78" s="597"/>
      <c r="S78" s="555"/>
      <c r="T78" s="553"/>
    </row>
    <row r="79" spans="3:20" s="287" customFormat="1" ht="12.75">
      <c r="D79" s="299"/>
      <c r="E79" s="299"/>
      <c r="F79" s="299"/>
      <c r="G79" s="299"/>
      <c r="H79" s="598"/>
      <c r="L79" s="597"/>
      <c r="N79" s="597"/>
      <c r="S79" s="555"/>
      <c r="T79" s="553"/>
    </row>
    <row r="80" spans="3:20" s="287" customFormat="1" ht="12.75">
      <c r="D80" s="299"/>
      <c r="E80" s="299"/>
      <c r="F80" s="299"/>
      <c r="G80" s="299"/>
      <c r="H80" s="598"/>
      <c r="L80" s="597"/>
      <c r="N80" s="597"/>
      <c r="S80" s="555"/>
      <c r="T80" s="553"/>
    </row>
    <row r="81" spans="3:20" s="287" customFormat="1" ht="12.75">
      <c r="D81" s="299"/>
      <c r="E81" s="299"/>
      <c r="F81" s="299"/>
      <c r="G81" s="299"/>
      <c r="H81" s="598"/>
      <c r="L81" s="597"/>
      <c r="N81" s="597"/>
      <c r="S81" s="555"/>
      <c r="T81" s="553"/>
    </row>
    <row r="82" spans="3:20" s="287" customFormat="1" ht="12.75">
      <c r="C82" s="299"/>
      <c r="D82" s="299"/>
      <c r="E82" s="299"/>
      <c r="F82" s="299"/>
      <c r="G82" s="299"/>
      <c r="H82" s="598"/>
      <c r="L82" s="597"/>
      <c r="N82" s="597"/>
      <c r="S82" s="555"/>
      <c r="T82" s="553"/>
    </row>
  </sheetData>
  <pageMargins left="0.75" right="0.75" top="1" bottom="1" header="0.5" footer="0.5"/>
  <pageSetup scale="62" orientation="portrait" r:id="rId1"/>
  <headerFooter alignWithMargins="0">
    <oddFooter>&amp;L&amp;F&amp;R&amp;D  &amp;T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I108"/>
  <sheetViews>
    <sheetView zoomScaleNormal="100" zoomScaleSheetLayoutView="100" workbookViewId="0">
      <pane xSplit="1" ySplit="7" topLeftCell="GD8" activePane="bottomRight" state="frozen"/>
      <selection pane="topRight" activeCell="B1" sqref="B1"/>
      <selection pane="bottomLeft" activeCell="A8" sqref="A8"/>
      <selection pane="bottomRight" activeCell="GI11" sqref="GI11"/>
    </sheetView>
  </sheetViews>
  <sheetFormatPr defaultColWidth="0" defaultRowHeight="14.25"/>
  <cols>
    <col min="1" max="1" width="27.625" bestFit="1" customWidth="1"/>
    <col min="2" max="2" width="6.5" customWidth="1"/>
    <col min="3" max="3" width="13" style="8" customWidth="1"/>
    <col min="4" max="4" width="12.375" style="8" customWidth="1"/>
    <col min="5" max="5" width="10.625" style="8" customWidth="1"/>
    <col min="6" max="6" width="12.125" style="8" customWidth="1"/>
    <col min="7" max="7" width="12.375" style="8" customWidth="1"/>
    <col min="8" max="8" width="12" style="8" customWidth="1"/>
    <col min="9" max="10" width="12.125" style="8" customWidth="1"/>
    <col min="11" max="12" width="10.625" style="8" customWidth="1"/>
    <col min="13" max="13" width="11.25" style="8" customWidth="1"/>
    <col min="14" max="16" width="10.625" style="8" customWidth="1"/>
    <col min="17" max="17" width="11.125" style="8" customWidth="1"/>
    <col min="18" max="18" width="10.625" style="8" customWidth="1"/>
    <col min="19" max="19" width="10.5" style="8" customWidth="1"/>
    <col min="20" max="40" width="10.625" style="8" customWidth="1"/>
    <col min="41" max="41" width="10.625" style="564" customWidth="1"/>
    <col min="42" max="103" width="10.625" style="8" customWidth="1"/>
    <col min="104" max="104" width="10.625" style="140" customWidth="1"/>
    <col min="105" max="117" width="10.625" style="8" customWidth="1"/>
    <col min="118" max="118" width="13.875" style="8" bestFit="1" customWidth="1"/>
    <col min="119" max="121" width="10.625" style="8" customWidth="1"/>
    <col min="122" max="122" width="10.625" style="140" customWidth="1"/>
    <col min="123" max="131" width="10.625" style="8" customWidth="1"/>
    <col min="132" max="132" width="10.625" style="140" customWidth="1"/>
    <col min="133" max="139" width="10.625" style="8" customWidth="1"/>
    <col min="140" max="140" width="12.375" style="8" bestFit="1" customWidth="1"/>
    <col min="141" max="146" width="10.625" style="8" customWidth="1"/>
    <col min="147" max="147" width="10.625" style="140" customWidth="1"/>
    <col min="148" max="159" width="10.625" style="8" customWidth="1"/>
    <col min="160" max="160" width="10.625" style="140" customWidth="1"/>
    <col min="161" max="162" width="11.375" style="8" bestFit="1" customWidth="1"/>
    <col min="163" max="165" width="10.625" style="8" customWidth="1"/>
    <col min="166" max="166" width="11.25" style="8" bestFit="1" customWidth="1"/>
    <col min="167" max="181" width="10.625" style="8" customWidth="1"/>
    <col min="182" max="182" width="11.375" style="8" bestFit="1" customWidth="1"/>
    <col min="183" max="183" width="11.125" style="8" bestFit="1" customWidth="1"/>
    <col min="184" max="188" width="10.625" style="8" customWidth="1"/>
    <col min="189" max="189" width="11.875" style="8" bestFit="1" customWidth="1"/>
    <col min="190" max="202" width="10.625" style="8" customWidth="1"/>
    <col min="203" max="203" width="11.125" style="8" bestFit="1" customWidth="1"/>
    <col min="204" max="209" width="10.625" style="8" customWidth="1"/>
    <col min="210" max="210" width="10.75" style="8" customWidth="1"/>
    <col min="211" max="211" width="11.25" style="8" customWidth="1"/>
    <col min="212" max="223" width="10.625" style="8" customWidth="1"/>
    <col min="224" max="224" width="11.875" style="8" customWidth="1"/>
    <col min="225" max="256" width="10.625" style="8" customWidth="1"/>
    <col min="257" max="257" width="11.5" style="8" bestFit="1" customWidth="1"/>
    <col min="258" max="258" width="10.625" style="456" customWidth="1"/>
    <col min="259" max="266" width="10.625" style="8" customWidth="1"/>
    <col min="267" max="267" width="0" style="8" hidden="1"/>
    <col min="268" max="268" width="10.625" style="8" hidden="1" customWidth="1"/>
    <col min="269" max="16384" width="10.625" style="8" hidden="1"/>
  </cols>
  <sheetData>
    <row r="1" spans="1:269" ht="36" customHeight="1" thickBot="1">
      <c r="A1" s="17" t="s">
        <v>36</v>
      </c>
      <c r="B1" s="18"/>
      <c r="C1" s="418"/>
      <c r="N1" s="955" t="s">
        <v>160</v>
      </c>
      <c r="O1" s="957"/>
      <c r="V1" s="152"/>
      <c r="AD1" s="330"/>
      <c r="AO1" s="563"/>
      <c r="AS1" s="418"/>
      <c r="BO1" s="418"/>
      <c r="BW1" s="330"/>
      <c r="CB1" s="330"/>
      <c r="CI1" s="418"/>
      <c r="CJ1" s="955" t="s">
        <v>156</v>
      </c>
      <c r="CK1" s="957"/>
      <c r="CM1" s="146"/>
      <c r="DE1" s="418"/>
      <c r="DG1" s="955" t="s">
        <v>157</v>
      </c>
      <c r="DH1" s="957"/>
      <c r="DR1" s="150"/>
      <c r="DZ1" s="418"/>
      <c r="ER1" s="453"/>
      <c r="EV1" s="418"/>
      <c r="EY1" s="955" t="s">
        <v>158</v>
      </c>
      <c r="EZ1" s="957"/>
      <c r="FB1" s="604" t="s">
        <v>221</v>
      </c>
      <c r="FG1" s="151"/>
      <c r="FM1" s="708" t="s">
        <v>115</v>
      </c>
      <c r="FN1" s="453"/>
      <c r="FQ1" s="418"/>
      <c r="GG1" s="705"/>
      <c r="GK1" s="418"/>
      <c r="GS1" s="955" t="s">
        <v>154</v>
      </c>
      <c r="GT1" s="957"/>
      <c r="GU1" s="711"/>
      <c r="HB1" s="955" t="s">
        <v>166</v>
      </c>
      <c r="HC1" s="961"/>
      <c r="HE1" s="418"/>
      <c r="HP1" s="710" t="s">
        <v>49</v>
      </c>
      <c r="HV1" s="955" t="s">
        <v>155</v>
      </c>
      <c r="HW1" s="956"/>
      <c r="HX1" s="957"/>
      <c r="IA1" s="726"/>
      <c r="IB1" s="731"/>
      <c r="IC1" s="727"/>
      <c r="IW1" s="747" t="s">
        <v>70</v>
      </c>
    </row>
    <row r="2" spans="1:269" ht="29.25" customHeight="1" thickBot="1">
      <c r="A2" s="19" t="s">
        <v>0</v>
      </c>
      <c r="B2" s="19"/>
      <c r="C2" s="418"/>
      <c r="N2" s="958"/>
      <c r="O2" s="960"/>
      <c r="V2" s="152"/>
      <c r="AD2" s="330"/>
      <c r="AO2" s="563"/>
      <c r="AS2" s="418"/>
      <c r="BO2" s="418"/>
      <c r="BW2" s="330"/>
      <c r="CB2" s="330"/>
      <c r="CI2" s="418"/>
      <c r="CJ2" s="958"/>
      <c r="CK2" s="960"/>
      <c r="CM2" s="146"/>
      <c r="DE2" s="418"/>
      <c r="DG2" s="958"/>
      <c r="DH2" s="960"/>
      <c r="DR2" s="151"/>
      <c r="DZ2" s="418"/>
      <c r="ER2" s="453"/>
      <c r="EV2" s="418"/>
      <c r="EY2" s="958"/>
      <c r="EZ2" s="960"/>
      <c r="FB2" s="678">
        <f>SUM(DH14:EX14)</f>
        <v>5089839.63</v>
      </c>
      <c r="FG2" s="511"/>
      <c r="FM2" s="503" t="s">
        <v>152</v>
      </c>
      <c r="FN2" s="453"/>
      <c r="FQ2" s="418"/>
      <c r="GF2" s="706" t="s">
        <v>49</v>
      </c>
      <c r="GG2" s="699"/>
      <c r="GK2" s="418"/>
      <c r="GS2" s="958"/>
      <c r="GT2" s="960"/>
      <c r="GU2" s="511"/>
      <c r="HB2" s="962"/>
      <c r="HC2" s="963"/>
      <c r="HE2" s="418"/>
      <c r="HP2" s="709" t="s">
        <v>230</v>
      </c>
      <c r="HV2" s="958"/>
      <c r="HW2" s="959"/>
      <c r="HX2" s="960"/>
      <c r="IA2" s="728"/>
      <c r="IB2" s="732"/>
      <c r="IC2" s="729"/>
      <c r="IW2" s="165" t="s">
        <v>66</v>
      </c>
    </row>
    <row r="3" spans="1:269" ht="24.75" customHeight="1">
      <c r="B3" s="16"/>
      <c r="C3" s="790"/>
      <c r="D3" s="8" t="s">
        <v>147</v>
      </c>
      <c r="E3" s="8" t="s">
        <v>148</v>
      </c>
      <c r="F3" s="8" t="s">
        <v>149</v>
      </c>
      <c r="G3" s="8" t="s">
        <v>150</v>
      </c>
      <c r="H3" s="8" t="s">
        <v>151</v>
      </c>
      <c r="I3" s="8" t="s">
        <v>147</v>
      </c>
      <c r="J3" s="8" t="s">
        <v>148</v>
      </c>
      <c r="K3" s="8" t="s">
        <v>149</v>
      </c>
      <c r="L3" s="8" t="s">
        <v>150</v>
      </c>
      <c r="M3" s="8" t="s">
        <v>151</v>
      </c>
      <c r="N3" s="8" t="s">
        <v>148</v>
      </c>
      <c r="O3" s="8" t="s">
        <v>149</v>
      </c>
      <c r="P3" s="8" t="s">
        <v>150</v>
      </c>
      <c r="Q3" s="8" t="s">
        <v>151</v>
      </c>
      <c r="R3" s="8" t="s">
        <v>147</v>
      </c>
      <c r="S3" s="8" t="s">
        <v>148</v>
      </c>
      <c r="T3" s="8" t="s">
        <v>149</v>
      </c>
      <c r="U3" s="8" t="s">
        <v>150</v>
      </c>
      <c r="V3" s="8" t="s">
        <v>151</v>
      </c>
      <c r="W3" s="8" t="s">
        <v>147</v>
      </c>
      <c r="X3" s="8" t="s">
        <v>148</v>
      </c>
      <c r="Y3" s="8" t="s">
        <v>149</v>
      </c>
      <c r="Z3" s="8" t="s">
        <v>150</v>
      </c>
      <c r="AA3" s="8" t="s">
        <v>151</v>
      </c>
      <c r="AB3" s="8" t="s">
        <v>147</v>
      </c>
      <c r="AC3" s="8" t="s">
        <v>148</v>
      </c>
      <c r="AD3" s="8" t="s">
        <v>149</v>
      </c>
      <c r="AE3" s="8" t="s">
        <v>150</v>
      </c>
      <c r="AF3" s="8" t="s">
        <v>151</v>
      </c>
      <c r="AG3" s="8" t="s">
        <v>147</v>
      </c>
      <c r="AH3" s="8" t="s">
        <v>148</v>
      </c>
      <c r="AI3" s="8" t="s">
        <v>149</v>
      </c>
      <c r="AJ3" s="8" t="s">
        <v>150</v>
      </c>
      <c r="AK3" s="8" t="s">
        <v>151</v>
      </c>
      <c r="AL3" s="8" t="s">
        <v>147</v>
      </c>
      <c r="AM3" s="8" t="s">
        <v>148</v>
      </c>
      <c r="AN3" s="8" t="s">
        <v>149</v>
      </c>
      <c r="AO3" s="564" t="s">
        <v>150</v>
      </c>
      <c r="AP3" s="8" t="s">
        <v>151</v>
      </c>
      <c r="AQ3" s="8" t="s">
        <v>147</v>
      </c>
      <c r="AR3" s="8" t="s">
        <v>148</v>
      </c>
      <c r="AS3" s="418" t="s">
        <v>149</v>
      </c>
      <c r="AT3" s="8" t="s">
        <v>150</v>
      </c>
      <c r="AU3" s="8" t="s">
        <v>151</v>
      </c>
      <c r="AV3" s="8" t="s">
        <v>147</v>
      </c>
      <c r="AW3" s="8" t="s">
        <v>148</v>
      </c>
      <c r="AX3" s="8" t="s">
        <v>149</v>
      </c>
      <c r="AY3" s="8" t="s">
        <v>150</v>
      </c>
      <c r="AZ3" s="8" t="s">
        <v>151</v>
      </c>
      <c r="BA3" s="8" t="s">
        <v>147</v>
      </c>
      <c r="BB3" s="8" t="s">
        <v>148</v>
      </c>
      <c r="BC3" s="8" t="s">
        <v>149</v>
      </c>
      <c r="BD3" s="8" t="s">
        <v>150</v>
      </c>
      <c r="BE3" s="8" t="s">
        <v>151</v>
      </c>
      <c r="BF3" s="8" t="s">
        <v>147</v>
      </c>
      <c r="BG3" s="8" t="s">
        <v>148</v>
      </c>
      <c r="BH3" s="8" t="s">
        <v>149</v>
      </c>
      <c r="BI3" s="8" t="s">
        <v>150</v>
      </c>
      <c r="BJ3" s="8" t="s">
        <v>151</v>
      </c>
      <c r="BK3" s="8" t="s">
        <v>147</v>
      </c>
      <c r="BL3" s="8" t="s">
        <v>148</v>
      </c>
      <c r="BM3" s="8" t="s">
        <v>149</v>
      </c>
      <c r="BN3" s="8" t="s">
        <v>150</v>
      </c>
      <c r="BO3" s="418" t="s">
        <v>151</v>
      </c>
      <c r="BP3" s="8" t="s">
        <v>147</v>
      </c>
      <c r="BQ3" s="8" t="s">
        <v>148</v>
      </c>
      <c r="BR3" s="8" t="s">
        <v>149</v>
      </c>
      <c r="BS3" s="8" t="s">
        <v>150</v>
      </c>
      <c r="BT3" s="8" t="s">
        <v>151</v>
      </c>
      <c r="BU3" s="8" t="s">
        <v>147</v>
      </c>
      <c r="BV3" s="8" t="s">
        <v>148</v>
      </c>
      <c r="BW3" s="8" t="s">
        <v>149</v>
      </c>
      <c r="BX3" s="8" t="s">
        <v>150</v>
      </c>
      <c r="BY3" s="8" t="s">
        <v>151</v>
      </c>
      <c r="BZ3" s="8" t="s">
        <v>147</v>
      </c>
      <c r="CA3" s="8" t="s">
        <v>148</v>
      </c>
      <c r="CB3" s="8" t="s">
        <v>149</v>
      </c>
      <c r="CC3" s="8" t="s">
        <v>150</v>
      </c>
      <c r="CD3" s="8" t="s">
        <v>151</v>
      </c>
      <c r="CE3" s="8" t="s">
        <v>147</v>
      </c>
      <c r="CF3" s="8" t="s">
        <v>148</v>
      </c>
      <c r="CG3" s="8" t="s">
        <v>149</v>
      </c>
      <c r="CH3" s="8" t="s">
        <v>150</v>
      </c>
      <c r="CI3" s="418" t="s">
        <v>151</v>
      </c>
      <c r="CJ3" s="8" t="s">
        <v>148</v>
      </c>
      <c r="CK3" s="8" t="s">
        <v>149</v>
      </c>
      <c r="CL3" s="8" t="s">
        <v>150</v>
      </c>
      <c r="CM3" s="8" t="s">
        <v>151</v>
      </c>
      <c r="CN3" s="8" t="s">
        <v>147</v>
      </c>
      <c r="CO3" s="8" t="s">
        <v>148</v>
      </c>
      <c r="CP3" s="8" t="s">
        <v>149</v>
      </c>
      <c r="CQ3" s="8" t="s">
        <v>150</v>
      </c>
      <c r="CR3" s="8" t="s">
        <v>151</v>
      </c>
      <c r="CS3" s="8" t="s">
        <v>147</v>
      </c>
      <c r="CT3" s="8" t="s">
        <v>148</v>
      </c>
      <c r="CU3" s="8" t="s">
        <v>149</v>
      </c>
      <c r="CV3" s="8" t="s">
        <v>150</v>
      </c>
      <c r="CW3" s="8" t="s">
        <v>151</v>
      </c>
      <c r="CX3" s="8" t="s">
        <v>147</v>
      </c>
      <c r="CY3" s="8" t="s">
        <v>148</v>
      </c>
      <c r="CZ3" s="8" t="s">
        <v>149</v>
      </c>
      <c r="DA3" s="8" t="s">
        <v>150</v>
      </c>
      <c r="DB3" s="8" t="s">
        <v>151</v>
      </c>
      <c r="DC3" s="8" t="s">
        <v>147</v>
      </c>
      <c r="DD3" s="8" t="s">
        <v>148</v>
      </c>
      <c r="DE3" s="418" t="s">
        <v>149</v>
      </c>
      <c r="DF3" s="8" t="s">
        <v>150</v>
      </c>
      <c r="DG3" s="8" t="s">
        <v>151</v>
      </c>
      <c r="DH3" s="8" t="s">
        <v>148</v>
      </c>
      <c r="DI3" s="8" t="s">
        <v>149</v>
      </c>
      <c r="DJ3" s="8" t="s">
        <v>150</v>
      </c>
      <c r="DK3" s="8" t="s">
        <v>151</v>
      </c>
      <c r="DL3" s="8" t="s">
        <v>147</v>
      </c>
      <c r="DM3" s="8" t="s">
        <v>148</v>
      </c>
      <c r="DN3" s="8" t="s">
        <v>149</v>
      </c>
      <c r="DO3" s="8" t="s">
        <v>150</v>
      </c>
      <c r="DP3" s="8" t="s">
        <v>151</v>
      </c>
      <c r="DQ3" s="8" t="s">
        <v>147</v>
      </c>
      <c r="DR3" s="8" t="s">
        <v>148</v>
      </c>
      <c r="DS3" s="8" t="s">
        <v>149</v>
      </c>
      <c r="DT3" s="8" t="s">
        <v>150</v>
      </c>
      <c r="DU3" s="8" t="s">
        <v>151</v>
      </c>
      <c r="DV3" s="8" t="s">
        <v>147</v>
      </c>
      <c r="DW3" s="8" t="s">
        <v>148</v>
      </c>
      <c r="DX3" s="8" t="s">
        <v>149</v>
      </c>
      <c r="DY3" s="8" t="s">
        <v>150</v>
      </c>
      <c r="DZ3" s="418" t="s">
        <v>151</v>
      </c>
      <c r="EA3" s="8" t="s">
        <v>147</v>
      </c>
      <c r="EB3" s="8" t="s">
        <v>148</v>
      </c>
      <c r="EC3" s="8" t="s">
        <v>149</v>
      </c>
      <c r="ED3" s="8" t="s">
        <v>150</v>
      </c>
      <c r="EE3" s="8" t="s">
        <v>151</v>
      </c>
      <c r="EF3" s="8" t="s">
        <v>147</v>
      </c>
      <c r="EG3" s="8" t="s">
        <v>148</v>
      </c>
      <c r="EH3" s="8" t="s">
        <v>149</v>
      </c>
      <c r="EI3" s="8" t="s">
        <v>150</v>
      </c>
      <c r="EJ3" s="8" t="s">
        <v>151</v>
      </c>
      <c r="EK3" s="8" t="s">
        <v>147</v>
      </c>
      <c r="EL3" s="8" t="s">
        <v>148</v>
      </c>
      <c r="EM3" s="8" t="s">
        <v>149</v>
      </c>
      <c r="EN3" s="8" t="s">
        <v>150</v>
      </c>
      <c r="EO3" s="8" t="s">
        <v>151</v>
      </c>
      <c r="EP3" s="8" t="s">
        <v>147</v>
      </c>
      <c r="EQ3" s="8" t="s">
        <v>148</v>
      </c>
      <c r="ER3" s="453" t="s">
        <v>149</v>
      </c>
      <c r="ES3" s="8" t="s">
        <v>150</v>
      </c>
      <c r="ET3" s="8" t="s">
        <v>151</v>
      </c>
      <c r="EU3" s="8" t="s">
        <v>147</v>
      </c>
      <c r="EV3" s="418" t="s">
        <v>148</v>
      </c>
      <c r="EW3" s="8" t="s">
        <v>149</v>
      </c>
      <c r="EX3" s="8" t="s">
        <v>150</v>
      </c>
      <c r="EY3" s="8" t="s">
        <v>151</v>
      </c>
      <c r="EZ3" s="8" t="s">
        <v>148</v>
      </c>
      <c r="FA3" s="8" t="s">
        <v>149</v>
      </c>
      <c r="FB3" s="8" t="s">
        <v>150</v>
      </c>
      <c r="FC3" s="8" t="s">
        <v>151</v>
      </c>
      <c r="FD3" s="8" t="s">
        <v>147</v>
      </c>
      <c r="FE3" s="8" t="s">
        <v>148</v>
      </c>
      <c r="FF3" s="8" t="s">
        <v>149</v>
      </c>
      <c r="FG3" s="8" t="s">
        <v>150</v>
      </c>
      <c r="FH3" s="8" t="s">
        <v>151</v>
      </c>
      <c r="FI3" s="8" t="s">
        <v>147</v>
      </c>
      <c r="FJ3" s="8" t="s">
        <v>148</v>
      </c>
      <c r="FK3" s="8" t="s">
        <v>149</v>
      </c>
      <c r="FL3" s="8" t="s">
        <v>150</v>
      </c>
      <c r="FM3" s="8" t="s">
        <v>151</v>
      </c>
      <c r="FN3" s="453" t="s">
        <v>147</v>
      </c>
      <c r="FO3" s="8" t="s">
        <v>148</v>
      </c>
      <c r="FP3" s="8" t="s">
        <v>149</v>
      </c>
      <c r="FQ3" s="418" t="s">
        <v>150</v>
      </c>
      <c r="FR3" s="8" t="s">
        <v>151</v>
      </c>
      <c r="FS3" s="8" t="s">
        <v>147</v>
      </c>
      <c r="FT3" s="8" t="s">
        <v>148</v>
      </c>
      <c r="FU3" s="8" t="s">
        <v>149</v>
      </c>
      <c r="FV3" s="8" t="s">
        <v>150</v>
      </c>
      <c r="FW3" s="8" t="s">
        <v>151</v>
      </c>
      <c r="FX3" s="8" t="s">
        <v>148</v>
      </c>
      <c r="FY3" s="8" t="s">
        <v>149</v>
      </c>
      <c r="FZ3" s="8" t="s">
        <v>150</v>
      </c>
      <c r="GA3" s="8" t="s">
        <v>151</v>
      </c>
      <c r="GB3" s="8" t="s">
        <v>147</v>
      </c>
      <c r="GC3" s="8" t="s">
        <v>148</v>
      </c>
      <c r="GD3" s="8" t="s">
        <v>149</v>
      </c>
      <c r="GE3" s="8" t="s">
        <v>150</v>
      </c>
      <c r="GF3" s="8" t="s">
        <v>151</v>
      </c>
      <c r="GG3" s="453" t="s">
        <v>147</v>
      </c>
      <c r="GH3" s="8" t="s">
        <v>148</v>
      </c>
      <c r="GI3" s="8" t="s">
        <v>149</v>
      </c>
      <c r="GJ3" s="8" t="s">
        <v>150</v>
      </c>
      <c r="GK3" s="418" t="s">
        <v>151</v>
      </c>
      <c r="GL3" s="8" t="s">
        <v>147</v>
      </c>
      <c r="GM3" s="8" t="s">
        <v>148</v>
      </c>
      <c r="GN3" s="8" t="s">
        <v>149</v>
      </c>
      <c r="GO3" s="8" t="s">
        <v>150</v>
      </c>
      <c r="GP3" s="8" t="s">
        <v>151</v>
      </c>
      <c r="GQ3" s="8" t="s">
        <v>147</v>
      </c>
      <c r="GR3" s="8" t="s">
        <v>148</v>
      </c>
      <c r="GS3" s="8" t="s">
        <v>149</v>
      </c>
      <c r="GT3" s="8" t="s">
        <v>151</v>
      </c>
      <c r="GU3" s="8" t="s">
        <v>147</v>
      </c>
      <c r="GV3" s="8" t="s">
        <v>148</v>
      </c>
      <c r="GW3" s="8" t="s">
        <v>149</v>
      </c>
      <c r="GX3" s="8" t="s">
        <v>150</v>
      </c>
      <c r="GY3" s="8" t="s">
        <v>151</v>
      </c>
      <c r="GZ3" s="8" t="s">
        <v>147</v>
      </c>
      <c r="HA3" s="8" t="s">
        <v>148</v>
      </c>
      <c r="HB3" s="8" t="s">
        <v>149</v>
      </c>
      <c r="HC3" s="8" t="s">
        <v>151</v>
      </c>
      <c r="HD3" s="8" t="s">
        <v>147</v>
      </c>
      <c r="HE3" s="418" t="s">
        <v>148</v>
      </c>
      <c r="HF3" s="8" t="s">
        <v>149</v>
      </c>
      <c r="HG3" s="8" t="s">
        <v>150</v>
      </c>
      <c r="HH3" s="8" t="s">
        <v>151</v>
      </c>
      <c r="HI3" s="8" t="s">
        <v>147</v>
      </c>
      <c r="HJ3" s="8" t="s">
        <v>148</v>
      </c>
      <c r="HK3" s="8" t="s">
        <v>149</v>
      </c>
      <c r="HL3" s="8" t="s">
        <v>150</v>
      </c>
      <c r="HM3" s="8" t="s">
        <v>151</v>
      </c>
      <c r="HN3" s="8" t="s">
        <v>147</v>
      </c>
      <c r="HO3" s="8" t="s">
        <v>148</v>
      </c>
      <c r="HP3" s="8" t="s">
        <v>149</v>
      </c>
      <c r="HQ3" s="8" t="s">
        <v>150</v>
      </c>
      <c r="HR3" s="8" t="s">
        <v>151</v>
      </c>
      <c r="HS3" s="8" t="s">
        <v>147</v>
      </c>
      <c r="HT3" s="8" t="s">
        <v>148</v>
      </c>
      <c r="HU3" s="8" t="s">
        <v>149</v>
      </c>
      <c r="HV3" s="8" t="s">
        <v>150</v>
      </c>
      <c r="HW3" s="8" t="s">
        <v>151</v>
      </c>
      <c r="HX3" s="8" t="s">
        <v>147</v>
      </c>
      <c r="HY3" s="8" t="s">
        <v>148</v>
      </c>
      <c r="HZ3" s="8" t="s">
        <v>149</v>
      </c>
      <c r="IA3" s="418" t="s">
        <v>150</v>
      </c>
      <c r="IB3" s="8" t="s">
        <v>151</v>
      </c>
      <c r="IC3" s="8" t="s">
        <v>147</v>
      </c>
      <c r="ID3" s="8" t="s">
        <v>148</v>
      </c>
      <c r="IE3" s="8" t="s">
        <v>149</v>
      </c>
      <c r="IF3" s="8" t="s">
        <v>150</v>
      </c>
      <c r="IG3" s="8" t="s">
        <v>151</v>
      </c>
      <c r="IH3" s="8" t="s">
        <v>147</v>
      </c>
      <c r="II3" s="8" t="s">
        <v>148</v>
      </c>
      <c r="IJ3" s="8" t="s">
        <v>149</v>
      </c>
      <c r="IK3" s="8" t="s">
        <v>150</v>
      </c>
      <c r="IL3" s="8" t="s">
        <v>151</v>
      </c>
      <c r="IM3" s="8" t="s">
        <v>148</v>
      </c>
      <c r="IN3" s="8" t="s">
        <v>149</v>
      </c>
      <c r="IO3" s="8" t="s">
        <v>150</v>
      </c>
      <c r="IP3" s="8" t="s">
        <v>151</v>
      </c>
      <c r="IQ3" s="8" t="s">
        <v>147</v>
      </c>
      <c r="IR3" s="8" t="s">
        <v>148</v>
      </c>
      <c r="IS3" s="8" t="s">
        <v>149</v>
      </c>
      <c r="IT3" s="8" t="s">
        <v>150</v>
      </c>
      <c r="IU3" s="8" t="s">
        <v>151</v>
      </c>
      <c r="IV3" s="8" t="s">
        <v>147</v>
      </c>
      <c r="IW3" s="748"/>
      <c r="IX3" s="773"/>
      <c r="IY3" s="140"/>
      <c r="IZ3" s="140"/>
      <c r="JA3" s="140"/>
      <c r="JB3" s="140"/>
      <c r="JC3" s="140"/>
      <c r="JD3" s="140"/>
      <c r="JE3" s="140"/>
      <c r="JF3" s="140"/>
    </row>
    <row r="4" spans="1:269" s="147" customFormat="1" ht="20.25" thickBot="1">
      <c r="A4" s="51" t="s">
        <v>1</v>
      </c>
      <c r="B4" s="47" t="s">
        <v>46</v>
      </c>
      <c r="C4" s="791">
        <v>40207</v>
      </c>
      <c r="D4" s="48">
        <v>40210</v>
      </c>
      <c r="E4" s="48">
        <f>D4+1</f>
        <v>40211</v>
      </c>
      <c r="F4" s="48">
        <f t="shared" ref="F4:BQ4" si="0">E4+1</f>
        <v>40212</v>
      </c>
      <c r="G4" s="48">
        <f t="shared" si="0"/>
        <v>40213</v>
      </c>
      <c r="H4" s="48">
        <f t="shared" si="0"/>
        <v>40214</v>
      </c>
      <c r="I4" s="48">
        <v>40217</v>
      </c>
      <c r="J4" s="48">
        <f t="shared" si="0"/>
        <v>40218</v>
      </c>
      <c r="K4" s="48">
        <f t="shared" si="0"/>
        <v>40219</v>
      </c>
      <c r="L4" s="48">
        <f t="shared" si="0"/>
        <v>40220</v>
      </c>
      <c r="M4" s="48">
        <f t="shared" si="0"/>
        <v>40221</v>
      </c>
      <c r="N4" s="48">
        <v>40225</v>
      </c>
      <c r="O4" s="48">
        <f t="shared" si="0"/>
        <v>40226</v>
      </c>
      <c r="P4" s="48">
        <f t="shared" si="0"/>
        <v>40227</v>
      </c>
      <c r="Q4" s="48">
        <f t="shared" si="0"/>
        <v>40228</v>
      </c>
      <c r="R4" s="48">
        <v>40231</v>
      </c>
      <c r="S4" s="48">
        <f t="shared" si="0"/>
        <v>40232</v>
      </c>
      <c r="T4" s="48">
        <f t="shared" si="0"/>
        <v>40233</v>
      </c>
      <c r="U4" s="48">
        <f t="shared" si="0"/>
        <v>40234</v>
      </c>
      <c r="V4" s="48">
        <f t="shared" si="0"/>
        <v>40235</v>
      </c>
      <c r="W4" s="48">
        <v>40238</v>
      </c>
      <c r="X4" s="48">
        <f t="shared" si="0"/>
        <v>40239</v>
      </c>
      <c r="Y4" s="48">
        <f t="shared" si="0"/>
        <v>40240</v>
      </c>
      <c r="Z4" s="48">
        <f t="shared" si="0"/>
        <v>40241</v>
      </c>
      <c r="AA4" s="48">
        <f t="shared" si="0"/>
        <v>40242</v>
      </c>
      <c r="AB4" s="48">
        <v>40245</v>
      </c>
      <c r="AC4" s="48">
        <f t="shared" si="0"/>
        <v>40246</v>
      </c>
      <c r="AD4" s="48">
        <f t="shared" si="0"/>
        <v>40247</v>
      </c>
      <c r="AE4" s="48">
        <f t="shared" si="0"/>
        <v>40248</v>
      </c>
      <c r="AF4" s="48">
        <f t="shared" si="0"/>
        <v>40249</v>
      </c>
      <c r="AG4" s="48">
        <v>40252</v>
      </c>
      <c r="AH4" s="48">
        <f t="shared" si="0"/>
        <v>40253</v>
      </c>
      <c r="AI4" s="48">
        <f t="shared" si="0"/>
        <v>40254</v>
      </c>
      <c r="AJ4" s="48">
        <f t="shared" si="0"/>
        <v>40255</v>
      </c>
      <c r="AK4" s="48">
        <f t="shared" si="0"/>
        <v>40256</v>
      </c>
      <c r="AL4" s="48">
        <v>40259</v>
      </c>
      <c r="AM4" s="48">
        <f t="shared" si="0"/>
        <v>40260</v>
      </c>
      <c r="AN4" s="48">
        <f t="shared" si="0"/>
        <v>40261</v>
      </c>
      <c r="AO4" s="565">
        <f t="shared" si="0"/>
        <v>40262</v>
      </c>
      <c r="AP4" s="48">
        <f t="shared" si="0"/>
        <v>40263</v>
      </c>
      <c r="AQ4" s="48">
        <v>40266</v>
      </c>
      <c r="AR4" s="48">
        <f t="shared" si="0"/>
        <v>40267</v>
      </c>
      <c r="AS4" s="419">
        <f t="shared" si="0"/>
        <v>40268</v>
      </c>
      <c r="AT4" s="48">
        <f t="shared" si="0"/>
        <v>40269</v>
      </c>
      <c r="AU4" s="48">
        <f t="shared" si="0"/>
        <v>40270</v>
      </c>
      <c r="AV4" s="48">
        <v>40273</v>
      </c>
      <c r="AW4" s="48">
        <f t="shared" si="0"/>
        <v>40274</v>
      </c>
      <c r="AX4" s="48">
        <f t="shared" si="0"/>
        <v>40275</v>
      </c>
      <c r="AY4" s="48">
        <f t="shared" si="0"/>
        <v>40276</v>
      </c>
      <c r="AZ4" s="48">
        <f t="shared" si="0"/>
        <v>40277</v>
      </c>
      <c r="BA4" s="48">
        <v>40280</v>
      </c>
      <c r="BB4" s="48">
        <f t="shared" si="0"/>
        <v>40281</v>
      </c>
      <c r="BC4" s="48">
        <f t="shared" si="0"/>
        <v>40282</v>
      </c>
      <c r="BD4" s="48">
        <f t="shared" si="0"/>
        <v>40283</v>
      </c>
      <c r="BE4" s="48">
        <f t="shared" si="0"/>
        <v>40284</v>
      </c>
      <c r="BF4" s="48">
        <v>40287</v>
      </c>
      <c r="BG4" s="48">
        <f t="shared" si="0"/>
        <v>40288</v>
      </c>
      <c r="BH4" s="48">
        <f t="shared" si="0"/>
        <v>40289</v>
      </c>
      <c r="BI4" s="48">
        <f t="shared" si="0"/>
        <v>40290</v>
      </c>
      <c r="BJ4" s="48">
        <f t="shared" si="0"/>
        <v>40291</v>
      </c>
      <c r="BK4" s="48">
        <v>40294</v>
      </c>
      <c r="BL4" s="48">
        <f t="shared" si="0"/>
        <v>40295</v>
      </c>
      <c r="BM4" s="48">
        <f t="shared" si="0"/>
        <v>40296</v>
      </c>
      <c r="BN4" s="48">
        <f t="shared" si="0"/>
        <v>40297</v>
      </c>
      <c r="BO4" s="419">
        <f t="shared" si="0"/>
        <v>40298</v>
      </c>
      <c r="BP4" s="48">
        <v>40301</v>
      </c>
      <c r="BQ4" s="48">
        <f t="shared" si="0"/>
        <v>40302</v>
      </c>
      <c r="BR4" s="48">
        <f t="shared" ref="BR4:EC4" si="1">BQ4+1</f>
        <v>40303</v>
      </c>
      <c r="BS4" s="48">
        <f t="shared" si="1"/>
        <v>40304</v>
      </c>
      <c r="BT4" s="48">
        <f t="shared" si="1"/>
        <v>40305</v>
      </c>
      <c r="BU4" s="48">
        <v>40308</v>
      </c>
      <c r="BV4" s="48">
        <f t="shared" si="1"/>
        <v>40309</v>
      </c>
      <c r="BW4" s="48">
        <f t="shared" si="1"/>
        <v>40310</v>
      </c>
      <c r="BX4" s="48">
        <f t="shared" si="1"/>
        <v>40311</v>
      </c>
      <c r="BY4" s="48">
        <f t="shared" si="1"/>
        <v>40312</v>
      </c>
      <c r="BZ4" s="48">
        <v>40315</v>
      </c>
      <c r="CA4" s="48">
        <f t="shared" si="1"/>
        <v>40316</v>
      </c>
      <c r="CB4" s="48">
        <f t="shared" si="1"/>
        <v>40317</v>
      </c>
      <c r="CC4" s="48">
        <f t="shared" si="1"/>
        <v>40318</v>
      </c>
      <c r="CD4" s="48">
        <f t="shared" si="1"/>
        <v>40319</v>
      </c>
      <c r="CE4" s="48">
        <v>40322</v>
      </c>
      <c r="CF4" s="48">
        <f t="shared" si="1"/>
        <v>40323</v>
      </c>
      <c r="CG4" s="48">
        <f t="shared" si="1"/>
        <v>40324</v>
      </c>
      <c r="CH4" s="48">
        <f t="shared" si="1"/>
        <v>40325</v>
      </c>
      <c r="CI4" s="419">
        <f t="shared" si="1"/>
        <v>40326</v>
      </c>
      <c r="CJ4" s="48">
        <v>40330</v>
      </c>
      <c r="CK4" s="48">
        <f t="shared" si="1"/>
        <v>40331</v>
      </c>
      <c r="CL4" s="48">
        <f t="shared" si="1"/>
        <v>40332</v>
      </c>
      <c r="CM4" s="48">
        <f t="shared" si="1"/>
        <v>40333</v>
      </c>
      <c r="CN4" s="48">
        <v>40336</v>
      </c>
      <c r="CO4" s="48">
        <f t="shared" si="1"/>
        <v>40337</v>
      </c>
      <c r="CP4" s="48">
        <f t="shared" si="1"/>
        <v>40338</v>
      </c>
      <c r="CQ4" s="48">
        <f t="shared" si="1"/>
        <v>40339</v>
      </c>
      <c r="CR4" s="48">
        <f t="shared" si="1"/>
        <v>40340</v>
      </c>
      <c r="CS4" s="48">
        <v>40343</v>
      </c>
      <c r="CT4" s="48">
        <f t="shared" si="1"/>
        <v>40344</v>
      </c>
      <c r="CU4" s="48">
        <f t="shared" si="1"/>
        <v>40345</v>
      </c>
      <c r="CV4" s="48">
        <f t="shared" si="1"/>
        <v>40346</v>
      </c>
      <c r="CW4" s="48">
        <f t="shared" si="1"/>
        <v>40347</v>
      </c>
      <c r="CX4" s="48">
        <v>40350</v>
      </c>
      <c r="CY4" s="48">
        <f t="shared" si="1"/>
        <v>40351</v>
      </c>
      <c r="CZ4" s="48">
        <f t="shared" si="1"/>
        <v>40352</v>
      </c>
      <c r="DA4" s="48">
        <f t="shared" si="1"/>
        <v>40353</v>
      </c>
      <c r="DB4" s="48">
        <f t="shared" si="1"/>
        <v>40354</v>
      </c>
      <c r="DC4" s="48">
        <v>40357</v>
      </c>
      <c r="DD4" s="48">
        <f t="shared" si="1"/>
        <v>40358</v>
      </c>
      <c r="DE4" s="419">
        <f t="shared" si="1"/>
        <v>40359</v>
      </c>
      <c r="DF4" s="48">
        <f t="shared" si="1"/>
        <v>40360</v>
      </c>
      <c r="DG4" s="48">
        <f t="shared" si="1"/>
        <v>40361</v>
      </c>
      <c r="DH4" s="48">
        <v>40365</v>
      </c>
      <c r="DI4" s="48">
        <f t="shared" si="1"/>
        <v>40366</v>
      </c>
      <c r="DJ4" s="48">
        <f t="shared" si="1"/>
        <v>40367</v>
      </c>
      <c r="DK4" s="48">
        <f t="shared" si="1"/>
        <v>40368</v>
      </c>
      <c r="DL4" s="48">
        <v>40371</v>
      </c>
      <c r="DM4" s="48">
        <f t="shared" si="1"/>
        <v>40372</v>
      </c>
      <c r="DN4" s="48">
        <f t="shared" si="1"/>
        <v>40373</v>
      </c>
      <c r="DO4" s="48">
        <f t="shared" si="1"/>
        <v>40374</v>
      </c>
      <c r="DP4" s="48">
        <f t="shared" si="1"/>
        <v>40375</v>
      </c>
      <c r="DQ4" s="48">
        <v>40378</v>
      </c>
      <c r="DR4" s="48">
        <f t="shared" si="1"/>
        <v>40379</v>
      </c>
      <c r="DS4" s="48">
        <f t="shared" si="1"/>
        <v>40380</v>
      </c>
      <c r="DT4" s="48">
        <f t="shared" si="1"/>
        <v>40381</v>
      </c>
      <c r="DU4" s="48">
        <f t="shared" si="1"/>
        <v>40382</v>
      </c>
      <c r="DV4" s="48">
        <v>40385</v>
      </c>
      <c r="DW4" s="48">
        <f t="shared" si="1"/>
        <v>40386</v>
      </c>
      <c r="DX4" s="48">
        <f t="shared" si="1"/>
        <v>40387</v>
      </c>
      <c r="DY4" s="48">
        <f t="shared" si="1"/>
        <v>40388</v>
      </c>
      <c r="DZ4" s="419">
        <f t="shared" si="1"/>
        <v>40389</v>
      </c>
      <c r="EA4" s="48">
        <v>40392</v>
      </c>
      <c r="EB4" s="48">
        <f t="shared" si="1"/>
        <v>40393</v>
      </c>
      <c r="EC4" s="48">
        <f t="shared" si="1"/>
        <v>40394</v>
      </c>
      <c r="ED4" s="48">
        <f t="shared" ref="ED4:GO4" si="2">EC4+1</f>
        <v>40395</v>
      </c>
      <c r="EE4" s="48">
        <f t="shared" si="2"/>
        <v>40396</v>
      </c>
      <c r="EF4" s="48">
        <v>40399</v>
      </c>
      <c r="EG4" s="48">
        <f t="shared" si="2"/>
        <v>40400</v>
      </c>
      <c r="EH4" s="48">
        <f t="shared" si="2"/>
        <v>40401</v>
      </c>
      <c r="EI4" s="48">
        <f t="shared" si="2"/>
        <v>40402</v>
      </c>
      <c r="EJ4" s="48">
        <f t="shared" si="2"/>
        <v>40403</v>
      </c>
      <c r="EK4" s="48">
        <v>40406</v>
      </c>
      <c r="EL4" s="48">
        <f t="shared" si="2"/>
        <v>40407</v>
      </c>
      <c r="EM4" s="48">
        <f t="shared" si="2"/>
        <v>40408</v>
      </c>
      <c r="EN4" s="48">
        <f t="shared" si="2"/>
        <v>40409</v>
      </c>
      <c r="EO4" s="48">
        <f t="shared" si="2"/>
        <v>40410</v>
      </c>
      <c r="EP4" s="48">
        <v>40413</v>
      </c>
      <c r="EQ4" s="48">
        <f t="shared" si="2"/>
        <v>40414</v>
      </c>
      <c r="ER4" s="454">
        <f t="shared" si="2"/>
        <v>40415</v>
      </c>
      <c r="ES4" s="48">
        <f t="shared" si="2"/>
        <v>40416</v>
      </c>
      <c r="ET4" s="48">
        <f t="shared" si="2"/>
        <v>40417</v>
      </c>
      <c r="EU4" s="48">
        <v>40420</v>
      </c>
      <c r="EV4" s="419">
        <f t="shared" si="2"/>
        <v>40421</v>
      </c>
      <c r="EW4" s="48">
        <f t="shared" si="2"/>
        <v>40422</v>
      </c>
      <c r="EX4" s="48">
        <f t="shared" si="2"/>
        <v>40423</v>
      </c>
      <c r="EY4" s="48">
        <f t="shared" si="2"/>
        <v>40424</v>
      </c>
      <c r="EZ4" s="48">
        <v>40428</v>
      </c>
      <c r="FA4" s="48">
        <f t="shared" si="2"/>
        <v>40429</v>
      </c>
      <c r="FB4" s="48">
        <f t="shared" si="2"/>
        <v>40430</v>
      </c>
      <c r="FC4" s="48">
        <f t="shared" si="2"/>
        <v>40431</v>
      </c>
      <c r="FD4" s="48">
        <v>40434</v>
      </c>
      <c r="FE4" s="48">
        <f t="shared" si="2"/>
        <v>40435</v>
      </c>
      <c r="FF4" s="48">
        <f t="shared" si="2"/>
        <v>40436</v>
      </c>
      <c r="FG4" s="48">
        <f t="shared" si="2"/>
        <v>40437</v>
      </c>
      <c r="FH4" s="48">
        <f t="shared" si="2"/>
        <v>40438</v>
      </c>
      <c r="FI4" s="48">
        <v>40441</v>
      </c>
      <c r="FJ4" s="48">
        <f t="shared" si="2"/>
        <v>40442</v>
      </c>
      <c r="FK4" s="48">
        <f t="shared" si="2"/>
        <v>40443</v>
      </c>
      <c r="FL4" s="48">
        <f t="shared" si="2"/>
        <v>40444</v>
      </c>
      <c r="FM4" s="48">
        <f t="shared" si="2"/>
        <v>40445</v>
      </c>
      <c r="FN4" s="454">
        <v>40448</v>
      </c>
      <c r="FO4" s="48">
        <f t="shared" si="2"/>
        <v>40449</v>
      </c>
      <c r="FP4" s="48">
        <f t="shared" si="2"/>
        <v>40450</v>
      </c>
      <c r="FQ4" s="419">
        <f t="shared" si="2"/>
        <v>40451</v>
      </c>
      <c r="FR4" s="48">
        <f t="shared" si="2"/>
        <v>40452</v>
      </c>
      <c r="FS4" s="48">
        <v>40455</v>
      </c>
      <c r="FT4" s="48">
        <f t="shared" si="2"/>
        <v>40456</v>
      </c>
      <c r="FU4" s="48">
        <f t="shared" si="2"/>
        <v>40457</v>
      </c>
      <c r="FV4" s="48">
        <f t="shared" si="2"/>
        <v>40458</v>
      </c>
      <c r="FW4" s="48">
        <f t="shared" si="2"/>
        <v>40459</v>
      </c>
      <c r="FX4" s="48">
        <v>40463</v>
      </c>
      <c r="FY4" s="48">
        <f t="shared" si="2"/>
        <v>40464</v>
      </c>
      <c r="FZ4" s="48">
        <f t="shared" si="2"/>
        <v>40465</v>
      </c>
      <c r="GA4" s="48">
        <f t="shared" si="2"/>
        <v>40466</v>
      </c>
      <c r="GB4" s="48">
        <v>40469</v>
      </c>
      <c r="GC4" s="48">
        <f t="shared" si="2"/>
        <v>40470</v>
      </c>
      <c r="GD4" s="48">
        <f t="shared" si="2"/>
        <v>40471</v>
      </c>
      <c r="GE4" s="48">
        <f t="shared" si="2"/>
        <v>40472</v>
      </c>
      <c r="GF4" s="48">
        <f t="shared" si="2"/>
        <v>40473</v>
      </c>
      <c r="GG4" s="454">
        <v>40476</v>
      </c>
      <c r="GH4" s="48">
        <f t="shared" si="2"/>
        <v>40477</v>
      </c>
      <c r="GI4" s="48">
        <f t="shared" si="2"/>
        <v>40478</v>
      </c>
      <c r="GJ4" s="48">
        <f t="shared" si="2"/>
        <v>40479</v>
      </c>
      <c r="GK4" s="419">
        <f t="shared" si="2"/>
        <v>40480</v>
      </c>
      <c r="GL4" s="48">
        <v>40483</v>
      </c>
      <c r="GM4" s="48">
        <f t="shared" si="2"/>
        <v>40484</v>
      </c>
      <c r="GN4" s="48">
        <f t="shared" si="2"/>
        <v>40485</v>
      </c>
      <c r="GO4" s="48">
        <f t="shared" si="2"/>
        <v>40486</v>
      </c>
      <c r="GP4" s="48">
        <f t="shared" ref="GP4:IU4" si="3">GO4+1</f>
        <v>40487</v>
      </c>
      <c r="GQ4" s="48">
        <v>40490</v>
      </c>
      <c r="GR4" s="48">
        <f t="shared" si="3"/>
        <v>40491</v>
      </c>
      <c r="GS4" s="48">
        <f t="shared" si="3"/>
        <v>40492</v>
      </c>
      <c r="GT4" s="48">
        <v>40494</v>
      </c>
      <c r="GU4" s="48">
        <v>40497</v>
      </c>
      <c r="GV4" s="48">
        <f t="shared" si="3"/>
        <v>40498</v>
      </c>
      <c r="GW4" s="48">
        <f t="shared" si="3"/>
        <v>40499</v>
      </c>
      <c r="GX4" s="48">
        <f t="shared" si="3"/>
        <v>40500</v>
      </c>
      <c r="GY4" s="48">
        <f t="shared" si="3"/>
        <v>40501</v>
      </c>
      <c r="GZ4" s="48">
        <v>40504</v>
      </c>
      <c r="HA4" s="48">
        <f t="shared" si="3"/>
        <v>40505</v>
      </c>
      <c r="HB4" s="48">
        <f t="shared" si="3"/>
        <v>40506</v>
      </c>
      <c r="HC4" s="48">
        <v>40508</v>
      </c>
      <c r="HD4" s="48">
        <v>40511</v>
      </c>
      <c r="HE4" s="419">
        <f t="shared" si="3"/>
        <v>40512</v>
      </c>
      <c r="HF4" s="48">
        <f t="shared" si="3"/>
        <v>40513</v>
      </c>
      <c r="HG4" s="48">
        <f t="shared" si="3"/>
        <v>40514</v>
      </c>
      <c r="HH4" s="48">
        <f t="shared" si="3"/>
        <v>40515</v>
      </c>
      <c r="HI4" s="48">
        <v>40518</v>
      </c>
      <c r="HJ4" s="48">
        <f t="shared" si="3"/>
        <v>40519</v>
      </c>
      <c r="HK4" s="48">
        <f t="shared" si="3"/>
        <v>40520</v>
      </c>
      <c r="HL4" s="48">
        <f t="shared" si="3"/>
        <v>40521</v>
      </c>
      <c r="HM4" s="48">
        <f t="shared" si="3"/>
        <v>40522</v>
      </c>
      <c r="HN4" s="48">
        <v>40525</v>
      </c>
      <c r="HO4" s="48">
        <f t="shared" si="3"/>
        <v>40526</v>
      </c>
      <c r="HP4" s="48">
        <f t="shared" si="3"/>
        <v>40527</v>
      </c>
      <c r="HQ4" s="48">
        <f t="shared" si="3"/>
        <v>40528</v>
      </c>
      <c r="HR4" s="48">
        <f t="shared" si="3"/>
        <v>40529</v>
      </c>
      <c r="HS4" s="48">
        <v>40532</v>
      </c>
      <c r="HT4" s="48">
        <f t="shared" si="3"/>
        <v>40533</v>
      </c>
      <c r="HU4" s="48">
        <f t="shared" si="3"/>
        <v>40534</v>
      </c>
      <c r="HV4" s="48">
        <f t="shared" si="3"/>
        <v>40535</v>
      </c>
      <c r="HW4" s="48">
        <v>40536</v>
      </c>
      <c r="HX4" s="48">
        <v>40539</v>
      </c>
      <c r="HY4" s="48">
        <f t="shared" si="3"/>
        <v>40540</v>
      </c>
      <c r="HZ4" s="48">
        <f t="shared" si="3"/>
        <v>40541</v>
      </c>
      <c r="IA4" s="419">
        <f t="shared" si="3"/>
        <v>40542</v>
      </c>
      <c r="IB4" s="48">
        <v>40543</v>
      </c>
      <c r="IC4" s="48">
        <v>40546</v>
      </c>
      <c r="ID4" s="48">
        <f t="shared" si="3"/>
        <v>40547</v>
      </c>
      <c r="IE4" s="48">
        <f t="shared" si="3"/>
        <v>40548</v>
      </c>
      <c r="IF4" s="48">
        <f t="shared" si="3"/>
        <v>40549</v>
      </c>
      <c r="IG4" s="48">
        <f t="shared" si="3"/>
        <v>40550</v>
      </c>
      <c r="IH4" s="48">
        <v>40553</v>
      </c>
      <c r="II4" s="48">
        <f t="shared" si="3"/>
        <v>40554</v>
      </c>
      <c r="IJ4" s="48">
        <f t="shared" si="3"/>
        <v>40555</v>
      </c>
      <c r="IK4" s="48">
        <f t="shared" si="3"/>
        <v>40556</v>
      </c>
      <c r="IL4" s="48">
        <f t="shared" si="3"/>
        <v>40557</v>
      </c>
      <c r="IM4" s="48">
        <v>40561</v>
      </c>
      <c r="IN4" s="48">
        <f t="shared" si="3"/>
        <v>40562</v>
      </c>
      <c r="IO4" s="48">
        <f t="shared" si="3"/>
        <v>40563</v>
      </c>
      <c r="IP4" s="48">
        <f t="shared" si="3"/>
        <v>40564</v>
      </c>
      <c r="IQ4" s="48">
        <v>40567</v>
      </c>
      <c r="IR4" s="48">
        <f t="shared" si="3"/>
        <v>40568</v>
      </c>
      <c r="IS4" s="48">
        <f t="shared" si="3"/>
        <v>40569</v>
      </c>
      <c r="IT4" s="48">
        <f t="shared" si="3"/>
        <v>40570</v>
      </c>
      <c r="IU4" s="48">
        <f t="shared" si="3"/>
        <v>40571</v>
      </c>
      <c r="IV4" s="48">
        <v>40574</v>
      </c>
      <c r="IW4" s="749"/>
      <c r="IX4" s="48"/>
      <c r="IY4" s="48"/>
      <c r="IZ4" s="48"/>
      <c r="JA4" s="48"/>
      <c r="JB4" s="48"/>
      <c r="JC4" s="48"/>
      <c r="JD4" s="48"/>
      <c r="JE4" s="48"/>
      <c r="JF4" s="48"/>
      <c r="JH4" s="48">
        <f>+IW4+1</f>
        <v>1</v>
      </c>
      <c r="JI4" s="49" t="s">
        <v>73</v>
      </c>
    </row>
    <row r="5" spans="1:269" s="170" customFormat="1" ht="14.1" customHeight="1" thickBot="1">
      <c r="A5" s="167"/>
      <c r="B5" s="168"/>
      <c r="C5" s="792"/>
      <c r="H5" s="502" t="s">
        <v>74</v>
      </c>
      <c r="M5" s="541" t="s">
        <v>75</v>
      </c>
      <c r="Q5" s="171" t="s">
        <v>74</v>
      </c>
      <c r="V5" s="169"/>
      <c r="AA5" s="171" t="s">
        <v>74</v>
      </c>
      <c r="AG5" s="542" t="s">
        <v>75</v>
      </c>
      <c r="AK5" s="171" t="s">
        <v>74</v>
      </c>
      <c r="AO5" s="566"/>
      <c r="AS5" s="420"/>
      <c r="AU5" s="171" t="s">
        <v>74</v>
      </c>
      <c r="BD5" s="542" t="s">
        <v>75</v>
      </c>
      <c r="BE5" s="171" t="s">
        <v>74</v>
      </c>
      <c r="BO5" s="171" t="s">
        <v>74</v>
      </c>
      <c r="BX5" s="502" t="s">
        <v>187</v>
      </c>
      <c r="BY5" s="542" t="s">
        <v>75</v>
      </c>
      <c r="CI5" s="171" t="s">
        <v>74</v>
      </c>
      <c r="CR5" s="171" t="s">
        <v>74</v>
      </c>
      <c r="CT5" s="542" t="s">
        <v>75</v>
      </c>
      <c r="CZ5" s="172"/>
      <c r="DB5" s="171" t="s">
        <v>74</v>
      </c>
      <c r="DC5" s="170" t="s">
        <v>49</v>
      </c>
      <c r="DK5" s="171" t="s">
        <v>74</v>
      </c>
      <c r="DO5" s="542" t="s">
        <v>75</v>
      </c>
      <c r="DR5" s="172"/>
      <c r="DU5" s="171" t="s">
        <v>74</v>
      </c>
      <c r="EB5" s="172"/>
      <c r="EE5" s="171" t="s">
        <v>74</v>
      </c>
      <c r="EG5" s="768" t="s">
        <v>173</v>
      </c>
      <c r="EJ5" s="542" t="s">
        <v>75</v>
      </c>
      <c r="EK5" s="172"/>
      <c r="EO5" s="171" t="s">
        <v>74</v>
      </c>
      <c r="EQ5" s="172"/>
      <c r="ER5" s="768" t="s">
        <v>159</v>
      </c>
      <c r="EY5" s="171" t="s">
        <v>74</v>
      </c>
      <c r="FB5" s="768" t="s">
        <v>173</v>
      </c>
      <c r="FC5" s="172"/>
      <c r="FF5" s="542" t="s">
        <v>75</v>
      </c>
      <c r="FH5" s="171" t="s">
        <v>74</v>
      </c>
      <c r="FJ5" s="483"/>
      <c r="FN5" s="455" t="s">
        <v>159</v>
      </c>
      <c r="FR5" s="171" t="s">
        <v>74</v>
      </c>
      <c r="FZ5" s="502" t="s">
        <v>187</v>
      </c>
      <c r="GA5" s="542" t="s">
        <v>76</v>
      </c>
      <c r="GG5" s="455" t="s">
        <v>159</v>
      </c>
      <c r="GK5" s="171" t="s">
        <v>74</v>
      </c>
      <c r="GT5" s="541" t="s">
        <v>74</v>
      </c>
      <c r="GU5" s="542" t="s">
        <v>75</v>
      </c>
      <c r="HA5" s="449"/>
      <c r="HB5" s="465" t="s">
        <v>165</v>
      </c>
      <c r="HC5" s="171" t="s">
        <v>74</v>
      </c>
      <c r="HM5" s="171" t="s">
        <v>74</v>
      </c>
      <c r="HP5" s="542" t="s">
        <v>75</v>
      </c>
      <c r="HV5" s="171" t="s">
        <v>74</v>
      </c>
      <c r="HW5" s="271"/>
      <c r="HX5" s="271"/>
      <c r="IG5" s="171" t="s">
        <v>74</v>
      </c>
      <c r="IL5" s="542" t="s">
        <v>75</v>
      </c>
      <c r="IP5" s="171" t="s">
        <v>74</v>
      </c>
      <c r="IX5" s="774"/>
      <c r="IY5" s="172"/>
      <c r="IZ5" s="172"/>
      <c r="JA5" s="172"/>
      <c r="JB5" s="172"/>
      <c r="JC5" s="172"/>
      <c r="JD5" s="172"/>
      <c r="JE5" s="172"/>
      <c r="JF5" s="172"/>
    </row>
    <row r="6" spans="1:269">
      <c r="A6" s="2" t="s">
        <v>2</v>
      </c>
      <c r="B6" s="2"/>
      <c r="C6" s="793">
        <v>103900.04749986529</v>
      </c>
      <c r="D6" s="2">
        <f t="shared" ref="D6:BO6" si="4">C54</f>
        <v>101728.04749986157</v>
      </c>
      <c r="E6" s="2">
        <f t="shared" si="4"/>
        <v>1510230.0474998616</v>
      </c>
      <c r="F6" s="2">
        <f t="shared" si="4"/>
        <v>411901.08749987185</v>
      </c>
      <c r="G6" s="2">
        <f t="shared" si="4"/>
        <v>189400.04749987274</v>
      </c>
      <c r="H6" s="2">
        <f t="shared" si="4"/>
        <v>187198.04749986529</v>
      </c>
      <c r="I6" s="2">
        <f t="shared" si="4"/>
        <v>132888.04749987274</v>
      </c>
      <c r="J6" s="2">
        <f t="shared" si="4"/>
        <v>144602.04749987274</v>
      </c>
      <c r="K6" s="2">
        <f t="shared" si="4"/>
        <v>153799.04749986529</v>
      </c>
      <c r="L6" s="2">
        <f t="shared" si="4"/>
        <v>171712.04749986529</v>
      </c>
      <c r="M6" s="221">
        <f t="shared" si="4"/>
        <v>121009.04749986529</v>
      </c>
      <c r="N6" s="2">
        <f t="shared" si="4"/>
        <v>105786.04749986529</v>
      </c>
      <c r="O6" s="2">
        <f t="shared" si="4"/>
        <v>102047.04749986529</v>
      </c>
      <c r="P6" s="2">
        <f t="shared" si="4"/>
        <v>107847.04749986529</v>
      </c>
      <c r="Q6" s="2">
        <f t="shared" si="4"/>
        <v>109721.04749986529</v>
      </c>
      <c r="R6" s="2">
        <f t="shared" si="4"/>
        <v>110820.04749986622</v>
      </c>
      <c r="S6" s="2">
        <f t="shared" si="4"/>
        <v>3868178.0474998667</v>
      </c>
      <c r="T6" s="2">
        <f t="shared" si="4"/>
        <v>529987.39749986678</v>
      </c>
      <c r="U6" s="2">
        <f t="shared" si="4"/>
        <v>330332.64749986655</v>
      </c>
      <c r="V6" s="153">
        <f t="shared" si="4"/>
        <v>116656.99749986734</v>
      </c>
      <c r="W6" s="2">
        <f t="shared" si="4"/>
        <v>213876.99749986734</v>
      </c>
      <c r="X6" s="2">
        <f t="shared" si="4"/>
        <v>241827.99749986827</v>
      </c>
      <c r="Y6" s="2">
        <f t="shared" si="4"/>
        <v>164944.99749986827</v>
      </c>
      <c r="Z6" s="2">
        <f t="shared" si="4"/>
        <v>114623.99749986827</v>
      </c>
      <c r="AA6" s="331">
        <f t="shared" si="4"/>
        <v>165667.99749986827</v>
      </c>
      <c r="AB6" s="2">
        <f t="shared" si="4"/>
        <v>189257.99749986827</v>
      </c>
      <c r="AC6" s="2">
        <f t="shared" si="4"/>
        <v>149470.99749986827</v>
      </c>
      <c r="AD6" s="2">
        <f t="shared" si="4"/>
        <v>209897.99749986921</v>
      </c>
      <c r="AE6" s="2">
        <f t="shared" si="4"/>
        <v>165564.99749987014</v>
      </c>
      <c r="AF6" s="2">
        <f t="shared" si="4"/>
        <v>118670.99749987014</v>
      </c>
      <c r="AG6" s="221">
        <f t="shared" si="4"/>
        <v>107082.99749987014</v>
      </c>
      <c r="AH6" s="128">
        <f t="shared" si="4"/>
        <v>129981.99749986827</v>
      </c>
      <c r="AI6" s="221">
        <f t="shared" si="4"/>
        <v>104359.99749986827</v>
      </c>
      <c r="AJ6" s="221">
        <f t="shared" si="4"/>
        <v>100272.99749986827</v>
      </c>
      <c r="AK6" s="221">
        <f t="shared" si="4"/>
        <v>100000.99749986781</v>
      </c>
      <c r="AL6" s="2">
        <f t="shared" si="4"/>
        <v>99999.997499868274</v>
      </c>
      <c r="AM6" s="2">
        <f t="shared" si="4"/>
        <v>99999.997499868274</v>
      </c>
      <c r="AN6" s="2">
        <f t="shared" si="4"/>
        <v>100827.99749986827</v>
      </c>
      <c r="AO6" s="567">
        <f t="shared" si="4"/>
        <v>146240.99749986804</v>
      </c>
      <c r="AP6" s="2">
        <f t="shared" si="4"/>
        <v>110592.99749986734</v>
      </c>
      <c r="AQ6" s="2">
        <f t="shared" si="4"/>
        <v>160716.99749986734</v>
      </c>
      <c r="AR6" s="2">
        <f t="shared" si="4"/>
        <v>183642.99749986734</v>
      </c>
      <c r="AS6" s="2">
        <f t="shared" si="4"/>
        <v>218701.99749986827</v>
      </c>
      <c r="AT6" s="2">
        <f t="shared" si="4"/>
        <v>379250.79749986809</v>
      </c>
      <c r="AU6" s="2">
        <f t="shared" si="4"/>
        <v>103329.99749986827</v>
      </c>
      <c r="AV6" s="2">
        <f t="shared" si="4"/>
        <v>157422.997499872</v>
      </c>
      <c r="AW6" s="2">
        <f t="shared" si="4"/>
        <v>111865.99749987246</v>
      </c>
      <c r="AX6" s="2">
        <f t="shared" si="4"/>
        <v>155317.997499872</v>
      </c>
      <c r="AY6" s="2">
        <f t="shared" si="4"/>
        <v>160600.99749987153</v>
      </c>
      <c r="AZ6" s="2">
        <f t="shared" si="4"/>
        <v>139322.99749987142</v>
      </c>
      <c r="BA6" s="2">
        <f t="shared" si="4"/>
        <v>166550.99749987177</v>
      </c>
      <c r="BB6" s="2">
        <f t="shared" si="4"/>
        <v>123574.99749987293</v>
      </c>
      <c r="BC6" s="2">
        <f t="shared" si="4"/>
        <v>366079.99749987246</v>
      </c>
      <c r="BD6" s="221">
        <f t="shared" si="4"/>
        <v>122871.99749987293</v>
      </c>
      <c r="BE6" s="2">
        <f t="shared" si="4"/>
        <v>119806.56749986112</v>
      </c>
      <c r="BF6" s="2">
        <f t="shared" si="4"/>
        <v>137296.56749986112</v>
      </c>
      <c r="BG6" s="2">
        <f t="shared" si="4"/>
        <v>317365.56749986205</v>
      </c>
      <c r="BH6" s="2">
        <f t="shared" si="4"/>
        <v>126436.56749986205</v>
      </c>
      <c r="BI6" s="2">
        <f t="shared" si="4"/>
        <v>106508.56749986112</v>
      </c>
      <c r="BJ6" s="2">
        <f t="shared" si="4"/>
        <v>108723.56749986112</v>
      </c>
      <c r="BK6" s="2">
        <f t="shared" si="4"/>
        <v>143771.56749986112</v>
      </c>
      <c r="BL6" s="2">
        <f t="shared" si="4"/>
        <v>109093.56749986019</v>
      </c>
      <c r="BM6" s="2">
        <f t="shared" si="4"/>
        <v>115636.56749986066</v>
      </c>
      <c r="BN6" s="2">
        <f t="shared" si="4"/>
        <v>2176613.8874998605</v>
      </c>
      <c r="BO6" s="2">
        <f t="shared" si="4"/>
        <v>293561.57749985997</v>
      </c>
      <c r="BP6" s="2">
        <f t="shared" ref="BP6:EA6" si="5">BO54</f>
        <v>296558.99749985896</v>
      </c>
      <c r="BQ6" s="2">
        <f t="shared" si="5"/>
        <v>296689.69749985822</v>
      </c>
      <c r="BR6" s="2">
        <f t="shared" si="5"/>
        <v>327835.13749985956</v>
      </c>
      <c r="BS6" s="2">
        <f t="shared" si="5"/>
        <v>291867.0374998597</v>
      </c>
      <c r="BT6" s="2">
        <f t="shared" si="5"/>
        <v>289714.6474998612</v>
      </c>
      <c r="BU6" s="2">
        <f t="shared" si="5"/>
        <v>337069.76749986107</v>
      </c>
      <c r="BV6" s="2">
        <f t="shared" si="5"/>
        <v>265525.09749986138</v>
      </c>
      <c r="BW6" s="2">
        <f t="shared" si="5"/>
        <v>312398.03749986133</v>
      </c>
      <c r="BX6" s="2">
        <f t="shared" si="5"/>
        <v>439701.09749986138</v>
      </c>
      <c r="BY6" s="221">
        <f t="shared" si="5"/>
        <v>283911.77749986132</v>
      </c>
      <c r="BZ6" s="128">
        <f t="shared" si="5"/>
        <v>313046.63749985397</v>
      </c>
      <c r="CA6" s="2">
        <f t="shared" si="5"/>
        <v>364282.70749985427</v>
      </c>
      <c r="CB6" s="2">
        <f t="shared" si="5"/>
        <v>317010.29749985412</v>
      </c>
      <c r="CC6" s="2">
        <f t="shared" si="5"/>
        <v>360068.47749985382</v>
      </c>
      <c r="CD6" s="2">
        <f t="shared" si="5"/>
        <v>423560.44749985449</v>
      </c>
      <c r="CE6" s="2">
        <f t="shared" si="5"/>
        <v>323623.81749985437</v>
      </c>
      <c r="CF6" s="2">
        <f t="shared" si="5"/>
        <v>297550.71749985591</v>
      </c>
      <c r="CG6" s="2">
        <f t="shared" si="5"/>
        <v>314747.34749985486</v>
      </c>
      <c r="CH6" s="153">
        <f t="shared" si="5"/>
        <v>1174852.4274998547</v>
      </c>
      <c r="CI6" s="153">
        <f t="shared" si="5"/>
        <v>428653.64749985468</v>
      </c>
      <c r="CJ6" s="2">
        <f t="shared" si="5"/>
        <v>321907.56749985367</v>
      </c>
      <c r="CK6" s="2">
        <f t="shared" si="5"/>
        <v>286608.14749985375</v>
      </c>
      <c r="CL6" s="2">
        <f t="shared" si="5"/>
        <v>345773.81749985367</v>
      </c>
      <c r="CM6" s="2">
        <f t="shared" si="5"/>
        <v>414711.89549985528</v>
      </c>
      <c r="CN6" s="2">
        <f t="shared" si="5"/>
        <v>343063.42549985647</v>
      </c>
      <c r="CO6" s="2">
        <f t="shared" si="5"/>
        <v>394517.76549985586</v>
      </c>
      <c r="CP6" s="2">
        <f t="shared" si="5"/>
        <v>311742.05549985636</v>
      </c>
      <c r="CQ6" s="2">
        <f t="shared" si="5"/>
        <v>244824.74549985584</v>
      </c>
      <c r="CR6" s="2">
        <f t="shared" si="5"/>
        <v>338823.11549985595</v>
      </c>
      <c r="CS6" s="2">
        <f t="shared" si="5"/>
        <v>301263.19549985602</v>
      </c>
      <c r="CT6" s="221">
        <f t="shared" si="5"/>
        <v>248118.33549985662</v>
      </c>
      <c r="CU6" s="2">
        <f t="shared" si="5"/>
        <v>298982.79549986124</v>
      </c>
      <c r="CV6" s="2">
        <f t="shared" si="5"/>
        <v>276436.57549986243</v>
      </c>
      <c r="CW6" s="2">
        <f t="shared" si="5"/>
        <v>283231.16549986228</v>
      </c>
      <c r="CX6" s="2">
        <f t="shared" si="5"/>
        <v>278580.86549986247</v>
      </c>
      <c r="CY6" s="2">
        <f t="shared" si="5"/>
        <v>267018.16549986263</v>
      </c>
      <c r="CZ6" s="2">
        <f t="shared" si="5"/>
        <v>477399.95549986139</v>
      </c>
      <c r="DA6" s="2">
        <f t="shared" si="5"/>
        <v>297106.58549986221</v>
      </c>
      <c r="DB6" s="2">
        <f t="shared" si="5"/>
        <v>2711331.2954998612</v>
      </c>
      <c r="DC6" s="2">
        <f t="shared" si="5"/>
        <v>445820.98549986258</v>
      </c>
      <c r="DD6" s="153">
        <f t="shared" si="5"/>
        <v>295004.31549986266</v>
      </c>
      <c r="DE6" s="2">
        <f t="shared" si="5"/>
        <v>233133.49549986236</v>
      </c>
      <c r="DF6" s="2">
        <f t="shared" si="5"/>
        <v>212622.05549986102</v>
      </c>
      <c r="DG6" s="2">
        <f t="shared" si="5"/>
        <v>236492.88549986109</v>
      </c>
      <c r="DH6" s="2">
        <f t="shared" si="5"/>
        <v>243242.86549986084</v>
      </c>
      <c r="DI6" s="2">
        <f t="shared" si="5"/>
        <v>136192.46549986117</v>
      </c>
      <c r="DJ6" s="2">
        <f t="shared" si="5"/>
        <v>210686.6454998611</v>
      </c>
      <c r="DK6" s="2">
        <f t="shared" si="5"/>
        <v>241366.90549986123</v>
      </c>
      <c r="DL6" s="2">
        <f t="shared" si="5"/>
        <v>216811.49549986143</v>
      </c>
      <c r="DM6" s="2">
        <f t="shared" si="5"/>
        <v>225944.00549986167</v>
      </c>
      <c r="DN6" s="452">
        <f t="shared" si="5"/>
        <v>784496.13549986202</v>
      </c>
      <c r="DO6" s="221">
        <f t="shared" si="5"/>
        <v>5700252.4954998642</v>
      </c>
      <c r="DP6" s="2">
        <f t="shared" si="5"/>
        <v>575727.29549986124</v>
      </c>
      <c r="DQ6" s="2">
        <f t="shared" si="5"/>
        <v>-172361.72450013831</v>
      </c>
      <c r="DR6" s="2">
        <f t="shared" si="5"/>
        <v>267845.11549986154</v>
      </c>
      <c r="DS6" s="2">
        <f t="shared" si="5"/>
        <v>674943.02549986145</v>
      </c>
      <c r="DT6" s="2">
        <f t="shared" si="5"/>
        <v>239356.44549986115</v>
      </c>
      <c r="DU6" s="2">
        <f t="shared" si="5"/>
        <v>338073.93549986114</v>
      </c>
      <c r="DV6" s="2">
        <f t="shared" si="5"/>
        <v>227242.94549985975</v>
      </c>
      <c r="DW6" s="2">
        <f t="shared" si="5"/>
        <v>226538.46549986117</v>
      </c>
      <c r="DX6" s="2">
        <f t="shared" si="5"/>
        <v>426445.51549986098</v>
      </c>
      <c r="DY6" s="2">
        <f t="shared" si="5"/>
        <v>214323.98549986072</v>
      </c>
      <c r="DZ6" s="2">
        <f t="shared" si="5"/>
        <v>280179.65549986088</v>
      </c>
      <c r="EA6" s="2">
        <f t="shared" si="5"/>
        <v>251599.91549986135</v>
      </c>
      <c r="EB6" s="2">
        <f t="shared" ref="EB6:GM6" si="6">EA54</f>
        <v>256758.1454998618</v>
      </c>
      <c r="EC6" s="2">
        <f t="shared" si="6"/>
        <v>442158.49549986236</v>
      </c>
      <c r="ED6" s="2">
        <f t="shared" si="6"/>
        <v>286284.88549986226</v>
      </c>
      <c r="EE6" s="2">
        <f t="shared" si="6"/>
        <v>263507.26549986214</v>
      </c>
      <c r="EF6" s="2">
        <f t="shared" si="6"/>
        <v>254440.80549986288</v>
      </c>
      <c r="EG6" s="2">
        <f t="shared" si="6"/>
        <v>222430.80549986288</v>
      </c>
      <c r="EH6" s="2">
        <f t="shared" si="6"/>
        <v>245055.91549986601</v>
      </c>
      <c r="EI6" s="2">
        <f t="shared" si="6"/>
        <v>452494.2654998661</v>
      </c>
      <c r="EJ6" s="221">
        <f t="shared" si="6"/>
        <v>324410.30549986602</v>
      </c>
      <c r="EK6" s="2">
        <f t="shared" si="6"/>
        <v>447811.17549987137</v>
      </c>
      <c r="EL6" s="2">
        <f t="shared" si="6"/>
        <v>226997.81549987383</v>
      </c>
      <c r="EM6" s="2">
        <f t="shared" si="6"/>
        <v>314124.21549987397</v>
      </c>
      <c r="EN6" s="2">
        <f t="shared" si="6"/>
        <v>239996.74549987353</v>
      </c>
      <c r="EO6" s="2">
        <f t="shared" si="6"/>
        <v>221512.72549987357</v>
      </c>
      <c r="EP6" s="2">
        <f t="shared" si="6"/>
        <v>265950.29549987405</v>
      </c>
      <c r="EQ6" s="2">
        <f t="shared" si="6"/>
        <v>218754.2154998742</v>
      </c>
      <c r="ER6" s="2">
        <f t="shared" si="6"/>
        <v>296830.03549987404</v>
      </c>
      <c r="ES6" s="2">
        <f t="shared" si="6"/>
        <v>274593.8754998669</v>
      </c>
      <c r="ET6" s="2">
        <f t="shared" si="6"/>
        <v>268836.3754998669</v>
      </c>
      <c r="EU6" s="2">
        <f t="shared" si="6"/>
        <v>267086.33549986698</v>
      </c>
      <c r="EV6" s="2">
        <f t="shared" si="6"/>
        <v>277209.6154998662</v>
      </c>
      <c r="EW6" s="2">
        <f t="shared" si="6"/>
        <v>303974.66549986647</v>
      </c>
      <c r="EX6" s="2">
        <f t="shared" si="6"/>
        <v>464994.49549986655</v>
      </c>
      <c r="EY6" s="2">
        <f t="shared" si="6"/>
        <v>325393.1554998667</v>
      </c>
      <c r="EZ6" s="2">
        <f t="shared" si="6"/>
        <v>315151.005499864</v>
      </c>
      <c r="FA6" s="2">
        <f t="shared" si="6"/>
        <v>195903.5754998643</v>
      </c>
      <c r="FB6" s="2">
        <f t="shared" si="6"/>
        <v>523517.62549986504</v>
      </c>
      <c r="FC6" s="2">
        <f t="shared" si="6"/>
        <v>51204120.175499871</v>
      </c>
      <c r="FD6" s="2">
        <f t="shared" si="6"/>
        <v>308362.09549987316</v>
      </c>
      <c r="FE6" s="2">
        <f t="shared" si="6"/>
        <v>279697.58549987338</v>
      </c>
      <c r="FF6" s="221">
        <f t="shared" si="6"/>
        <v>281270.18549987301</v>
      </c>
      <c r="FG6" s="2">
        <f t="shared" si="6"/>
        <v>280551.62549988925</v>
      </c>
      <c r="FH6" s="2">
        <f t="shared" si="6"/>
        <v>390016.14549988881</v>
      </c>
      <c r="FI6" s="2">
        <f t="shared" si="6"/>
        <v>438118.20549988933</v>
      </c>
      <c r="FJ6" s="2">
        <f t="shared" si="6"/>
        <v>332608.18549988791</v>
      </c>
      <c r="FK6" s="2">
        <f t="shared" si="6"/>
        <v>322224.61549988785</v>
      </c>
      <c r="FL6" s="2">
        <f t="shared" si="6"/>
        <v>285663.14549988881</v>
      </c>
      <c r="FM6" s="2">
        <f t="shared" si="6"/>
        <v>319914.11549988878</v>
      </c>
      <c r="FN6" s="2">
        <f t="shared" si="6"/>
        <v>280433.63549988891</v>
      </c>
      <c r="FO6" s="2">
        <f t="shared" si="6"/>
        <v>397321.25549989939</v>
      </c>
      <c r="FP6" s="2">
        <f t="shared" si="6"/>
        <v>6839101.4454999194</v>
      </c>
      <c r="FQ6" s="2">
        <f t="shared" si="6"/>
        <v>263685.02549991943</v>
      </c>
      <c r="FR6" s="2">
        <f t="shared" si="6"/>
        <v>297616.70549991948</v>
      </c>
      <c r="FS6" s="2">
        <f t="shared" si="6"/>
        <v>233345.65549992025</v>
      </c>
      <c r="FT6" s="2">
        <f t="shared" si="6"/>
        <v>311476.57549992017</v>
      </c>
      <c r="FU6" s="2">
        <f t="shared" si="6"/>
        <v>297887.40549992025</v>
      </c>
      <c r="FV6" s="2">
        <f t="shared" si="6"/>
        <v>401438.90549992025</v>
      </c>
      <c r="FW6" s="2">
        <f t="shared" si="6"/>
        <v>340443.79549992085</v>
      </c>
      <c r="FX6" s="2">
        <f t="shared" si="6"/>
        <v>745747.22549992148</v>
      </c>
      <c r="FY6" s="2">
        <f t="shared" si="6"/>
        <v>684637.23549992125</v>
      </c>
      <c r="FZ6" s="2">
        <f t="shared" si="6"/>
        <v>359948.22549992101</v>
      </c>
      <c r="GA6" s="221">
        <f t="shared" si="6"/>
        <v>344658.18549992121</v>
      </c>
      <c r="GB6" s="2">
        <f t="shared" si="6"/>
        <v>562529.21549992263</v>
      </c>
      <c r="GC6" s="2">
        <f t="shared" si="6"/>
        <v>296105.30549992621</v>
      </c>
      <c r="GD6" s="2">
        <f t="shared" si="6"/>
        <v>314287.75549992733</v>
      </c>
      <c r="GE6" s="2">
        <f t="shared" si="6"/>
        <v>273629.21549992752</v>
      </c>
      <c r="GF6" s="2">
        <f t="shared" si="6"/>
        <v>270834.4054999277</v>
      </c>
      <c r="GG6" s="2">
        <f t="shared" si="6"/>
        <v>298122.32549992763</v>
      </c>
      <c r="GH6" s="2">
        <f t="shared" si="6"/>
        <v>274249.96549993008</v>
      </c>
      <c r="GI6" s="2">
        <f t="shared" si="6"/>
        <v>210461.40549992956</v>
      </c>
      <c r="GJ6" s="2">
        <f t="shared" si="6"/>
        <v>2564585.9254999291</v>
      </c>
      <c r="GK6" s="153">
        <f t="shared" si="6"/>
        <v>286506.00549992919</v>
      </c>
      <c r="GL6" s="2">
        <f t="shared" si="6"/>
        <v>313808.27549992967</v>
      </c>
      <c r="GM6" s="2">
        <f t="shared" si="6"/>
        <v>278451.69549992867</v>
      </c>
      <c r="GN6" s="2">
        <f t="shared" ref="GN6:IV6" si="7">GM54</f>
        <v>310655.69549992867</v>
      </c>
      <c r="GO6" s="2">
        <f t="shared" si="7"/>
        <v>326485.70549992844</v>
      </c>
      <c r="GP6" s="2">
        <f t="shared" si="7"/>
        <v>322946.24549992825</v>
      </c>
      <c r="GQ6" s="2">
        <f t="shared" si="7"/>
        <v>292884.13549993932</v>
      </c>
      <c r="GR6" s="2">
        <f t="shared" si="7"/>
        <v>3819435.3454999402</v>
      </c>
      <c r="GS6" s="2">
        <f t="shared" si="7"/>
        <v>295912.42549994029</v>
      </c>
      <c r="GT6" s="2">
        <f t="shared" si="7"/>
        <v>281716.10549993999</v>
      </c>
      <c r="GU6" s="221">
        <f t="shared" si="7"/>
        <v>351281.42549994029</v>
      </c>
      <c r="GV6" s="2">
        <f t="shared" si="7"/>
        <v>261937.60549995303</v>
      </c>
      <c r="GW6" s="2">
        <f t="shared" si="7"/>
        <v>309693.37549995258</v>
      </c>
      <c r="GX6" s="2">
        <f t="shared" si="7"/>
        <v>276170.43549995217</v>
      </c>
      <c r="GY6" s="2">
        <f t="shared" si="7"/>
        <v>268447.46549995244</v>
      </c>
      <c r="GZ6" s="2">
        <f t="shared" si="7"/>
        <v>311930.00549995247</v>
      </c>
      <c r="HA6" s="2">
        <f t="shared" si="7"/>
        <v>276510.33549994975</v>
      </c>
      <c r="HB6" s="2">
        <f t="shared" si="7"/>
        <v>252181.32549995091</v>
      </c>
      <c r="HC6" s="2">
        <f t="shared" si="7"/>
        <v>221528.21549995127</v>
      </c>
      <c r="HD6" s="2">
        <f t="shared" si="7"/>
        <v>208289.55549995042</v>
      </c>
      <c r="HE6" s="2">
        <f t="shared" si="7"/>
        <v>-34812.794500052929</v>
      </c>
      <c r="HF6" s="2">
        <f t="shared" si="7"/>
        <v>480955.33549994696</v>
      </c>
      <c r="HG6" s="2">
        <f t="shared" si="7"/>
        <v>460547.00549994688</v>
      </c>
      <c r="HH6" s="2">
        <f t="shared" si="7"/>
        <v>435139.38549994677</v>
      </c>
      <c r="HI6" s="2">
        <f t="shared" si="7"/>
        <v>392575.39549994655</v>
      </c>
      <c r="HJ6" s="2">
        <f t="shared" si="7"/>
        <v>549842.11549994722</v>
      </c>
      <c r="HK6" s="2">
        <f t="shared" si="7"/>
        <v>565342.35549994651</v>
      </c>
      <c r="HL6" s="2">
        <f t="shared" si="7"/>
        <v>356536.84549994674</v>
      </c>
      <c r="HM6" s="2">
        <f t="shared" si="7"/>
        <v>462837.17549994634</v>
      </c>
      <c r="HN6" s="2">
        <f t="shared" si="7"/>
        <v>405879.75549994549</v>
      </c>
      <c r="HO6" s="2">
        <f t="shared" si="7"/>
        <v>366243.67549994402</v>
      </c>
      <c r="HP6" s="221">
        <f t="shared" si="7"/>
        <v>381391.60549994558</v>
      </c>
      <c r="HQ6" s="2">
        <f t="shared" si="7"/>
        <v>383368.62549994886</v>
      </c>
      <c r="HR6" s="2">
        <f t="shared" si="7"/>
        <v>644041.93549994938</v>
      </c>
      <c r="HS6" s="2">
        <f t="shared" si="7"/>
        <v>451267.54549995065</v>
      </c>
      <c r="HT6" s="2">
        <f t="shared" si="7"/>
        <v>691523.53549995273</v>
      </c>
      <c r="HU6" s="2">
        <f t="shared" si="7"/>
        <v>2369537.8454999514</v>
      </c>
      <c r="HV6" s="2">
        <f t="shared" si="7"/>
        <v>293920.54549995065</v>
      </c>
      <c r="HW6" s="2">
        <f t="shared" si="7"/>
        <v>348123.57549994998</v>
      </c>
      <c r="HX6" s="2">
        <f t="shared" si="7"/>
        <v>5456026.4154999508</v>
      </c>
      <c r="HY6" s="2">
        <f t="shared" si="7"/>
        <v>299480.05549995042</v>
      </c>
      <c r="HZ6" s="2">
        <f t="shared" si="7"/>
        <v>319954.86549995042</v>
      </c>
      <c r="IA6" s="2">
        <f t="shared" si="7"/>
        <v>239046.5654999502</v>
      </c>
      <c r="IB6" s="2">
        <f t="shared" si="7"/>
        <v>415354.30549994111</v>
      </c>
      <c r="IC6" s="2">
        <f t="shared" si="7"/>
        <v>573555.39549994096</v>
      </c>
      <c r="ID6" s="2">
        <f t="shared" si="7"/>
        <v>311771.87549994886</v>
      </c>
      <c r="IE6" s="2">
        <f t="shared" si="7"/>
        <v>377875.8154999502</v>
      </c>
      <c r="IF6" s="2">
        <f t="shared" si="7"/>
        <v>414702.72549994884</v>
      </c>
      <c r="IG6" s="2">
        <f t="shared" si="7"/>
        <v>447577.21549995057</v>
      </c>
      <c r="IH6" s="2">
        <f t="shared" si="7"/>
        <v>377367.71549995057</v>
      </c>
      <c r="II6" s="2">
        <f t="shared" si="7"/>
        <v>410502.35549995024</v>
      </c>
      <c r="IJ6" s="2">
        <f t="shared" si="7"/>
        <v>334016.50549995154</v>
      </c>
      <c r="IK6" s="2">
        <f t="shared" si="7"/>
        <v>480315.61549995095</v>
      </c>
      <c r="IL6" s="221">
        <f t="shared" si="7"/>
        <v>405440.07549994998</v>
      </c>
      <c r="IM6" s="2">
        <f t="shared" si="7"/>
        <v>479415.60549995303</v>
      </c>
      <c r="IN6" s="2">
        <f t="shared" si="7"/>
        <v>368700.37549995258</v>
      </c>
      <c r="IO6" s="2">
        <f t="shared" si="7"/>
        <v>572225.90549995005</v>
      </c>
      <c r="IP6" s="2">
        <f t="shared" si="7"/>
        <v>655339.11549994722</v>
      </c>
      <c r="IQ6" s="2">
        <f t="shared" si="7"/>
        <v>359769.73549994454</v>
      </c>
      <c r="IR6" s="2">
        <f t="shared" si="7"/>
        <v>479763.54549994692</v>
      </c>
      <c r="IS6" s="2">
        <f t="shared" si="7"/>
        <v>433468.44549994916</v>
      </c>
      <c r="IT6" s="2">
        <f t="shared" si="7"/>
        <v>419622.48549994826</v>
      </c>
      <c r="IU6" s="2">
        <f t="shared" si="7"/>
        <v>298022.93549994752</v>
      </c>
      <c r="IV6" s="2">
        <f t="shared" si="7"/>
        <v>387425.43549996614</v>
      </c>
      <c r="IW6" s="2">
        <v>0</v>
      </c>
      <c r="IX6" s="21"/>
      <c r="IY6" s="21"/>
      <c r="IZ6" s="21"/>
      <c r="JA6" s="21"/>
      <c r="JB6" s="21"/>
      <c r="JC6" s="21"/>
      <c r="JD6" s="21"/>
      <c r="JE6" s="21"/>
      <c r="JF6" s="21"/>
      <c r="JH6" s="2">
        <f>IW54</f>
        <v>1273875829.3780007</v>
      </c>
      <c r="JI6" s="2"/>
    </row>
    <row r="7" spans="1:269">
      <c r="A7" s="24" t="s">
        <v>3</v>
      </c>
      <c r="B7" s="25"/>
      <c r="C7" s="234"/>
      <c r="D7" s="26"/>
      <c r="E7" s="26"/>
      <c r="F7" s="26"/>
      <c r="G7" s="26"/>
      <c r="H7" s="26"/>
      <c r="I7" s="26"/>
      <c r="J7" s="26"/>
      <c r="K7" s="26"/>
      <c r="L7" s="26"/>
      <c r="M7" s="234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34"/>
      <c r="AH7" s="26"/>
      <c r="AI7" s="26"/>
      <c r="AJ7" s="26"/>
      <c r="AK7" s="26"/>
      <c r="AL7" s="26"/>
      <c r="AM7" s="26"/>
      <c r="AN7" s="26"/>
      <c r="AO7" s="568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34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34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34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6"/>
      <c r="DO7" s="234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34"/>
      <c r="EK7" s="341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34"/>
      <c r="FG7" s="26"/>
      <c r="FH7" s="26"/>
      <c r="FI7" s="26"/>
      <c r="FJ7" s="341"/>
      <c r="FK7" s="26"/>
      <c r="FL7" s="192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22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3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192"/>
      <c r="HO7" s="26"/>
      <c r="HP7" s="234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192"/>
      <c r="IJ7" s="26"/>
      <c r="IK7" s="26"/>
      <c r="IL7" s="234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341"/>
      <c r="IY7" s="341"/>
      <c r="IZ7" s="341"/>
      <c r="JA7" s="341"/>
      <c r="JB7" s="341"/>
      <c r="JC7" s="341"/>
      <c r="JD7" s="341"/>
      <c r="JE7" s="341"/>
      <c r="JF7" s="341"/>
      <c r="JH7" s="199"/>
      <c r="JI7" s="26"/>
    </row>
    <row r="8" spans="1:269" ht="14.1" customHeight="1">
      <c r="A8" s="407" t="s">
        <v>5</v>
      </c>
      <c r="B8" s="407"/>
      <c r="C8" s="427">
        <v>0</v>
      </c>
      <c r="D8" s="407">
        <v>1409721.65</v>
      </c>
      <c r="E8" s="407">
        <v>57121.21</v>
      </c>
      <c r="F8" s="407">
        <v>5869.99</v>
      </c>
      <c r="G8" s="407">
        <v>83622.880000000005</v>
      </c>
      <c r="H8" s="407">
        <v>25698.17</v>
      </c>
      <c r="I8" s="407">
        <v>40969.089999999997</v>
      </c>
      <c r="J8" s="407">
        <v>25231.43</v>
      </c>
      <c r="K8" s="407">
        <v>49991.49</v>
      </c>
      <c r="L8" s="407">
        <v>13829.04</v>
      </c>
      <c r="M8" s="427">
        <v>5516.82</v>
      </c>
      <c r="N8" s="407"/>
      <c r="O8" s="407">
        <v>5233</v>
      </c>
      <c r="P8" s="407">
        <v>6901.16</v>
      </c>
      <c r="Q8" s="407">
        <v>9367.0400000000009</v>
      </c>
      <c r="R8" s="407">
        <v>3771382.13</v>
      </c>
      <c r="S8" s="407">
        <v>4487.08</v>
      </c>
      <c r="T8" s="407">
        <v>10005</v>
      </c>
      <c r="U8" s="407">
        <v>15338.17</v>
      </c>
      <c r="V8" s="407">
        <v>107545.56</v>
      </c>
      <c r="W8" s="407">
        <v>32027.94</v>
      </c>
      <c r="X8" s="407">
        <v>60080.08</v>
      </c>
      <c r="Y8" s="407">
        <v>8419.34</v>
      </c>
      <c r="Z8" s="407">
        <v>65167.4</v>
      </c>
      <c r="AA8" s="407">
        <v>75644.69</v>
      </c>
      <c r="AB8" s="407">
        <v>1690.58</v>
      </c>
      <c r="AC8" s="407">
        <v>124377.54</v>
      </c>
      <c r="AD8" s="407">
        <v>17969.64</v>
      </c>
      <c r="AE8" s="407">
        <v>8895.65</v>
      </c>
      <c r="AF8" s="407">
        <v>6366.66</v>
      </c>
      <c r="AG8" s="427">
        <v>30105.55</v>
      </c>
      <c r="AH8" s="407">
        <v>0</v>
      </c>
      <c r="AI8" s="407">
        <v>0</v>
      </c>
      <c r="AJ8" s="407">
        <v>0</v>
      </c>
      <c r="AK8" s="407">
        <v>0</v>
      </c>
      <c r="AL8" s="407">
        <v>0</v>
      </c>
      <c r="AM8" s="407">
        <v>0</v>
      </c>
      <c r="AN8" s="407">
        <v>47915.75</v>
      </c>
      <c r="AO8" s="569">
        <v>2147.63</v>
      </c>
      <c r="AP8" s="407">
        <v>61064.79</v>
      </c>
      <c r="AQ8" s="407">
        <v>64079.7</v>
      </c>
      <c r="AR8" s="407">
        <v>94038.97</v>
      </c>
      <c r="AS8" s="407">
        <v>1097987</v>
      </c>
      <c r="AT8" s="407">
        <v>1128.8</v>
      </c>
      <c r="AU8" s="407">
        <v>64124.5</v>
      </c>
      <c r="AV8" s="407">
        <v>0</v>
      </c>
      <c r="AW8" s="407">
        <v>53139.63</v>
      </c>
      <c r="AX8" s="407">
        <v>45681.98</v>
      </c>
      <c r="AY8" s="407">
        <v>9856.61</v>
      </c>
      <c r="AZ8" s="407">
        <v>60730.64</v>
      </c>
      <c r="BA8" s="407">
        <f>24589.17</f>
        <v>24589.17</v>
      </c>
      <c r="BB8" s="407">
        <v>250000</v>
      </c>
      <c r="BC8" s="407">
        <v>6430.93</v>
      </c>
      <c r="BD8" s="427">
        <v>16302.55</v>
      </c>
      <c r="BE8" s="407">
        <v>29785.21</v>
      </c>
      <c r="BF8" s="407">
        <v>214760</v>
      </c>
      <c r="BG8" s="407">
        <v>21626.39</v>
      </c>
      <c r="BH8" s="407">
        <v>1673.69</v>
      </c>
      <c r="BI8" s="407">
        <v>9738.27</v>
      </c>
      <c r="BJ8" s="407">
        <v>40833.1</v>
      </c>
      <c r="BK8" s="407">
        <v>6847.07</v>
      </c>
      <c r="BL8" s="407">
        <v>18023.13</v>
      </c>
      <c r="BM8" s="407">
        <v>37949.5</v>
      </c>
      <c r="BN8" s="407">
        <v>25117.65</v>
      </c>
      <c r="BO8" s="407">
        <v>6642.02</v>
      </c>
      <c r="BP8" s="407">
        <v>50071.43</v>
      </c>
      <c r="BQ8" s="407">
        <v>26371.67</v>
      </c>
      <c r="BR8" s="407">
        <v>8470.41</v>
      </c>
      <c r="BS8" s="407">
        <v>7000</v>
      </c>
      <c r="BT8" s="407">
        <v>63981.54</v>
      </c>
      <c r="BU8" s="407">
        <v>19073.89</v>
      </c>
      <c r="BV8" s="407">
        <v>24605.14</v>
      </c>
      <c r="BW8" s="407">
        <v>170735.64</v>
      </c>
      <c r="BX8" s="407">
        <v>19121.93</v>
      </c>
      <c r="BY8" s="427">
        <v>2194.71</v>
      </c>
      <c r="BZ8" s="407">
        <v>92787.78</v>
      </c>
      <c r="CA8" s="407">
        <v>11829.93</v>
      </c>
      <c r="CB8" s="407">
        <v>61207.89</v>
      </c>
      <c r="CC8" s="407">
        <v>3613.82</v>
      </c>
      <c r="CD8" s="407">
        <v>13710.72</v>
      </c>
      <c r="CE8" s="407">
        <v>7400</v>
      </c>
      <c r="CF8" s="407">
        <v>1918</v>
      </c>
      <c r="CG8" s="407">
        <v>914676.9</v>
      </c>
      <c r="CH8" s="407">
        <v>19814.38</v>
      </c>
      <c r="CI8" s="407">
        <v>2579.14</v>
      </c>
      <c r="CJ8" s="407">
        <v>7368.01</v>
      </c>
      <c r="CK8" s="407">
        <v>51136.37</v>
      </c>
      <c r="CL8" s="407">
        <v>165764.26999999999</v>
      </c>
      <c r="CM8" s="407">
        <v>104983.17</v>
      </c>
      <c r="CN8" s="407">
        <v>101862.24</v>
      </c>
      <c r="CO8" s="407">
        <v>60597.72</v>
      </c>
      <c r="CP8" s="407">
        <v>10071.799999999999</v>
      </c>
      <c r="CQ8" s="407">
        <v>79418.61</v>
      </c>
      <c r="CR8" s="407">
        <v>67749.91</v>
      </c>
      <c r="CS8" s="407">
        <v>0</v>
      </c>
      <c r="CT8" s="427">
        <f>63809.65+100</f>
        <v>63909.65</v>
      </c>
      <c r="CU8" s="407">
        <v>3323.66</v>
      </c>
      <c r="CV8" s="407">
        <v>11309.91</v>
      </c>
      <c r="CW8" s="407">
        <v>4952.84</v>
      </c>
      <c r="CX8" s="407">
        <v>0</v>
      </c>
      <c r="CY8" s="407">
        <v>190085.73</v>
      </c>
      <c r="CZ8" s="407">
        <v>47034.99</v>
      </c>
      <c r="DA8" s="407">
        <v>2363666.16</v>
      </c>
      <c r="DB8" s="407">
        <v>19848.05</v>
      </c>
      <c r="DC8" s="407"/>
      <c r="DD8" s="407"/>
      <c r="DE8" s="407"/>
      <c r="DF8" s="407"/>
      <c r="DG8" s="407"/>
      <c r="DH8" s="407"/>
      <c r="DI8" s="407"/>
      <c r="DJ8" s="407"/>
      <c r="DK8" s="407"/>
      <c r="DL8" s="407"/>
      <c r="DM8" s="407"/>
      <c r="DN8" s="407">
        <v>221280.61</v>
      </c>
      <c r="DO8" s="427">
        <v>176269.13</v>
      </c>
      <c r="DP8" s="407">
        <v>0</v>
      </c>
      <c r="DQ8" s="407">
        <v>0</v>
      </c>
      <c r="DR8" s="407">
        <v>417070.7</v>
      </c>
      <c r="DS8" s="407">
        <v>0</v>
      </c>
      <c r="DT8" s="407">
        <v>25269.17</v>
      </c>
      <c r="DU8" s="407">
        <v>0</v>
      </c>
      <c r="DV8" s="407">
        <v>0</v>
      </c>
      <c r="DW8" s="407">
        <v>81686.009999999995</v>
      </c>
      <c r="DX8" s="407">
        <v>0</v>
      </c>
      <c r="DY8" s="407">
        <v>10932.7</v>
      </c>
      <c r="DZ8" s="407">
        <v>0</v>
      </c>
      <c r="EA8" s="407">
        <v>0</v>
      </c>
      <c r="EB8" s="407">
        <v>250800</v>
      </c>
      <c r="EC8" s="407">
        <v>102696.76</v>
      </c>
      <c r="ED8" s="407"/>
      <c r="EE8" s="407">
        <v>11211.61</v>
      </c>
      <c r="EF8" s="407"/>
      <c r="EG8" s="407">
        <v>14026.41</v>
      </c>
      <c r="EH8" s="407">
        <v>232102.74</v>
      </c>
      <c r="EI8" s="407">
        <v>97197.34</v>
      </c>
      <c r="EJ8" s="427">
        <v>20545.330000000002</v>
      </c>
      <c r="EK8" s="407">
        <v>0</v>
      </c>
      <c r="EL8" s="407">
        <v>64716.2</v>
      </c>
      <c r="EM8" s="407">
        <v>4894.42</v>
      </c>
      <c r="EN8" s="407">
        <v>7439.76</v>
      </c>
      <c r="EO8" s="407">
        <v>67.31</v>
      </c>
      <c r="EP8" s="407">
        <v>4188.04</v>
      </c>
      <c r="EQ8" s="407">
        <v>31104.55</v>
      </c>
      <c r="ER8" s="407">
        <v>69160.160000000003</v>
      </c>
      <c r="ES8" s="407">
        <v>4341.7700000000004</v>
      </c>
      <c r="ET8" s="407">
        <v>3379.14</v>
      </c>
      <c r="EU8" s="407">
        <v>48000</v>
      </c>
      <c r="EV8" s="407">
        <v>45875.8</v>
      </c>
      <c r="EW8" s="407">
        <v>171606.19</v>
      </c>
      <c r="EX8" s="407">
        <v>103586.36</v>
      </c>
      <c r="EY8" s="407">
        <v>3060.25</v>
      </c>
      <c r="EZ8" s="407">
        <v>800</v>
      </c>
      <c r="FA8" s="407">
        <v>242570.31</v>
      </c>
      <c r="FB8" s="407">
        <v>907602.94</v>
      </c>
      <c r="FC8" s="407">
        <v>17189.25</v>
      </c>
      <c r="FD8" s="407">
        <v>1889.03</v>
      </c>
      <c r="FE8" s="407">
        <v>40137.629999999997</v>
      </c>
      <c r="FF8" s="427">
        <v>354.01</v>
      </c>
      <c r="FG8" s="407">
        <v>101889.76</v>
      </c>
      <c r="FH8" s="407">
        <v>209310.43</v>
      </c>
      <c r="FI8" s="407">
        <v>61782.58</v>
      </c>
      <c r="FJ8" s="407">
        <v>26342.29</v>
      </c>
      <c r="FK8" s="407">
        <v>24583.74</v>
      </c>
      <c r="FL8" s="407">
        <v>43413.61</v>
      </c>
      <c r="FM8" s="407">
        <v>71346.460000000006</v>
      </c>
      <c r="FN8" s="407">
        <v>9734.4</v>
      </c>
      <c r="FO8" s="407">
        <v>45057.49</v>
      </c>
      <c r="FP8" s="407">
        <v>11213.85</v>
      </c>
      <c r="FQ8" s="407">
        <v>27368.68</v>
      </c>
      <c r="FR8" s="407">
        <v>5127.84</v>
      </c>
      <c r="FS8" s="407">
        <v>96554.12</v>
      </c>
      <c r="FT8" s="407">
        <v>2847.91</v>
      </c>
      <c r="FU8" s="407">
        <v>164699.97</v>
      </c>
      <c r="FV8" s="407">
        <v>33983.42</v>
      </c>
      <c r="FW8" s="407">
        <v>462071.49</v>
      </c>
      <c r="FX8" s="407">
        <v>77196.160000000003</v>
      </c>
      <c r="FY8" s="407">
        <v>58200.88</v>
      </c>
      <c r="FZ8" s="407">
        <v>26923.29</v>
      </c>
      <c r="GA8" s="427">
        <v>256590.9</v>
      </c>
      <c r="GB8" s="407">
        <v>27275.99</v>
      </c>
      <c r="GC8" s="407">
        <v>44319</v>
      </c>
      <c r="GD8" s="407">
        <v>9298.02</v>
      </c>
      <c r="GE8" s="407">
        <v>3178.47</v>
      </c>
      <c r="GF8" s="407">
        <v>16527.71</v>
      </c>
      <c r="GG8" s="407">
        <v>10376.86</v>
      </c>
      <c r="GH8" s="407">
        <v>9951.24</v>
      </c>
      <c r="GI8" s="407">
        <v>15037.98</v>
      </c>
      <c r="GJ8" s="407">
        <v>37532.85</v>
      </c>
      <c r="GK8" s="407">
        <v>38801.050000000003</v>
      </c>
      <c r="GL8" s="407">
        <v>12347.25</v>
      </c>
      <c r="GM8" s="407">
        <v>21206.720000000001</v>
      </c>
      <c r="GN8" s="407">
        <v>39465.99</v>
      </c>
      <c r="GO8" s="407">
        <v>21634.33</v>
      </c>
      <c r="GP8" s="407">
        <v>11323</v>
      </c>
      <c r="GQ8" s="407">
        <v>41672.99</v>
      </c>
      <c r="GR8" s="407">
        <v>0</v>
      </c>
      <c r="GS8" s="407">
        <v>31618.38</v>
      </c>
      <c r="GT8" s="407">
        <v>38021.85</v>
      </c>
      <c r="GU8" s="427">
        <v>31471.99</v>
      </c>
      <c r="GV8" s="407">
        <v>41912.550000000003</v>
      </c>
      <c r="GW8" s="407">
        <v>9525.84</v>
      </c>
      <c r="GX8" s="407">
        <v>0</v>
      </c>
      <c r="GY8" s="407">
        <v>405437.03</v>
      </c>
      <c r="GZ8" s="407">
        <v>56413.7</v>
      </c>
      <c r="HA8" s="407">
        <v>0</v>
      </c>
      <c r="HB8" s="407">
        <v>0</v>
      </c>
      <c r="HC8" s="407">
        <v>0</v>
      </c>
      <c r="HD8" s="407">
        <v>0</v>
      </c>
      <c r="HE8" s="407">
        <v>126638.26</v>
      </c>
      <c r="HF8" s="407">
        <v>182653.42</v>
      </c>
      <c r="HG8" s="407">
        <v>3327.65</v>
      </c>
      <c r="HH8" s="407">
        <v>2873.25</v>
      </c>
      <c r="HI8" s="407">
        <v>197578.89</v>
      </c>
      <c r="HJ8" s="407">
        <v>51589.04</v>
      </c>
      <c r="HK8" s="407">
        <v>29598.89</v>
      </c>
      <c r="HL8" s="407">
        <v>152448.63</v>
      </c>
      <c r="HM8" s="407">
        <v>6377.3</v>
      </c>
      <c r="HN8" s="407">
        <v>41307.550000000003</v>
      </c>
      <c r="HO8" s="407">
        <v>22996.15</v>
      </c>
      <c r="HP8" s="427">
        <v>10199.26</v>
      </c>
      <c r="HQ8" s="407">
        <v>345359.47</v>
      </c>
      <c r="HR8" s="407">
        <v>64135.93</v>
      </c>
      <c r="HS8" s="407">
        <v>321935.71999999997</v>
      </c>
      <c r="HT8" s="407">
        <v>0</v>
      </c>
      <c r="HU8" s="407">
        <v>0</v>
      </c>
      <c r="HV8" s="407">
        <v>0</v>
      </c>
      <c r="HW8" s="407">
        <v>0</v>
      </c>
      <c r="HX8" s="407">
        <v>0</v>
      </c>
      <c r="HY8" s="407">
        <v>0</v>
      </c>
      <c r="HZ8" s="407">
        <v>0</v>
      </c>
      <c r="IA8" s="407">
        <v>0</v>
      </c>
      <c r="IB8" s="407">
        <v>0</v>
      </c>
      <c r="IC8" s="407">
        <v>0</v>
      </c>
      <c r="ID8" s="407">
        <v>25298.02</v>
      </c>
      <c r="IE8" s="407">
        <v>102303.94</v>
      </c>
      <c r="IF8" s="407">
        <v>93501.07</v>
      </c>
      <c r="IG8" s="407">
        <v>40831.79</v>
      </c>
      <c r="IH8" s="407">
        <v>41384.85</v>
      </c>
      <c r="II8" s="407">
        <v>18167.89</v>
      </c>
      <c r="IJ8" s="407">
        <v>7250</v>
      </c>
      <c r="IK8" s="407">
        <v>26100.26</v>
      </c>
      <c r="IL8" s="427">
        <v>26655.97</v>
      </c>
      <c r="IM8" s="407">
        <v>74841.31</v>
      </c>
      <c r="IN8" s="407">
        <v>191874.72</v>
      </c>
      <c r="IO8" s="407">
        <v>13097.72</v>
      </c>
      <c r="IP8" s="407">
        <v>18482.48</v>
      </c>
      <c r="IQ8" s="407">
        <v>3310.53</v>
      </c>
      <c r="IR8" s="407">
        <v>10182.27</v>
      </c>
      <c r="IS8" s="407">
        <v>39256.17</v>
      </c>
      <c r="IT8" s="407">
        <v>11493.21</v>
      </c>
      <c r="IU8" s="407">
        <v>0</v>
      </c>
      <c r="IV8" s="407">
        <v>63578.69</v>
      </c>
      <c r="IW8" s="4">
        <f>SUM(D8:IV8)</f>
        <v>21855310.659999989</v>
      </c>
      <c r="IX8" s="7"/>
      <c r="IY8" s="7"/>
      <c r="IZ8" s="7"/>
      <c r="JA8" s="7"/>
      <c r="JB8" s="7"/>
      <c r="JC8" s="7"/>
      <c r="JD8" s="7"/>
      <c r="JE8" s="7"/>
      <c r="JF8" s="7"/>
      <c r="JH8" s="4">
        <f>'FY-09, FEB-09 - JAN-10, w TANs'!IU8*$EJ$78</f>
        <v>19398771.294</v>
      </c>
      <c r="JI8" s="4">
        <f>'FY-09, FEB-09 - JAN-10, w TANs'!IV8*$EJ$78</f>
        <v>0</v>
      </c>
    </row>
    <row r="9" spans="1:269" ht="14.1" customHeight="1">
      <c r="A9" s="407" t="s">
        <v>6</v>
      </c>
      <c r="B9" s="407"/>
      <c r="C9" s="427">
        <v>0</v>
      </c>
      <c r="D9" s="407">
        <v>0</v>
      </c>
      <c r="E9" s="407">
        <v>0</v>
      </c>
      <c r="F9" s="407"/>
      <c r="G9" s="407"/>
      <c r="H9" s="407"/>
      <c r="I9" s="407"/>
      <c r="J9" s="407">
        <v>175505.79</v>
      </c>
      <c r="K9" s="407"/>
      <c r="L9" s="407">
        <v>5977.96</v>
      </c>
      <c r="M9" s="42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7"/>
      <c r="AB9" s="407">
        <v>163177.51999999999</v>
      </c>
      <c r="AC9" s="407"/>
      <c r="AD9" s="407">
        <v>5971.21</v>
      </c>
      <c r="AE9" s="407"/>
      <c r="AF9" s="407"/>
      <c r="AG9" s="427"/>
      <c r="AH9" s="407"/>
      <c r="AI9" s="407"/>
      <c r="AJ9" s="407"/>
      <c r="AK9" s="407"/>
      <c r="AL9" s="407"/>
      <c r="AM9" s="407"/>
      <c r="AN9" s="407"/>
      <c r="AO9" s="569"/>
      <c r="AP9" s="407"/>
      <c r="AQ9" s="407"/>
      <c r="AR9" s="407">
        <v>1362.35</v>
      </c>
      <c r="AS9" s="407"/>
      <c r="AT9" s="407"/>
      <c r="AU9" s="407"/>
      <c r="AV9" s="407"/>
      <c r="AW9" s="407"/>
      <c r="AX9" s="407"/>
      <c r="AY9" s="407"/>
      <c r="AZ9" s="407">
        <v>27720.43</v>
      </c>
      <c r="BA9" s="407">
        <v>5971.21</v>
      </c>
      <c r="BB9" s="407"/>
      <c r="BC9" s="407"/>
      <c r="BD9" s="427">
        <v>169868.37</v>
      </c>
      <c r="BE9" s="407"/>
      <c r="BF9" s="407"/>
      <c r="BG9" s="407"/>
      <c r="BH9" s="407"/>
      <c r="BI9" s="407"/>
      <c r="BJ9" s="407"/>
      <c r="BK9" s="407"/>
      <c r="BL9" s="407"/>
      <c r="BM9" s="407"/>
      <c r="BN9" s="407"/>
      <c r="BO9" s="407"/>
      <c r="BP9" s="407"/>
      <c r="BQ9" s="407"/>
      <c r="BR9" s="407"/>
      <c r="BS9" s="407"/>
      <c r="BT9" s="407"/>
      <c r="BU9" s="407">
        <v>178660.56</v>
      </c>
      <c r="BV9" s="407"/>
      <c r="BW9" s="407"/>
      <c r="BX9" s="407"/>
      <c r="BY9" s="427"/>
      <c r="BZ9" s="407"/>
      <c r="CA9" s="407"/>
      <c r="CB9" s="407"/>
      <c r="CC9" s="407"/>
      <c r="CD9" s="407"/>
      <c r="CE9" s="407">
        <v>693</v>
      </c>
      <c r="CF9" s="407"/>
      <c r="CG9" s="407"/>
      <c r="CH9" s="407"/>
      <c r="CI9" s="407"/>
      <c r="CJ9" s="407"/>
      <c r="CK9" s="407"/>
      <c r="CL9" s="407"/>
      <c r="CM9" s="407"/>
      <c r="CN9" s="407"/>
      <c r="CO9" s="407"/>
      <c r="CP9" s="407"/>
      <c r="CQ9" s="407">
        <v>5971.21</v>
      </c>
      <c r="CR9" s="407">
        <v>177383.2</v>
      </c>
      <c r="CS9" s="407"/>
      <c r="CT9" s="427"/>
      <c r="CU9" s="407"/>
      <c r="CV9" s="407"/>
      <c r="CW9" s="407"/>
      <c r="CX9" s="407"/>
      <c r="CY9" s="407"/>
      <c r="CZ9" s="407"/>
      <c r="DA9" s="407"/>
      <c r="DB9" s="407"/>
      <c r="DC9" s="407"/>
      <c r="DD9" s="407"/>
      <c r="DE9" s="407"/>
      <c r="DF9" s="407"/>
      <c r="DG9" s="407">
        <v>14099.69</v>
      </c>
      <c r="DH9" s="407"/>
      <c r="DI9" s="407"/>
      <c r="DJ9" s="407"/>
      <c r="DK9" s="407"/>
      <c r="DL9" s="407">
        <v>5971.21</v>
      </c>
      <c r="DM9" s="407">
        <v>80426.559999999998</v>
      </c>
      <c r="DN9" s="407"/>
      <c r="DO9" s="427"/>
      <c r="DP9" s="407"/>
      <c r="DQ9" s="407"/>
      <c r="DR9" s="407"/>
      <c r="DS9" s="407"/>
      <c r="DT9" s="407"/>
      <c r="DU9" s="407"/>
      <c r="DV9" s="407"/>
      <c r="DW9" s="407"/>
      <c r="DX9" s="407"/>
      <c r="DY9" s="407"/>
      <c r="DZ9" s="407"/>
      <c r="EA9" s="407"/>
      <c r="EB9" s="407"/>
      <c r="EC9" s="407"/>
      <c r="ED9" s="407"/>
      <c r="EE9" s="407"/>
      <c r="EF9" s="407">
        <v>9037.6</v>
      </c>
      <c r="EG9" s="407">
        <v>5971.21</v>
      </c>
      <c r="EH9" s="407"/>
      <c r="EI9" s="407"/>
      <c r="EJ9" s="427"/>
      <c r="EK9" s="407">
        <v>743.17</v>
      </c>
      <c r="EL9" s="407">
        <v>1248.8</v>
      </c>
      <c r="EM9" s="407"/>
      <c r="EN9" s="407"/>
      <c r="EO9" s="407"/>
      <c r="EP9" s="407"/>
      <c r="EQ9" s="407"/>
      <c r="ER9" s="407"/>
      <c r="ES9" s="407">
        <v>453</v>
      </c>
      <c r="ET9" s="407">
        <v>531</v>
      </c>
      <c r="EU9" s="407"/>
      <c r="EV9" s="407"/>
      <c r="EW9" s="407"/>
      <c r="EX9" s="407"/>
      <c r="EY9" s="407"/>
      <c r="EZ9" s="407"/>
      <c r="FA9" s="407"/>
      <c r="FB9" s="407"/>
      <c r="FC9" s="407"/>
      <c r="FD9" s="407">
        <v>17381.419999999998</v>
      </c>
      <c r="FE9" s="407">
        <v>2988.15</v>
      </c>
      <c r="FF9" s="427"/>
      <c r="FG9" s="407"/>
      <c r="FH9" s="407"/>
      <c r="FI9" s="407"/>
      <c r="FJ9" s="407"/>
      <c r="FK9" s="407">
        <v>6345.95</v>
      </c>
      <c r="FL9" s="407"/>
      <c r="FM9" s="407"/>
      <c r="FN9" s="407"/>
      <c r="FO9" s="407"/>
      <c r="FP9" s="407"/>
      <c r="FQ9" s="407"/>
      <c r="FR9" s="407"/>
      <c r="FS9" s="407"/>
      <c r="FT9" s="407"/>
      <c r="FU9" s="407">
        <v>732.9</v>
      </c>
      <c r="FV9" s="407"/>
      <c r="FW9" s="407"/>
      <c r="FX9" s="407"/>
      <c r="FY9" s="407"/>
      <c r="FZ9" s="407">
        <v>17855.41</v>
      </c>
      <c r="GA9" s="427"/>
      <c r="GB9" s="407">
        <v>255033.08</v>
      </c>
      <c r="GC9" s="407"/>
      <c r="GD9" s="407"/>
      <c r="GE9" s="407"/>
      <c r="GF9" s="407"/>
      <c r="GG9" s="407"/>
      <c r="GH9" s="407"/>
      <c r="GI9" s="407"/>
      <c r="GJ9" s="407"/>
      <c r="GK9" s="407"/>
      <c r="GL9" s="407"/>
      <c r="GM9" s="407"/>
      <c r="GN9" s="407"/>
      <c r="GO9" s="407"/>
      <c r="GP9" s="407"/>
      <c r="GQ9" s="407"/>
      <c r="GR9" s="407"/>
      <c r="GS9" s="407">
        <v>5971.21</v>
      </c>
      <c r="GT9" s="407"/>
      <c r="GU9" s="427"/>
      <c r="GV9" s="407"/>
      <c r="GW9" s="407"/>
      <c r="GX9" s="407"/>
      <c r="GY9" s="407"/>
      <c r="GZ9" s="407"/>
      <c r="HA9" s="407"/>
      <c r="HB9" s="407">
        <v>159648.39000000001</v>
      </c>
      <c r="HC9" s="407"/>
      <c r="HD9" s="407"/>
      <c r="HE9" s="407"/>
      <c r="HF9" s="407"/>
      <c r="HG9" s="407"/>
      <c r="HH9" s="407"/>
      <c r="HI9" s="407"/>
      <c r="HJ9" s="407"/>
      <c r="HK9" s="407"/>
      <c r="HL9" s="407"/>
      <c r="HM9" s="407"/>
      <c r="HN9" s="407">
        <v>5971.21</v>
      </c>
      <c r="HO9" s="407">
        <v>250.75</v>
      </c>
      <c r="HP9" s="427"/>
      <c r="HQ9" s="407">
        <v>177159.81</v>
      </c>
      <c r="HR9" s="407"/>
      <c r="HS9" s="407"/>
      <c r="HT9" s="407"/>
      <c r="HU9" s="407"/>
      <c r="HV9" s="407"/>
      <c r="HW9" s="407"/>
      <c r="HX9" s="407"/>
      <c r="HY9" s="407"/>
      <c r="HZ9" s="407"/>
      <c r="IA9" s="407"/>
      <c r="IB9" s="407"/>
      <c r="IC9" s="407"/>
      <c r="ID9" s="407">
        <v>23764.07</v>
      </c>
      <c r="IE9" s="407"/>
      <c r="IF9" s="407"/>
      <c r="IG9" s="407"/>
      <c r="IH9" s="407">
        <v>5966.71</v>
      </c>
      <c r="II9" s="407"/>
      <c r="IJ9" s="407"/>
      <c r="IK9" s="407"/>
      <c r="IL9" s="427"/>
      <c r="IM9" s="407"/>
      <c r="IN9" s="407"/>
      <c r="IO9" s="407"/>
      <c r="IP9" s="407">
        <v>176966.34</v>
      </c>
      <c r="IQ9" s="407"/>
      <c r="IR9" s="407"/>
      <c r="IS9" s="407"/>
      <c r="IT9" s="407"/>
      <c r="IU9" s="407"/>
      <c r="IV9" s="407"/>
      <c r="IW9" s="4">
        <f t="shared" ref="IW9:IW26" si="8">SUM(D9:IV9)</f>
        <v>1892780.4499999997</v>
      </c>
      <c r="IX9" s="7"/>
      <c r="IY9" s="7"/>
      <c r="IZ9" s="7"/>
      <c r="JA9" s="7"/>
      <c r="JB9" s="7"/>
      <c r="JC9" s="7"/>
      <c r="JD9" s="7"/>
      <c r="JE9" s="7"/>
      <c r="JF9" s="7"/>
      <c r="JH9" s="200">
        <f>'FY-09, FEB-09 - JAN-10, w TANs'!IT9</f>
        <v>0</v>
      </c>
      <c r="JI9" s="4">
        <f>'FY-09, FEB-09 - JAN-10, w TANs'!IU9</f>
        <v>1738532.38</v>
      </c>
    </row>
    <row r="10" spans="1:269" ht="14.1" customHeight="1" thickBot="1">
      <c r="A10" s="407" t="s">
        <v>28</v>
      </c>
      <c r="B10" s="430"/>
      <c r="C10" s="427">
        <v>0</v>
      </c>
      <c r="D10" s="407">
        <v>0</v>
      </c>
      <c r="E10" s="407">
        <v>0</v>
      </c>
      <c r="F10" s="407"/>
      <c r="G10" s="407">
        <v>239317.46</v>
      </c>
      <c r="H10" s="407"/>
      <c r="I10" s="407"/>
      <c r="J10" s="407"/>
      <c r="K10" s="407"/>
      <c r="L10" s="407">
        <v>78701.56</v>
      </c>
      <c r="M10" s="427"/>
      <c r="N10" s="407"/>
      <c r="O10" s="407"/>
      <c r="P10" s="407">
        <v>68546.7</v>
      </c>
      <c r="Q10" s="407"/>
      <c r="R10" s="407"/>
      <c r="S10" s="407"/>
      <c r="T10" s="407"/>
      <c r="U10" s="407">
        <v>36493.71</v>
      </c>
      <c r="V10" s="407"/>
      <c r="W10" s="407"/>
      <c r="X10" s="407"/>
      <c r="Y10" s="407"/>
      <c r="Z10" s="407">
        <v>31372.51</v>
      </c>
      <c r="AA10" s="407"/>
      <c r="AB10" s="407"/>
      <c r="AC10" s="407"/>
      <c r="AD10" s="407"/>
      <c r="AE10" s="407"/>
      <c r="AF10" s="407"/>
      <c r="AG10" s="427"/>
      <c r="AH10" s="407"/>
      <c r="AI10" s="407"/>
      <c r="AJ10" s="407">
        <v>19091.080000000002</v>
      </c>
      <c r="AK10" s="407"/>
      <c r="AL10" s="407"/>
      <c r="AM10" s="407"/>
      <c r="AN10" s="407"/>
      <c r="AO10" s="569">
        <v>301545.49</v>
      </c>
      <c r="AP10" s="407"/>
      <c r="AQ10" s="407"/>
      <c r="AR10" s="407"/>
      <c r="AS10" s="407"/>
      <c r="AT10" s="407">
        <v>110101.63</v>
      </c>
      <c r="AU10" s="407"/>
      <c r="AV10" s="407"/>
      <c r="AW10" s="407"/>
      <c r="AX10" s="407"/>
      <c r="AY10" s="407">
        <v>34833.279999999999</v>
      </c>
      <c r="AZ10" s="407"/>
      <c r="BA10" s="407"/>
      <c r="BB10" s="407"/>
      <c r="BC10" s="407"/>
      <c r="BD10" s="427">
        <v>19302.72</v>
      </c>
      <c r="BE10" s="407"/>
      <c r="BF10" s="407"/>
      <c r="BG10" s="407"/>
      <c r="BH10" s="407"/>
      <c r="BI10" s="407">
        <v>54239.17</v>
      </c>
      <c r="BJ10" s="407"/>
      <c r="BK10" s="407"/>
      <c r="BL10" s="407"/>
      <c r="BM10" s="407"/>
      <c r="BN10" s="407">
        <v>9240.6200000000008</v>
      </c>
      <c r="BO10" s="407"/>
      <c r="BP10" s="407"/>
      <c r="BQ10" s="407"/>
      <c r="BR10" s="407"/>
      <c r="BS10" s="407">
        <v>112655.54</v>
      </c>
      <c r="BT10" s="407"/>
      <c r="BU10" s="407"/>
      <c r="BV10" s="407"/>
      <c r="BW10" s="407"/>
      <c r="BX10" s="407">
        <v>241422.14</v>
      </c>
      <c r="BY10" s="427"/>
      <c r="BZ10" s="407"/>
      <c r="CA10" s="407"/>
      <c r="CB10" s="407"/>
      <c r="CC10" s="407">
        <v>71142.41</v>
      </c>
      <c r="CD10" s="407"/>
      <c r="CE10" s="407"/>
      <c r="CF10" s="407"/>
      <c r="CG10" s="407"/>
      <c r="CH10" s="407">
        <v>38958.519999999997</v>
      </c>
      <c r="CI10" s="407"/>
      <c r="CJ10" s="407"/>
      <c r="CK10" s="407"/>
      <c r="CL10" s="407"/>
      <c r="CM10" s="407">
        <v>40398.559999999998</v>
      </c>
      <c r="CN10" s="407"/>
      <c r="CO10" s="407"/>
      <c r="CP10" s="407"/>
      <c r="CQ10" s="407">
        <v>105787.94</v>
      </c>
      <c r="CR10" s="407"/>
      <c r="CS10" s="407"/>
      <c r="CT10" s="427"/>
      <c r="CU10" s="407"/>
      <c r="CV10" s="407">
        <v>202527.71</v>
      </c>
      <c r="CW10" s="407"/>
      <c r="CX10" s="407"/>
      <c r="CY10" s="407"/>
      <c r="CZ10" s="407"/>
      <c r="DA10" s="407">
        <v>403531.72</v>
      </c>
      <c r="DB10" s="407"/>
      <c r="DC10" s="407"/>
      <c r="DD10" s="407"/>
      <c r="DE10" s="407"/>
      <c r="DF10" s="407">
        <v>67954.73</v>
      </c>
      <c r="DG10" s="407"/>
      <c r="DH10" s="407"/>
      <c r="DI10" s="407"/>
      <c r="DJ10" s="407">
        <v>64584.23</v>
      </c>
      <c r="DK10" s="407"/>
      <c r="DL10" s="407"/>
      <c r="DM10" s="407"/>
      <c r="DN10" s="407"/>
      <c r="DO10" s="427"/>
      <c r="DP10" s="407"/>
      <c r="DQ10" s="407"/>
      <c r="DR10" s="407"/>
      <c r="DS10" s="407"/>
      <c r="DT10" s="407">
        <v>5712.91</v>
      </c>
      <c r="DU10" s="407"/>
      <c r="DV10" s="407"/>
      <c r="DW10" s="407"/>
      <c r="DX10" s="407"/>
      <c r="DY10" s="407">
        <v>4783.5600000000004</v>
      </c>
      <c r="DZ10" s="407"/>
      <c r="EA10" s="407"/>
      <c r="EB10" s="407"/>
      <c r="EC10" s="407"/>
      <c r="ED10" s="407">
        <v>12747.06</v>
      </c>
      <c r="EE10" s="407"/>
      <c r="EF10" s="407"/>
      <c r="EG10" s="407"/>
      <c r="EH10" s="407"/>
      <c r="EI10" s="407">
        <v>481.9</v>
      </c>
      <c r="EJ10" s="427"/>
      <c r="EK10" s="407"/>
      <c r="EL10" s="407"/>
      <c r="EM10" s="407"/>
      <c r="EN10" s="407">
        <v>4644.58</v>
      </c>
      <c r="EO10" s="407"/>
      <c r="EP10" s="407"/>
      <c r="EQ10" s="407"/>
      <c r="ER10" s="407"/>
      <c r="ES10" s="407"/>
      <c r="ET10" s="407"/>
      <c r="EU10" s="407"/>
      <c r="EV10" s="407"/>
      <c r="EW10" s="407"/>
      <c r="EX10" s="407">
        <v>1092.02</v>
      </c>
      <c r="EY10" s="407"/>
      <c r="EZ10" s="407"/>
      <c r="FA10" s="407"/>
      <c r="FB10" s="407"/>
      <c r="FC10" s="407"/>
      <c r="FD10" s="407"/>
      <c r="FE10" s="407"/>
      <c r="FF10" s="427"/>
      <c r="FG10" s="407">
        <v>490</v>
      </c>
      <c r="FH10" s="407"/>
      <c r="FI10" s="407"/>
      <c r="FJ10" s="407"/>
      <c r="FK10" s="407"/>
      <c r="FL10" s="407"/>
      <c r="FM10" s="407"/>
      <c r="FN10" s="431">
        <v>65831.94</v>
      </c>
      <c r="FO10" s="407"/>
      <c r="FP10" s="407"/>
      <c r="FQ10" s="407">
        <v>611.44000000000005</v>
      </c>
      <c r="FR10" s="407">
        <v>41953.05</v>
      </c>
      <c r="FS10" s="407"/>
      <c r="FT10" s="407"/>
      <c r="FU10" s="407"/>
      <c r="FV10" s="407"/>
      <c r="FW10" s="407"/>
      <c r="FX10" s="407"/>
      <c r="FY10" s="407"/>
      <c r="FZ10" s="407"/>
      <c r="GA10" s="427"/>
      <c r="GB10" s="407"/>
      <c r="GC10" s="407"/>
      <c r="GD10" s="407"/>
      <c r="GE10" s="407">
        <v>40673.9</v>
      </c>
      <c r="GF10" s="407"/>
      <c r="GG10" s="431"/>
      <c r="GH10" s="407"/>
      <c r="GI10" s="431"/>
      <c r="GJ10" s="407">
        <v>4404666.28</v>
      </c>
      <c r="GK10" s="407"/>
      <c r="GL10" s="407"/>
      <c r="GM10" s="407"/>
      <c r="GN10" s="407"/>
      <c r="GO10" s="407">
        <v>34353.79</v>
      </c>
      <c r="GP10" s="407"/>
      <c r="GQ10" s="407"/>
      <c r="GR10" s="407"/>
      <c r="GS10" s="407"/>
      <c r="GT10" s="407">
        <v>7135.84</v>
      </c>
      <c r="GU10" s="427"/>
      <c r="GV10" s="407"/>
      <c r="GW10" s="407"/>
      <c r="GX10" s="407">
        <v>86904.71</v>
      </c>
      <c r="GY10" s="407"/>
      <c r="GZ10" s="407"/>
      <c r="HA10" s="407"/>
      <c r="HB10" s="407"/>
      <c r="HC10" s="431">
        <v>36802.44</v>
      </c>
      <c r="HD10" s="407"/>
      <c r="HE10" s="407"/>
      <c r="HF10" s="407"/>
      <c r="HG10" s="407">
        <v>13101.56</v>
      </c>
      <c r="HH10" s="407"/>
      <c r="HI10" s="407"/>
      <c r="HJ10" s="407"/>
      <c r="HK10" s="407"/>
      <c r="HL10" s="407">
        <v>87491.01</v>
      </c>
      <c r="HM10" s="407"/>
      <c r="HN10" s="407"/>
      <c r="HO10" s="407"/>
      <c r="HP10" s="427"/>
      <c r="HQ10" s="407">
        <v>54764.1</v>
      </c>
      <c r="HR10" s="407"/>
      <c r="HS10" s="407"/>
      <c r="HT10" s="407"/>
      <c r="HU10" s="407"/>
      <c r="HV10" s="407">
        <f>33936.13+434.53</f>
        <v>34370.659999999996</v>
      </c>
      <c r="HW10" s="407"/>
      <c r="HX10" s="431"/>
      <c r="HY10" s="407"/>
      <c r="HZ10" s="407"/>
      <c r="IA10" s="407">
        <v>49020.38</v>
      </c>
      <c r="IB10" s="407"/>
      <c r="IC10" s="407"/>
      <c r="ID10" s="407"/>
      <c r="IE10" s="407"/>
      <c r="IF10" s="407">
        <v>119573.19</v>
      </c>
      <c r="IG10" s="407"/>
      <c r="IH10" s="407"/>
      <c r="II10" s="407"/>
      <c r="IJ10" s="407"/>
      <c r="IK10" s="407">
        <v>23258.34</v>
      </c>
      <c r="IL10" s="427"/>
      <c r="IM10" s="407"/>
      <c r="IN10" s="407"/>
      <c r="IO10" s="407"/>
      <c r="IP10" s="407">
        <v>13665.26</v>
      </c>
      <c r="IQ10" s="407"/>
      <c r="IR10" s="407"/>
      <c r="IS10" s="407"/>
      <c r="IT10" s="407">
        <v>90988.479999999996</v>
      </c>
      <c r="IU10" s="407"/>
      <c r="IV10" s="407"/>
      <c r="IW10" s="4">
        <f t="shared" si="8"/>
        <v>7586867.8300000001</v>
      </c>
      <c r="IX10" s="7"/>
      <c r="IY10" s="7"/>
      <c r="IZ10" s="7"/>
      <c r="JA10" s="7"/>
      <c r="JB10" s="7"/>
      <c r="JC10" s="7"/>
      <c r="JD10" s="7"/>
      <c r="JE10" s="7"/>
      <c r="JF10" s="7"/>
      <c r="JH10" s="200">
        <f>'FY-09, FEB-09 - JAN-10, w TANs'!IT10</f>
        <v>0</v>
      </c>
      <c r="JI10" s="4">
        <f>'FY-09, FEB-09 - JAN-10, w TANs'!IU10</f>
        <v>6599286.7400000002</v>
      </c>
    </row>
    <row r="11" spans="1:269" ht="14.1" customHeight="1" thickBot="1">
      <c r="A11" s="407" t="s">
        <v>7</v>
      </c>
      <c r="B11" s="407"/>
      <c r="C11" s="427">
        <v>0</v>
      </c>
      <c r="D11" s="407">
        <v>1.76</v>
      </c>
      <c r="E11" s="407">
        <v>0</v>
      </c>
      <c r="F11" s="407"/>
      <c r="G11" s="407"/>
      <c r="H11" s="407"/>
      <c r="I11" s="407"/>
      <c r="J11" s="407"/>
      <c r="K11" s="407"/>
      <c r="L11" s="407"/>
      <c r="M11" s="427">
        <v>16147.33</v>
      </c>
      <c r="N11" s="407">
        <f>1431.13+3421.25+3381.3</f>
        <v>8233.68</v>
      </c>
      <c r="O11" s="407">
        <v>394.28</v>
      </c>
      <c r="P11" s="407"/>
      <c r="Q11" s="407"/>
      <c r="R11" s="407"/>
      <c r="S11" s="407"/>
      <c r="T11" s="407"/>
      <c r="U11" s="407">
        <v>4832.55</v>
      </c>
      <c r="V11" s="407"/>
      <c r="W11" s="407">
        <v>2.0299999999999998</v>
      </c>
      <c r="X11" s="407"/>
      <c r="Y11" s="407"/>
      <c r="Z11" s="407"/>
      <c r="AA11" s="407">
        <v>3629970</v>
      </c>
      <c r="AB11" s="407">
        <v>7546.15</v>
      </c>
      <c r="AC11" s="407"/>
      <c r="AD11" s="407"/>
      <c r="AE11" s="407"/>
      <c r="AF11" s="407">
        <v>1384</v>
      </c>
      <c r="AG11" s="427">
        <v>5641.42</v>
      </c>
      <c r="AH11" s="407">
        <v>1003.76</v>
      </c>
      <c r="AI11" s="407"/>
      <c r="AJ11" s="407"/>
      <c r="AK11" s="407"/>
      <c r="AL11" s="407">
        <v>1935</v>
      </c>
      <c r="AM11" s="407">
        <v>94362.81</v>
      </c>
      <c r="AN11" s="407"/>
      <c r="AO11" s="569"/>
      <c r="AP11" s="407"/>
      <c r="AQ11" s="407"/>
      <c r="AR11" s="407"/>
      <c r="AS11" s="407"/>
      <c r="AT11" s="407">
        <v>6.27</v>
      </c>
      <c r="AU11" s="407"/>
      <c r="AV11" s="407"/>
      <c r="AW11" s="407"/>
      <c r="AX11" s="407"/>
      <c r="AY11" s="407"/>
      <c r="AZ11" s="407">
        <f>3381.3+2145.15</f>
        <v>5526.4500000000007</v>
      </c>
      <c r="BA11" s="407"/>
      <c r="BB11" s="407"/>
      <c r="BC11" s="407"/>
      <c r="BD11" s="427">
        <v>862.52</v>
      </c>
      <c r="BE11" s="407"/>
      <c r="BF11" s="407"/>
      <c r="BG11" s="407"/>
      <c r="BH11" s="407">
        <v>3386.25</v>
      </c>
      <c r="BI11" s="407"/>
      <c r="BJ11" s="407"/>
      <c r="BK11" s="407"/>
      <c r="BL11" s="407"/>
      <c r="BM11" s="407"/>
      <c r="BN11" s="407">
        <v>0.43</v>
      </c>
      <c r="BO11" s="407"/>
      <c r="BP11" s="407">
        <f>1930.05+1.25</f>
        <v>1931.3</v>
      </c>
      <c r="BQ11" s="407">
        <v>10</v>
      </c>
      <c r="BR11" s="407"/>
      <c r="BS11" s="407">
        <v>1954.8</v>
      </c>
      <c r="BT11" s="407">
        <v>3319.21</v>
      </c>
      <c r="BU11" s="407">
        <v>5308.26</v>
      </c>
      <c r="BV11" s="407">
        <v>1570</v>
      </c>
      <c r="BW11" s="407"/>
      <c r="BX11" s="407">
        <v>763.76</v>
      </c>
      <c r="BY11" s="427"/>
      <c r="BZ11" s="407"/>
      <c r="CA11" s="407"/>
      <c r="CB11" s="407">
        <v>4839.99</v>
      </c>
      <c r="CC11" s="407"/>
      <c r="CD11" s="407"/>
      <c r="CE11" s="407"/>
      <c r="CF11" s="407"/>
      <c r="CG11" s="407"/>
      <c r="CH11" s="407"/>
      <c r="CI11" s="407"/>
      <c r="CJ11" s="407"/>
      <c r="CK11" s="407"/>
      <c r="CL11" s="407"/>
      <c r="CM11" s="407"/>
      <c r="CN11" s="407">
        <v>1391.62</v>
      </c>
      <c r="CO11" s="407"/>
      <c r="CP11" s="407"/>
      <c r="CQ11" s="407"/>
      <c r="CR11" s="407"/>
      <c r="CS11" s="407"/>
      <c r="CT11" s="427">
        <v>556.30999999999995</v>
      </c>
      <c r="CU11" s="407"/>
      <c r="CV11" s="407"/>
      <c r="CW11" s="407"/>
      <c r="CX11" s="407">
        <v>525</v>
      </c>
      <c r="CY11" s="407"/>
      <c r="CZ11" s="407"/>
      <c r="DA11" s="407"/>
      <c r="DB11" s="407"/>
      <c r="DC11" s="407"/>
      <c r="DD11" s="407"/>
      <c r="DE11" s="407"/>
      <c r="DF11" s="407"/>
      <c r="DG11" s="407"/>
      <c r="DH11" s="407"/>
      <c r="DI11" s="407"/>
      <c r="DJ11" s="407">
        <v>0.04</v>
      </c>
      <c r="DK11" s="407">
        <v>1454.74</v>
      </c>
      <c r="DL11" s="407"/>
      <c r="DM11" s="407"/>
      <c r="DN11" s="407"/>
      <c r="DO11" s="427">
        <v>430.96</v>
      </c>
      <c r="DP11" s="407"/>
      <c r="DQ11" s="407"/>
      <c r="DR11" s="407"/>
      <c r="DS11" s="407"/>
      <c r="DT11" s="407"/>
      <c r="DU11" s="407"/>
      <c r="DV11" s="407"/>
      <c r="DW11" s="407"/>
      <c r="DX11" s="407"/>
      <c r="DY11" s="407">
        <v>24617.83</v>
      </c>
      <c r="DZ11" s="407"/>
      <c r="EA11" s="407"/>
      <c r="EB11" s="407"/>
      <c r="EC11" s="407"/>
      <c r="ED11" s="407"/>
      <c r="EE11" s="407"/>
      <c r="EF11" s="407"/>
      <c r="EG11" s="769">
        <v>30000000</v>
      </c>
      <c r="EH11" s="407">
        <v>10760.62</v>
      </c>
      <c r="EI11" s="407"/>
      <c r="EJ11" s="427"/>
      <c r="EK11" s="407">
        <v>446.07</v>
      </c>
      <c r="EL11" s="407"/>
      <c r="EM11" s="407"/>
      <c r="EN11" s="407"/>
      <c r="EO11" s="407"/>
      <c r="EP11" s="407"/>
      <c r="EQ11" s="407"/>
      <c r="ER11" s="771">
        <v>4377373</v>
      </c>
      <c r="ES11" s="407"/>
      <c r="ET11" s="407"/>
      <c r="EU11" s="407"/>
      <c r="EV11" s="407"/>
      <c r="EW11" s="407"/>
      <c r="EX11" s="407"/>
      <c r="EY11" s="407"/>
      <c r="EZ11" s="407"/>
      <c r="FA11" s="407"/>
      <c r="FB11" s="769">
        <v>50000000</v>
      </c>
      <c r="FC11" s="407">
        <v>1262.3</v>
      </c>
      <c r="FD11" s="407"/>
      <c r="FE11" s="407"/>
      <c r="FF11" s="427">
        <v>569.71</v>
      </c>
      <c r="FG11" s="407"/>
      <c r="FH11" s="407"/>
      <c r="FI11" s="407"/>
      <c r="FJ11" s="407"/>
      <c r="FK11" s="407"/>
      <c r="FL11" s="407"/>
      <c r="FM11" s="407">
        <v>223907.38</v>
      </c>
      <c r="FN11" s="723">
        <v>1151072</v>
      </c>
      <c r="FO11" s="407"/>
      <c r="FP11" s="407"/>
      <c r="FQ11" s="407"/>
      <c r="FR11" s="407"/>
      <c r="FS11" s="407"/>
      <c r="FT11" s="407"/>
      <c r="FU11" s="407"/>
      <c r="FV11" s="407"/>
      <c r="FW11" s="407"/>
      <c r="FX11" s="407"/>
      <c r="FY11" s="407"/>
      <c r="FZ11" s="407">
        <v>1612.98</v>
      </c>
      <c r="GA11" s="427"/>
      <c r="GB11" s="407">
        <v>282.77999999999997</v>
      </c>
      <c r="GC11" s="407"/>
      <c r="GD11" s="407"/>
      <c r="GE11" s="407"/>
      <c r="GF11" s="407"/>
      <c r="GG11" s="771">
        <v>6318681</v>
      </c>
      <c r="GH11" s="407"/>
      <c r="GI11" s="778">
        <v>2252360</v>
      </c>
      <c r="GJ11" s="407"/>
      <c r="GK11" s="407"/>
      <c r="GL11" s="407"/>
      <c r="GM11" s="407"/>
      <c r="GN11" s="407"/>
      <c r="GO11" s="407"/>
      <c r="GP11" s="407"/>
      <c r="GQ11" s="407"/>
      <c r="GR11" s="407"/>
      <c r="GS11" s="407"/>
      <c r="GT11" s="407"/>
      <c r="GU11" s="427">
        <v>1679.11</v>
      </c>
      <c r="GV11" s="407">
        <v>584.97</v>
      </c>
      <c r="GW11" s="407"/>
      <c r="GX11" s="407"/>
      <c r="GY11" s="407"/>
      <c r="GZ11" s="407"/>
      <c r="HA11" s="407"/>
      <c r="HB11" s="407"/>
      <c r="HC11" s="723">
        <v>5462203</v>
      </c>
      <c r="HD11" s="407"/>
      <c r="HE11" s="407"/>
      <c r="HF11" s="407"/>
      <c r="HG11" s="407"/>
      <c r="HH11" s="407"/>
      <c r="HI11" s="407"/>
      <c r="HJ11" s="407"/>
      <c r="HK11" s="407">
        <v>999.07</v>
      </c>
      <c r="HL11" s="407"/>
      <c r="HM11" s="407"/>
      <c r="HN11" s="407"/>
      <c r="HO11" s="407"/>
      <c r="HP11" s="427">
        <v>929.92</v>
      </c>
      <c r="HQ11" s="407"/>
      <c r="HR11" s="407"/>
      <c r="HS11" s="407"/>
      <c r="HT11" s="407"/>
      <c r="HU11" s="407"/>
      <c r="HV11" s="407"/>
      <c r="HW11" s="730"/>
      <c r="HX11" s="771">
        <v>1135264</v>
      </c>
      <c r="HY11" s="407"/>
      <c r="HZ11" s="407"/>
      <c r="IA11" s="407"/>
      <c r="IB11" s="407"/>
      <c r="IC11" s="407"/>
      <c r="ID11" s="407"/>
      <c r="IE11" s="407"/>
      <c r="IF11" s="407"/>
      <c r="IG11" s="407"/>
      <c r="IH11" s="407"/>
      <c r="II11" s="407"/>
      <c r="IJ11" s="407">
        <v>1066.0899999999999</v>
      </c>
      <c r="IK11" s="407"/>
      <c r="IL11" s="427">
        <v>10067.709999999999</v>
      </c>
      <c r="IM11" s="407"/>
      <c r="IN11" s="407"/>
      <c r="IO11" s="407"/>
      <c r="IP11" s="407"/>
      <c r="IQ11" s="407"/>
      <c r="IR11" s="407"/>
      <c r="IS11" s="407"/>
      <c r="IT11" s="407"/>
      <c r="IU11" s="407"/>
      <c r="IV11" s="407"/>
      <c r="IW11" s="4">
        <f t="shared" si="8"/>
        <v>104781032.21999997</v>
      </c>
      <c r="IX11" s="7"/>
      <c r="IY11" s="7"/>
      <c r="IZ11" s="7"/>
      <c r="JA11" s="7"/>
      <c r="JB11" s="7"/>
      <c r="JC11" s="7"/>
      <c r="JD11" s="7"/>
      <c r="JE11" s="7"/>
      <c r="JF11" s="7"/>
      <c r="JH11" s="200">
        <f>'FY-09, FEB-09 - JAN-10, w TANs'!IT11</f>
        <v>0</v>
      </c>
      <c r="JI11" s="4">
        <f>'FY-09, FEB-09 - JAN-10, w TANs'!IU11</f>
        <v>108795507.59999999</v>
      </c>
    </row>
    <row r="12" spans="1:269" ht="14.1" customHeight="1">
      <c r="A12" s="407" t="s">
        <v>38</v>
      </c>
      <c r="B12" s="430"/>
      <c r="C12" s="427">
        <v>0</v>
      </c>
      <c r="D12" s="407">
        <v>0</v>
      </c>
      <c r="E12" s="407">
        <v>70687.350000000006</v>
      </c>
      <c r="F12" s="407"/>
      <c r="G12" s="407"/>
      <c r="H12" s="407"/>
      <c r="I12" s="407"/>
      <c r="J12" s="407"/>
      <c r="K12" s="407">
        <v>57930.65</v>
      </c>
      <c r="L12" s="407"/>
      <c r="M12" s="427"/>
      <c r="N12" s="407"/>
      <c r="O12" s="407">
        <v>73829.649999999994</v>
      </c>
      <c r="P12" s="407">
        <v>11755.8</v>
      </c>
      <c r="Q12" s="407">
        <v>1902695.57</v>
      </c>
      <c r="R12" s="407"/>
      <c r="S12" s="407"/>
      <c r="T12" s="407"/>
      <c r="U12" s="407">
        <v>2809136.74</v>
      </c>
      <c r="V12" s="407"/>
      <c r="W12" s="407"/>
      <c r="X12" s="407"/>
      <c r="Y12" s="407"/>
      <c r="Z12" s="407"/>
      <c r="AA12" s="407"/>
      <c r="AB12" s="407">
        <v>70435.81</v>
      </c>
      <c r="AC12" s="407"/>
      <c r="AD12" s="407"/>
      <c r="AE12" s="407"/>
      <c r="AF12" s="407"/>
      <c r="AG12" s="427"/>
      <c r="AH12" s="407"/>
      <c r="AI12" s="407"/>
      <c r="AJ12" s="407"/>
      <c r="AK12" s="407"/>
      <c r="AL12" s="407"/>
      <c r="AM12" s="407"/>
      <c r="AN12" s="407"/>
      <c r="AO12" s="569"/>
      <c r="AP12" s="407"/>
      <c r="AQ12" s="407"/>
      <c r="AR12" s="407"/>
      <c r="AS12" s="407">
        <v>13092.79</v>
      </c>
      <c r="AT12" s="407"/>
      <c r="AU12" s="407"/>
      <c r="AV12" s="407"/>
      <c r="AW12" s="407"/>
      <c r="AX12" s="407"/>
      <c r="AY12" s="407"/>
      <c r="AZ12" s="407"/>
      <c r="BA12" s="407">
        <f>22572.41+16443.89</f>
        <v>39016.300000000003</v>
      </c>
      <c r="BB12" s="407"/>
      <c r="BC12" s="407">
        <v>3897.63</v>
      </c>
      <c r="BD12" s="427"/>
      <c r="BE12" s="407"/>
      <c r="BF12" s="407">
        <v>17974.32</v>
      </c>
      <c r="BG12" s="407"/>
      <c r="BH12" s="407">
        <v>13718.5</v>
      </c>
      <c r="BI12" s="407"/>
      <c r="BJ12" s="407"/>
      <c r="BK12" s="407"/>
      <c r="BL12" s="407">
        <v>22118.19</v>
      </c>
      <c r="BM12" s="407"/>
      <c r="BN12" s="407">
        <v>31671.64</v>
      </c>
      <c r="BO12" s="407"/>
      <c r="BP12" s="407">
        <v>1799.61</v>
      </c>
      <c r="BQ12" s="407"/>
      <c r="BR12" s="407"/>
      <c r="BS12" s="407"/>
      <c r="BT12" s="407"/>
      <c r="BU12" s="407"/>
      <c r="BV12" s="407"/>
      <c r="BW12" s="407"/>
      <c r="BX12" s="407"/>
      <c r="BY12" s="427"/>
      <c r="BZ12" s="407"/>
      <c r="CA12" s="407"/>
      <c r="CB12" s="407"/>
      <c r="CC12" s="407"/>
      <c r="CD12" s="407"/>
      <c r="CE12" s="407"/>
      <c r="CF12" s="407"/>
      <c r="CG12" s="407"/>
      <c r="CH12" s="407"/>
      <c r="CI12" s="407"/>
      <c r="CJ12" s="407"/>
      <c r="CK12" s="407">
        <v>133154.25</v>
      </c>
      <c r="CL12" s="407"/>
      <c r="CM12" s="407">
        <v>28132.55</v>
      </c>
      <c r="CN12" s="407"/>
      <c r="CO12" s="407"/>
      <c r="CP12" s="407"/>
      <c r="CQ12" s="407"/>
      <c r="CR12" s="407"/>
      <c r="CS12" s="407">
        <v>50941.17</v>
      </c>
      <c r="CT12" s="427"/>
      <c r="CU12" s="407"/>
      <c r="CV12" s="407"/>
      <c r="CW12" s="407"/>
      <c r="CX12" s="407"/>
      <c r="CY12" s="407">
        <v>33739.46</v>
      </c>
      <c r="CZ12" s="407"/>
      <c r="DA12" s="407">
        <v>26617</v>
      </c>
      <c r="DB12" s="407"/>
      <c r="DC12" s="407">
        <v>24637.41</v>
      </c>
      <c r="DD12" s="407"/>
      <c r="DE12" s="407"/>
      <c r="DF12" s="407"/>
      <c r="DG12" s="407"/>
      <c r="DH12" s="407"/>
      <c r="DI12" s="407"/>
      <c r="DJ12" s="407"/>
      <c r="DK12" s="407"/>
      <c r="DL12" s="407"/>
      <c r="DM12" s="407"/>
      <c r="DN12" s="407"/>
      <c r="DO12" s="427"/>
      <c r="DP12" s="407"/>
      <c r="DQ12" s="407"/>
      <c r="DR12" s="407"/>
      <c r="DS12" s="407"/>
      <c r="DT12" s="407"/>
      <c r="DU12" s="407">
        <v>15996.36</v>
      </c>
      <c r="DV12" s="407"/>
      <c r="DW12" s="407"/>
      <c r="DX12" s="407"/>
      <c r="DY12" s="407"/>
      <c r="DZ12" s="407">
        <v>16733.060000000001</v>
      </c>
      <c r="EA12" s="407"/>
      <c r="EB12" s="407"/>
      <c r="EC12" s="407"/>
      <c r="ED12" s="407"/>
      <c r="EE12" s="407">
        <v>1174.3900000000001</v>
      </c>
      <c r="EF12" s="407"/>
      <c r="EG12" s="407"/>
      <c r="EH12" s="407">
        <v>49285.97</v>
      </c>
      <c r="EI12" s="407">
        <v>198090.99</v>
      </c>
      <c r="EJ12" s="427"/>
      <c r="EK12" s="407"/>
      <c r="EL12" s="407"/>
      <c r="EM12" s="407"/>
      <c r="EN12" s="407"/>
      <c r="EO12" s="407"/>
      <c r="EP12" s="407"/>
      <c r="EQ12" s="407"/>
      <c r="ER12" s="687">
        <v>12400.86</v>
      </c>
      <c r="ES12" s="407"/>
      <c r="ET12" s="407"/>
      <c r="EU12" s="407"/>
      <c r="EV12" s="407"/>
      <c r="EW12" s="407"/>
      <c r="EX12" s="407"/>
      <c r="EY12" s="407"/>
      <c r="EZ12" s="407"/>
      <c r="FA12" s="407"/>
      <c r="FB12" s="407">
        <v>2002.58</v>
      </c>
      <c r="FC12" s="407"/>
      <c r="FD12" s="407">
        <v>6135.64</v>
      </c>
      <c r="FE12" s="407"/>
      <c r="FF12" s="427"/>
      <c r="FG12" s="407"/>
      <c r="FH12" s="407"/>
      <c r="FI12" s="407"/>
      <c r="FJ12" s="407"/>
      <c r="FK12" s="407"/>
      <c r="FL12" s="407"/>
      <c r="FM12" s="407"/>
      <c r="FN12" s="700">
        <v>0</v>
      </c>
      <c r="FO12" s="407"/>
      <c r="FP12" s="407"/>
      <c r="FQ12" s="407"/>
      <c r="FR12" s="407"/>
      <c r="FS12" s="407"/>
      <c r="FT12" s="407"/>
      <c r="FU12" s="407"/>
      <c r="FV12" s="407">
        <v>1508.79</v>
      </c>
      <c r="FW12" s="407"/>
      <c r="FX12" s="407"/>
      <c r="FY12" s="407">
        <v>60</v>
      </c>
      <c r="FZ12" s="407">
        <v>1965.66</v>
      </c>
      <c r="GA12" s="427"/>
      <c r="GB12" s="407"/>
      <c r="GC12" s="407">
        <v>18514.150000000001</v>
      </c>
      <c r="GD12" s="407"/>
      <c r="GE12" s="407"/>
      <c r="GF12" s="407"/>
      <c r="GG12" s="700">
        <f>6601860-6318681</f>
        <v>283179</v>
      </c>
      <c r="GH12" s="407"/>
      <c r="GI12" s="700"/>
      <c r="GJ12" s="407"/>
      <c r="GK12" s="407"/>
      <c r="GL12" s="407"/>
      <c r="GM12" s="407"/>
      <c r="GN12" s="407"/>
      <c r="GO12" s="407"/>
      <c r="GP12" s="407">
        <v>4271.34</v>
      </c>
      <c r="GQ12" s="407"/>
      <c r="GR12" s="407"/>
      <c r="GS12" s="407"/>
      <c r="GT12" s="407">
        <v>37645.11</v>
      </c>
      <c r="GU12" s="427">
        <v>11905.89</v>
      </c>
      <c r="GV12" s="407"/>
      <c r="GW12" s="407"/>
      <c r="GX12" s="407"/>
      <c r="GY12" s="407"/>
      <c r="GZ12" s="407"/>
      <c r="HA12" s="407"/>
      <c r="HB12" s="407"/>
      <c r="HC12" s="700"/>
      <c r="HD12" s="407"/>
      <c r="HE12" s="407"/>
      <c r="HF12" s="407"/>
      <c r="HG12" s="407"/>
      <c r="HH12" s="407"/>
      <c r="HI12" s="407"/>
      <c r="HJ12" s="407">
        <v>4032.8</v>
      </c>
      <c r="HK12" s="407"/>
      <c r="HL12" s="407">
        <v>20011.45</v>
      </c>
      <c r="HM12" s="407"/>
      <c r="HN12" s="407"/>
      <c r="HO12" s="407">
        <v>21596.57</v>
      </c>
      <c r="HP12" s="427"/>
      <c r="HQ12" s="407"/>
      <c r="HR12" s="407"/>
      <c r="HS12" s="407"/>
      <c r="HT12" s="407"/>
      <c r="HU12" s="407"/>
      <c r="HV12" s="407"/>
      <c r="HW12" s="407"/>
      <c r="HX12" s="700"/>
      <c r="HY12" s="407"/>
      <c r="HZ12" s="407"/>
      <c r="IA12" s="407"/>
      <c r="IB12" s="407"/>
      <c r="IC12" s="407"/>
      <c r="ID12" s="407"/>
      <c r="IE12" s="407"/>
      <c r="IF12" s="407"/>
      <c r="IG12" s="407"/>
      <c r="IH12" s="407">
        <v>33795.279999999999</v>
      </c>
      <c r="II12" s="407"/>
      <c r="IJ12" s="407"/>
      <c r="IK12" s="407"/>
      <c r="IL12" s="427"/>
      <c r="IM12" s="407"/>
      <c r="IN12" s="407"/>
      <c r="IO12" s="407"/>
      <c r="IP12" s="407"/>
      <c r="IQ12" s="407"/>
      <c r="IR12" s="407"/>
      <c r="IS12" s="407">
        <v>26723.21</v>
      </c>
      <c r="IT12" s="407">
        <v>968985.64</v>
      </c>
      <c r="IU12" s="407"/>
      <c r="IV12" s="407">
        <v>1629.2</v>
      </c>
      <c r="IW12" s="4">
        <f t="shared" si="8"/>
        <v>7174626.3300000001</v>
      </c>
      <c r="IX12" s="7"/>
      <c r="IY12" s="7"/>
      <c r="IZ12" s="7"/>
      <c r="JA12" s="7"/>
      <c r="JB12" s="7"/>
      <c r="JC12" s="7"/>
      <c r="JD12" s="7"/>
      <c r="JE12" s="7"/>
      <c r="JF12" s="7"/>
      <c r="JH12" s="4">
        <f>'FY-09, FEB-09 - JAN-10, w TANs'!IT12</f>
        <v>0</v>
      </c>
      <c r="JI12" s="4">
        <f>'FY-09, FEB-09 - JAN-10, w TANs'!IU12</f>
        <v>14317478.85</v>
      </c>
    </row>
    <row r="13" spans="1:269" ht="14.1" customHeight="1">
      <c r="A13" s="32" t="s">
        <v>47</v>
      </c>
      <c r="B13" s="32"/>
      <c r="C13" s="123">
        <v>325335.06</v>
      </c>
      <c r="D13" s="32">
        <v>231263.44</v>
      </c>
      <c r="E13" s="32">
        <v>55447.42</v>
      </c>
      <c r="F13" s="32">
        <v>0</v>
      </c>
      <c r="G13" s="32">
        <v>126269.65</v>
      </c>
      <c r="H13" s="32">
        <v>156526.04</v>
      </c>
      <c r="I13" s="32">
        <v>203523.46</v>
      </c>
      <c r="J13" s="32">
        <v>192379.2</v>
      </c>
      <c r="K13" s="32">
        <v>160028.64000000001</v>
      </c>
      <c r="L13" s="32">
        <v>148591.89000000001</v>
      </c>
      <c r="M13" s="123">
        <v>189869.9</v>
      </c>
      <c r="N13" s="32">
        <v>307819.28000000003</v>
      </c>
      <c r="O13" s="32">
        <v>159349.78</v>
      </c>
      <c r="P13" s="32">
        <v>189851.73</v>
      </c>
      <c r="Q13" s="32">
        <v>202229.11</v>
      </c>
      <c r="R13" s="32">
        <v>179394.68</v>
      </c>
      <c r="S13" s="32">
        <v>123517.59</v>
      </c>
      <c r="T13" s="32">
        <v>0</v>
      </c>
      <c r="U13" s="32">
        <v>0</v>
      </c>
      <c r="V13" s="32">
        <v>3066217.38</v>
      </c>
      <c r="W13" s="32">
        <v>92669.19</v>
      </c>
      <c r="X13" s="32">
        <v>76103.92</v>
      </c>
      <c r="Y13" s="32">
        <v>3862538.54</v>
      </c>
      <c r="Z13" s="32">
        <v>219972.47</v>
      </c>
      <c r="AA13" s="32">
        <v>194307.42</v>
      </c>
      <c r="AB13" s="32">
        <v>3719484.71</v>
      </c>
      <c r="AC13" s="32">
        <v>153609.1</v>
      </c>
      <c r="AD13" s="32">
        <v>155999.60999999999</v>
      </c>
      <c r="AE13" s="32">
        <v>148170.21</v>
      </c>
      <c r="AF13" s="32">
        <v>170717.46</v>
      </c>
      <c r="AG13" s="123">
        <v>134398.41</v>
      </c>
      <c r="AH13" s="32">
        <v>153599.17000000001</v>
      </c>
      <c r="AI13" s="32">
        <v>165617.89000000001</v>
      </c>
      <c r="AJ13" s="32">
        <v>186374.39999999999</v>
      </c>
      <c r="AK13" s="32">
        <v>140849.81</v>
      </c>
      <c r="AL13" s="32">
        <v>120851.8</v>
      </c>
      <c r="AM13" s="32">
        <v>178111.87</v>
      </c>
      <c r="AN13" s="32">
        <v>202003.72</v>
      </c>
      <c r="AO13" s="570">
        <v>196071</v>
      </c>
      <c r="AP13" s="32">
        <v>229715.04</v>
      </c>
      <c r="AQ13" s="32">
        <v>195670.16</v>
      </c>
      <c r="AR13" s="32">
        <v>3844065.46</v>
      </c>
      <c r="AS13" s="32">
        <v>143695.44</v>
      </c>
      <c r="AT13" s="32">
        <v>0</v>
      </c>
      <c r="AU13" s="32">
        <v>225161.37</v>
      </c>
      <c r="AV13" s="32">
        <v>143175.56</v>
      </c>
      <c r="AW13" s="32">
        <v>211557.85</v>
      </c>
      <c r="AX13" s="32">
        <v>186550.81</v>
      </c>
      <c r="AY13" s="32">
        <v>177981.82</v>
      </c>
      <c r="AZ13" s="32">
        <v>189426</v>
      </c>
      <c r="BA13" s="32">
        <v>166996.92000000001</v>
      </c>
      <c r="BB13" s="32">
        <v>159600.20000000001</v>
      </c>
      <c r="BC13" s="32">
        <v>40897.769999999997</v>
      </c>
      <c r="BD13" s="123">
        <v>168760.06</v>
      </c>
      <c r="BE13" s="32">
        <v>183539.37</v>
      </c>
      <c r="BF13" s="32">
        <v>180075.79</v>
      </c>
      <c r="BG13" s="32">
        <v>198998.85</v>
      </c>
      <c r="BH13" s="32">
        <v>161758.39999999999</v>
      </c>
      <c r="BI13" s="32">
        <v>189752.23</v>
      </c>
      <c r="BJ13" s="32">
        <v>182873.06</v>
      </c>
      <c r="BK13" s="32">
        <v>156760</v>
      </c>
      <c r="BL13" s="32">
        <v>173412.7</v>
      </c>
      <c r="BM13" s="32">
        <v>184361.41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123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/>
      <c r="CS13" s="32">
        <v>0</v>
      </c>
      <c r="CT13" s="123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/>
      <c r="DC13" s="32"/>
      <c r="DD13" s="32"/>
      <c r="DE13" s="32"/>
      <c r="DF13" s="32"/>
      <c r="DG13" s="32"/>
      <c r="DH13" s="32"/>
      <c r="DI13" s="32"/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123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680"/>
      <c r="EF13" s="32">
        <v>0</v>
      </c>
      <c r="EG13" s="32">
        <v>0</v>
      </c>
      <c r="EH13" s="32">
        <v>0</v>
      </c>
      <c r="EI13" s="32">
        <v>0</v>
      </c>
      <c r="EJ13" s="123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123">
        <v>0</v>
      </c>
      <c r="FG13" s="32">
        <v>0</v>
      </c>
      <c r="FH13" s="32">
        <v>0</v>
      </c>
      <c r="FI13" s="32">
        <v>0</v>
      </c>
      <c r="FJ13" s="32">
        <v>0</v>
      </c>
      <c r="FK13" s="32">
        <v>0</v>
      </c>
      <c r="FL13" s="32">
        <v>0</v>
      </c>
      <c r="FM13" s="32">
        <v>0</v>
      </c>
      <c r="FN13" s="32">
        <v>0</v>
      </c>
      <c r="FO13" s="32">
        <v>0</v>
      </c>
      <c r="FP13" s="32">
        <v>0</v>
      </c>
      <c r="FQ13" s="32">
        <v>0</v>
      </c>
      <c r="FR13" s="32">
        <v>0</v>
      </c>
      <c r="FS13" s="32">
        <v>0</v>
      </c>
      <c r="FT13" s="32">
        <v>0</v>
      </c>
      <c r="FU13" s="32">
        <v>0</v>
      </c>
      <c r="FV13" s="32">
        <v>0</v>
      </c>
      <c r="FW13" s="32">
        <v>0</v>
      </c>
      <c r="FX13" s="32">
        <v>0</v>
      </c>
      <c r="FY13" s="32">
        <v>0</v>
      </c>
      <c r="FZ13" s="32">
        <v>0</v>
      </c>
      <c r="GA13" s="123">
        <v>0</v>
      </c>
      <c r="GB13" s="32">
        <v>0</v>
      </c>
      <c r="GC13" s="32">
        <v>0</v>
      </c>
      <c r="GD13" s="32">
        <v>0</v>
      </c>
      <c r="GE13" s="32">
        <v>0</v>
      </c>
      <c r="GF13" s="32">
        <v>0</v>
      </c>
      <c r="GG13" s="32">
        <v>0</v>
      </c>
      <c r="GH13" s="32">
        <v>0</v>
      </c>
      <c r="GI13" s="32">
        <v>0</v>
      </c>
      <c r="GJ13" s="32">
        <v>0</v>
      </c>
      <c r="GK13" s="32">
        <v>0</v>
      </c>
      <c r="GL13" s="32">
        <v>0</v>
      </c>
      <c r="GM13" s="32">
        <v>0</v>
      </c>
      <c r="GN13" s="32">
        <v>0</v>
      </c>
      <c r="GO13" s="32">
        <v>0</v>
      </c>
      <c r="GP13" s="32">
        <v>0</v>
      </c>
      <c r="GQ13" s="32">
        <v>0</v>
      </c>
      <c r="GR13" s="32">
        <v>0</v>
      </c>
      <c r="GS13" s="32">
        <v>0</v>
      </c>
      <c r="GT13" s="32">
        <v>0</v>
      </c>
      <c r="GU13" s="123">
        <v>0</v>
      </c>
      <c r="GV13" s="32">
        <v>0</v>
      </c>
      <c r="GW13" s="32">
        <v>0</v>
      </c>
      <c r="GX13" s="32">
        <v>0</v>
      </c>
      <c r="GY13" s="32">
        <v>0</v>
      </c>
      <c r="GZ13" s="32">
        <v>0</v>
      </c>
      <c r="HA13" s="32">
        <v>0</v>
      </c>
      <c r="HB13" s="32">
        <v>0</v>
      </c>
      <c r="HC13" s="32">
        <v>0</v>
      </c>
      <c r="HD13" s="32">
        <v>0</v>
      </c>
      <c r="HE13" s="32">
        <v>0</v>
      </c>
      <c r="HF13" s="32">
        <v>0</v>
      </c>
      <c r="HG13" s="32"/>
      <c r="HH13" s="32">
        <v>0</v>
      </c>
      <c r="HI13" s="32">
        <v>0</v>
      </c>
      <c r="HJ13" s="32">
        <v>0</v>
      </c>
      <c r="HK13" s="32"/>
      <c r="HL13" s="32"/>
      <c r="HM13" s="32"/>
      <c r="HN13" s="32">
        <v>0</v>
      </c>
      <c r="HO13" s="32">
        <v>0</v>
      </c>
      <c r="HP13" s="123">
        <v>0</v>
      </c>
      <c r="HQ13" s="32">
        <v>0</v>
      </c>
      <c r="HR13" s="32">
        <v>0</v>
      </c>
      <c r="HS13" s="32">
        <v>0</v>
      </c>
      <c r="HT13" s="32">
        <v>0</v>
      </c>
      <c r="HU13" s="32">
        <v>0</v>
      </c>
      <c r="HV13" s="32">
        <v>0</v>
      </c>
      <c r="HW13" s="32">
        <v>0</v>
      </c>
      <c r="HX13" s="32">
        <v>0</v>
      </c>
      <c r="HY13" s="32">
        <v>0</v>
      </c>
      <c r="HZ13" s="32">
        <v>0</v>
      </c>
      <c r="IA13" s="32">
        <v>0</v>
      </c>
      <c r="IB13" s="32">
        <v>0</v>
      </c>
      <c r="IC13" s="32">
        <v>0</v>
      </c>
      <c r="ID13" s="32">
        <v>0</v>
      </c>
      <c r="IE13" s="32">
        <v>0</v>
      </c>
      <c r="IF13" s="32">
        <v>0</v>
      </c>
      <c r="IG13" s="32">
        <v>0</v>
      </c>
      <c r="IH13" s="32">
        <v>0</v>
      </c>
      <c r="II13" s="32"/>
      <c r="IJ13" s="32">
        <v>0</v>
      </c>
      <c r="IK13" s="32">
        <v>0</v>
      </c>
      <c r="IL13" s="123">
        <v>0</v>
      </c>
      <c r="IM13" s="32">
        <v>0</v>
      </c>
      <c r="IN13" s="32">
        <v>0</v>
      </c>
      <c r="IO13" s="32">
        <v>0</v>
      </c>
      <c r="IP13" s="32">
        <v>0</v>
      </c>
      <c r="IQ13" s="32">
        <v>0</v>
      </c>
      <c r="IR13" s="32">
        <v>0</v>
      </c>
      <c r="IS13" s="32">
        <v>0</v>
      </c>
      <c r="IT13" s="32">
        <v>0</v>
      </c>
      <c r="IU13" s="32">
        <v>0</v>
      </c>
      <c r="IV13" s="32">
        <v>0</v>
      </c>
      <c r="IW13" s="4">
        <f t="shared" si="8"/>
        <v>23658516.160000004</v>
      </c>
      <c r="IX13" s="7"/>
      <c r="IY13" s="7"/>
      <c r="IZ13" s="7"/>
      <c r="JA13" s="7"/>
      <c r="JB13" s="7"/>
      <c r="JC13" s="7"/>
      <c r="JD13" s="7"/>
      <c r="JE13" s="7"/>
      <c r="JF13" s="7"/>
      <c r="JH13" s="200"/>
      <c r="JI13" s="4"/>
    </row>
    <row r="14" spans="1:269" ht="14.1" customHeight="1">
      <c r="A14" s="407" t="s">
        <v>4</v>
      </c>
      <c r="B14" s="430"/>
      <c r="C14" s="427">
        <v>29948738.489999998</v>
      </c>
      <c r="D14" s="407">
        <v>18423707.309999999</v>
      </c>
      <c r="E14" s="407">
        <v>93532049.140000001</v>
      </c>
      <c r="F14" s="407">
        <v>29938966.739999998</v>
      </c>
      <c r="G14" s="407">
        <v>22083708.960000001</v>
      </c>
      <c r="H14" s="407">
        <v>22608083.5</v>
      </c>
      <c r="I14" s="407">
        <v>973932.34</v>
      </c>
      <c r="J14" s="407">
        <v>38818576.57</v>
      </c>
      <c r="K14" s="407">
        <v>18717673.379999999</v>
      </c>
      <c r="L14" s="407">
        <v>15864172.67</v>
      </c>
      <c r="M14" s="427">
        <v>2042588.94</v>
      </c>
      <c r="N14" s="407">
        <v>0</v>
      </c>
      <c r="O14" s="407">
        <v>528665.51</v>
      </c>
      <c r="P14" s="407">
        <v>74168.69</v>
      </c>
      <c r="Q14" s="407">
        <v>455126.12</v>
      </c>
      <c r="R14" s="407">
        <v>657028.26</v>
      </c>
      <c r="S14" s="407">
        <v>529898.97</v>
      </c>
      <c r="T14" s="407">
        <v>958850.66</v>
      </c>
      <c r="U14" s="407">
        <v>2806979.08</v>
      </c>
      <c r="V14" s="407">
        <v>608533.41</v>
      </c>
      <c r="W14" s="407">
        <v>883674.32</v>
      </c>
      <c r="X14" s="407">
        <v>1565561.71</v>
      </c>
      <c r="Y14" s="407">
        <v>1426310.92</v>
      </c>
      <c r="Z14" s="407">
        <v>806605.66</v>
      </c>
      <c r="AA14" s="407">
        <v>1349023.54</v>
      </c>
      <c r="AB14" s="407">
        <v>1362098.94</v>
      </c>
      <c r="AC14" s="407">
        <v>761095.99</v>
      </c>
      <c r="AD14" s="407">
        <v>0</v>
      </c>
      <c r="AE14" s="407">
        <v>0</v>
      </c>
      <c r="AF14" s="407">
        <v>464515.8</v>
      </c>
      <c r="AG14" s="427">
        <v>639435</v>
      </c>
      <c r="AH14" s="407">
        <v>332712.18</v>
      </c>
      <c r="AI14" s="407">
        <v>734351.24</v>
      </c>
      <c r="AJ14" s="407">
        <v>744976.35</v>
      </c>
      <c r="AK14" s="407">
        <v>363368.53</v>
      </c>
      <c r="AL14" s="407">
        <v>239955.14</v>
      </c>
      <c r="AM14" s="407">
        <v>498910.81</v>
      </c>
      <c r="AN14" s="407">
        <v>526838.21</v>
      </c>
      <c r="AO14" s="569">
        <v>743650.7</v>
      </c>
      <c r="AP14" s="407">
        <v>427235.42</v>
      </c>
      <c r="AQ14" s="407">
        <v>275339.09000000003</v>
      </c>
      <c r="AR14" s="407">
        <v>798593.01</v>
      </c>
      <c r="AS14" s="407">
        <v>519634.07</v>
      </c>
      <c r="AT14" s="407">
        <v>800845.63</v>
      </c>
      <c r="AU14" s="407">
        <v>1251966.67</v>
      </c>
      <c r="AV14" s="407">
        <v>1397024.47</v>
      </c>
      <c r="AW14" s="407">
        <v>368574.12</v>
      </c>
      <c r="AX14" s="407">
        <v>0</v>
      </c>
      <c r="AY14" s="407">
        <v>0</v>
      </c>
      <c r="AZ14" s="407">
        <v>0</v>
      </c>
      <c r="BA14" s="407">
        <v>90989.23</v>
      </c>
      <c r="BB14" s="407">
        <v>93558.080000000002</v>
      </c>
      <c r="BC14" s="407">
        <v>110584.81</v>
      </c>
      <c r="BD14" s="427">
        <v>157691</v>
      </c>
      <c r="BE14" s="407">
        <v>111614</v>
      </c>
      <c r="BF14" s="407">
        <v>288133.78999999998</v>
      </c>
      <c r="BG14" s="407">
        <v>393914.96</v>
      </c>
      <c r="BH14" s="407">
        <v>181959.54</v>
      </c>
      <c r="BI14" s="407">
        <v>234569.14</v>
      </c>
      <c r="BJ14" s="407">
        <v>260850.49</v>
      </c>
      <c r="BK14" s="407">
        <v>268608.57</v>
      </c>
      <c r="BL14" s="407">
        <v>320591.23</v>
      </c>
      <c r="BM14" s="407">
        <v>387028.76</v>
      </c>
      <c r="BN14" s="407">
        <v>552266.23</v>
      </c>
      <c r="BO14" s="407">
        <v>290489.53999999998</v>
      </c>
      <c r="BP14" s="407">
        <v>580204.85</v>
      </c>
      <c r="BQ14" s="407">
        <v>1008899.87</v>
      </c>
      <c r="BR14" s="407">
        <v>107314.91</v>
      </c>
      <c r="BS14" s="407">
        <v>1205081.73</v>
      </c>
      <c r="BT14" s="407">
        <v>426127.15</v>
      </c>
      <c r="BU14" s="407">
        <v>0</v>
      </c>
      <c r="BV14" s="407">
        <f>334416.82+130400.97</f>
        <v>464817.79000000004</v>
      </c>
      <c r="BW14" s="407">
        <v>0</v>
      </c>
      <c r="BX14" s="407">
        <v>0</v>
      </c>
      <c r="BY14" s="427">
        <v>0</v>
      </c>
      <c r="BZ14" s="407">
        <v>0</v>
      </c>
      <c r="CA14" s="407">
        <v>0</v>
      </c>
      <c r="CB14" s="407">
        <v>0</v>
      </c>
      <c r="CC14" s="407">
        <v>0</v>
      </c>
      <c r="CD14" s="407">
        <v>0</v>
      </c>
      <c r="CE14" s="407">
        <v>0</v>
      </c>
      <c r="CF14" s="407">
        <v>190108.55</v>
      </c>
      <c r="CG14" s="407">
        <v>166404.01999999999</v>
      </c>
      <c r="CH14" s="407">
        <v>319364.62</v>
      </c>
      <c r="CI14" s="407">
        <v>327989.02</v>
      </c>
      <c r="CJ14" s="407">
        <v>338157.34</v>
      </c>
      <c r="CK14" s="407">
        <v>0</v>
      </c>
      <c r="CL14" s="407">
        <v>0</v>
      </c>
      <c r="CM14" s="407">
        <v>0</v>
      </c>
      <c r="CN14" s="407">
        <v>0</v>
      </c>
      <c r="CO14" s="407">
        <v>0</v>
      </c>
      <c r="CP14" s="407">
        <v>576031.63</v>
      </c>
      <c r="CQ14" s="407">
        <v>0</v>
      </c>
      <c r="CR14" s="407">
        <v>491971.98</v>
      </c>
      <c r="CS14" s="407">
        <v>284229.81</v>
      </c>
      <c r="CT14" s="427">
        <v>169833.61</v>
      </c>
      <c r="CU14" s="407">
        <v>528628.78</v>
      </c>
      <c r="CV14" s="407">
        <v>255399.95</v>
      </c>
      <c r="CW14" s="407">
        <v>359258.43</v>
      </c>
      <c r="CX14" s="407">
        <v>332449.89</v>
      </c>
      <c r="CY14" s="407">
        <v>0</v>
      </c>
      <c r="CZ14" s="407">
        <v>479084.15</v>
      </c>
      <c r="DA14" s="407">
        <v>212522.35</v>
      </c>
      <c r="DB14" s="407">
        <v>172268.48</v>
      </c>
      <c r="DC14" s="407">
        <v>192434.42</v>
      </c>
      <c r="DD14" s="407">
        <v>286633.90000000002</v>
      </c>
      <c r="DE14" s="407">
        <v>237256.75</v>
      </c>
      <c r="DF14" s="407">
        <v>610401.04</v>
      </c>
      <c r="DG14" s="407">
        <v>937896.45</v>
      </c>
      <c r="DH14" s="407">
        <v>592813.36</v>
      </c>
      <c r="DI14" s="407">
        <v>723193.4</v>
      </c>
      <c r="DJ14" s="407">
        <v>436310.21</v>
      </c>
      <c r="DK14" s="407">
        <v>525000.15</v>
      </c>
      <c r="DL14" s="407">
        <v>304468.78000000003</v>
      </c>
      <c r="DM14" s="407">
        <v>213197.56</v>
      </c>
      <c r="DN14" s="407">
        <v>0</v>
      </c>
      <c r="DO14" s="427">
        <v>0</v>
      </c>
      <c r="DP14" s="407">
        <v>0</v>
      </c>
      <c r="DQ14" s="407">
        <v>0</v>
      </c>
      <c r="DR14" s="407">
        <v>0</v>
      </c>
      <c r="DS14" s="407">
        <v>0</v>
      </c>
      <c r="DT14" s="407">
        <v>0</v>
      </c>
      <c r="DU14" s="407">
        <v>3387</v>
      </c>
      <c r="DV14" s="407">
        <v>0</v>
      </c>
      <c r="DW14" s="407">
        <v>0</v>
      </c>
      <c r="DX14" s="407">
        <v>0</v>
      </c>
      <c r="DY14" s="407">
        <v>0</v>
      </c>
      <c r="DZ14" s="407">
        <v>0</v>
      </c>
      <c r="EA14" s="407">
        <v>0</v>
      </c>
      <c r="EB14" s="407">
        <v>0</v>
      </c>
      <c r="EC14" s="407">
        <v>167731.81</v>
      </c>
      <c r="ED14" s="407">
        <v>249902.72</v>
      </c>
      <c r="EE14" s="407">
        <v>92236.29</v>
      </c>
      <c r="EF14" s="407">
        <v>366741.5</v>
      </c>
      <c r="EG14" s="407">
        <v>317719.59999999998</v>
      </c>
      <c r="EH14" s="407">
        <v>0</v>
      </c>
      <c r="EI14" s="407">
        <v>0</v>
      </c>
      <c r="EJ14" s="427">
        <v>0</v>
      </c>
      <c r="EK14" s="407">
        <v>0</v>
      </c>
      <c r="EL14" s="407">
        <v>0</v>
      </c>
      <c r="EM14" s="407">
        <v>0</v>
      </c>
      <c r="EN14" s="407">
        <v>0</v>
      </c>
      <c r="EO14" s="407">
        <v>62696.33</v>
      </c>
      <c r="EP14" s="407">
        <v>52901.74</v>
      </c>
      <c r="EQ14" s="407">
        <v>109557.89</v>
      </c>
      <c r="ER14" s="407">
        <v>84144.31</v>
      </c>
      <c r="ES14" s="407">
        <v>70542.539999999994</v>
      </c>
      <c r="ET14" s="407">
        <v>180825.37</v>
      </c>
      <c r="EU14" s="407">
        <v>115277.39</v>
      </c>
      <c r="EV14" s="407">
        <v>57164.1</v>
      </c>
      <c r="EW14" s="407">
        <v>151850.74</v>
      </c>
      <c r="EX14" s="407">
        <v>212176.84</v>
      </c>
      <c r="EY14" s="407">
        <v>117580.38</v>
      </c>
      <c r="EZ14" s="407">
        <v>74409.13</v>
      </c>
      <c r="FA14" s="407">
        <v>212162.42</v>
      </c>
      <c r="FB14" s="407">
        <v>116883.89</v>
      </c>
      <c r="FC14" s="407">
        <v>62581.88</v>
      </c>
      <c r="FD14" s="407">
        <v>105658.84</v>
      </c>
      <c r="FE14" s="407">
        <v>70582.240000000005</v>
      </c>
      <c r="FF14" s="427">
        <v>77476.240000000005</v>
      </c>
      <c r="FG14" s="407">
        <v>26388.84</v>
      </c>
      <c r="FH14" s="407">
        <v>108301.2</v>
      </c>
      <c r="FI14" s="407">
        <v>48464.79</v>
      </c>
      <c r="FJ14" s="407">
        <v>49992.58</v>
      </c>
      <c r="FK14" s="407">
        <v>21435.56</v>
      </c>
      <c r="FL14" s="407">
        <v>82898.240000000005</v>
      </c>
      <c r="FM14" s="407">
        <v>155018.23000000001</v>
      </c>
      <c r="FN14" s="407">
        <v>42581.98</v>
      </c>
      <c r="FO14" s="407">
        <v>66293.27</v>
      </c>
      <c r="FP14" s="407">
        <v>48747.12</v>
      </c>
      <c r="FQ14" s="407">
        <v>123150.49</v>
      </c>
      <c r="FR14" s="407">
        <v>300596.32</v>
      </c>
      <c r="FS14" s="407">
        <v>341826</v>
      </c>
      <c r="FT14" s="407">
        <v>0</v>
      </c>
      <c r="FU14" s="407">
        <v>299846.15000000002</v>
      </c>
      <c r="FV14" s="407">
        <v>363926.86</v>
      </c>
      <c r="FW14" s="407">
        <v>142058.9</v>
      </c>
      <c r="FX14" s="407">
        <v>0</v>
      </c>
      <c r="FY14" s="407">
        <v>160495.06</v>
      </c>
      <c r="FZ14" s="407">
        <v>448251.05</v>
      </c>
      <c r="GA14" s="427">
        <v>888108.62</v>
      </c>
      <c r="GB14" s="407">
        <v>953000.2</v>
      </c>
      <c r="GC14" s="407">
        <v>1038103.19</v>
      </c>
      <c r="GD14" s="407">
        <v>1303676.68</v>
      </c>
      <c r="GE14" s="407">
        <v>988860.41</v>
      </c>
      <c r="GF14" s="407">
        <v>1362173.42</v>
      </c>
      <c r="GG14" s="407">
        <v>1274912.33</v>
      </c>
      <c r="GH14" s="407">
        <v>719015</v>
      </c>
      <c r="GI14" s="407">
        <v>731022.98</v>
      </c>
      <c r="GJ14" s="407">
        <v>1087650.77</v>
      </c>
      <c r="GK14" s="407">
        <v>760165.85</v>
      </c>
      <c r="GL14" s="407">
        <v>1528808.89</v>
      </c>
      <c r="GM14" s="407">
        <v>962820.72</v>
      </c>
      <c r="GN14" s="407">
        <v>951015.68</v>
      </c>
      <c r="GO14" s="407">
        <v>490427.74</v>
      </c>
      <c r="GP14" s="407">
        <v>1115958.22</v>
      </c>
      <c r="GQ14" s="407">
        <v>1535505.29</v>
      </c>
      <c r="GR14" s="407">
        <v>1317063.8999999999</v>
      </c>
      <c r="GS14" s="407">
        <v>837375.3</v>
      </c>
      <c r="GT14" s="407">
        <v>1273323.77</v>
      </c>
      <c r="GU14" s="427">
        <v>2361140.2599999998</v>
      </c>
      <c r="GV14" s="407">
        <v>272403.44</v>
      </c>
      <c r="GW14" s="407">
        <v>1124083.3400000001</v>
      </c>
      <c r="GX14" s="407">
        <v>1768602.28</v>
      </c>
      <c r="GY14" s="407">
        <v>1654231.82</v>
      </c>
      <c r="GZ14" s="407">
        <v>811300.26</v>
      </c>
      <c r="HA14" s="407">
        <v>868191.64</v>
      </c>
      <c r="HB14" s="407">
        <v>1034346.06</v>
      </c>
      <c r="HC14" s="407">
        <v>1311917.3700000001</v>
      </c>
      <c r="HD14" s="407">
        <v>0</v>
      </c>
      <c r="HE14" s="407">
        <v>1528312.33</v>
      </c>
      <c r="HF14" s="407">
        <v>1176085.8400000001</v>
      </c>
      <c r="HG14" s="407">
        <v>1881126.87</v>
      </c>
      <c r="HH14" s="407">
        <v>1900233.48</v>
      </c>
      <c r="HI14" s="407">
        <v>1842335.74</v>
      </c>
      <c r="HJ14" s="407">
        <v>2167134.61</v>
      </c>
      <c r="HK14" s="407">
        <v>1986544.43</v>
      </c>
      <c r="HL14" s="407">
        <v>2520730.09</v>
      </c>
      <c r="HM14" s="407">
        <v>3944187.57</v>
      </c>
      <c r="HN14" s="407">
        <v>3049526.93</v>
      </c>
      <c r="HO14" s="407">
        <v>2869494.09</v>
      </c>
      <c r="HP14" s="427">
        <v>21465579.550000001</v>
      </c>
      <c r="HQ14" s="407">
        <v>6212845.96</v>
      </c>
      <c r="HR14" s="407">
        <v>4331916.7300000004</v>
      </c>
      <c r="HS14" s="407">
        <v>5099247.8899999997</v>
      </c>
      <c r="HT14" s="407">
        <v>5573985.0899999999</v>
      </c>
      <c r="HU14" s="407">
        <v>6000307.6399999997</v>
      </c>
      <c r="HV14" s="407">
        <v>8819687.4199999999</v>
      </c>
      <c r="HW14" s="407">
        <v>6273044.7300000004</v>
      </c>
      <c r="HX14" s="407">
        <v>0</v>
      </c>
      <c r="HY14" s="407">
        <v>0</v>
      </c>
      <c r="HZ14" s="407">
        <v>5443974.4800000004</v>
      </c>
      <c r="IA14" s="407">
        <v>53450426.630000003</v>
      </c>
      <c r="IB14" s="407">
        <v>12444551.300000001</v>
      </c>
      <c r="IC14" s="407">
        <v>53275222.950000003</v>
      </c>
      <c r="ID14" s="407">
        <v>0</v>
      </c>
      <c r="IE14" s="407">
        <v>12690759.77</v>
      </c>
      <c r="IF14" s="407">
        <v>15406697.35</v>
      </c>
      <c r="IG14" s="407">
        <v>11356018.83</v>
      </c>
      <c r="IH14" s="407">
        <v>4843971.51</v>
      </c>
      <c r="II14" s="407">
        <v>12621706.49</v>
      </c>
      <c r="IJ14" s="407">
        <v>9156159</v>
      </c>
      <c r="IK14" s="407">
        <v>6688001.4299999997</v>
      </c>
      <c r="IL14" s="427">
        <v>6250080.8099999996</v>
      </c>
      <c r="IM14" s="407">
        <v>9905821.4299999997</v>
      </c>
      <c r="IN14" s="407">
        <v>7960247.0599999996</v>
      </c>
      <c r="IO14" s="407">
        <v>8969970.4600000009</v>
      </c>
      <c r="IP14" s="407">
        <v>12027425.15</v>
      </c>
      <c r="IQ14" s="407">
        <v>18527013.93</v>
      </c>
      <c r="IR14" s="407">
        <v>19197373.100000001</v>
      </c>
      <c r="IS14" s="407">
        <v>16916926.710000001</v>
      </c>
      <c r="IT14" s="407">
        <v>18176829.68</v>
      </c>
      <c r="IU14" s="407">
        <v>28770801.48</v>
      </c>
      <c r="IV14" s="407">
        <v>32324653.09</v>
      </c>
      <c r="IW14" s="4">
        <f t="shared" si="8"/>
        <v>810038240.95999992</v>
      </c>
      <c r="IX14" s="7"/>
      <c r="IY14" s="7"/>
      <c r="IZ14" s="7"/>
      <c r="JA14" s="7"/>
      <c r="JB14" s="7"/>
      <c r="JC14" s="7"/>
      <c r="JD14" s="7"/>
      <c r="JE14" s="7"/>
      <c r="JF14" s="7"/>
      <c r="JH14" s="200">
        <f>'FY-09, FEB-09 - JAN-10, w TANs'!IT14</f>
        <v>0</v>
      </c>
      <c r="JI14" s="4">
        <f>'FY-09, FEB-09 - JAN-10, w TANs'!IU14</f>
        <v>919249646.79999948</v>
      </c>
    </row>
    <row r="15" spans="1:269" ht="14.1" customHeight="1" thickBot="1">
      <c r="A15" s="407" t="s">
        <v>53</v>
      </c>
      <c r="B15" s="430"/>
      <c r="C15" s="427">
        <v>0</v>
      </c>
      <c r="D15" s="407">
        <v>211.64</v>
      </c>
      <c r="E15" s="407">
        <v>1688.17</v>
      </c>
      <c r="F15" s="407">
        <v>6966.43</v>
      </c>
      <c r="G15" s="407">
        <v>1168.32</v>
      </c>
      <c r="H15" s="407">
        <v>644.69000000000005</v>
      </c>
      <c r="I15" s="407">
        <v>0</v>
      </c>
      <c r="J15" s="407">
        <v>2439.8000000000002</v>
      </c>
      <c r="K15" s="407">
        <v>1387.89</v>
      </c>
      <c r="L15" s="407">
        <v>0</v>
      </c>
      <c r="M15" s="427">
        <v>57.29</v>
      </c>
      <c r="N15" s="407">
        <v>0</v>
      </c>
      <c r="O15" s="407">
        <v>214.65</v>
      </c>
      <c r="P15" s="407">
        <v>1706.86</v>
      </c>
      <c r="Q15" s="407">
        <v>0</v>
      </c>
      <c r="R15" s="407">
        <v>1212.8399999999999</v>
      </c>
      <c r="S15" s="407">
        <v>33.33</v>
      </c>
      <c r="T15" s="431">
        <v>285.87</v>
      </c>
      <c r="U15" s="407">
        <v>500.44</v>
      </c>
      <c r="V15" s="407">
        <v>1717.87</v>
      </c>
      <c r="W15" s="407">
        <v>0</v>
      </c>
      <c r="X15" s="407">
        <v>599.45000000000005</v>
      </c>
      <c r="Y15" s="407">
        <v>0</v>
      </c>
      <c r="Z15" s="407">
        <v>0</v>
      </c>
      <c r="AA15" s="407">
        <v>11920.51</v>
      </c>
      <c r="AB15" s="407">
        <v>1100</v>
      </c>
      <c r="AC15" s="407">
        <v>906.74</v>
      </c>
      <c r="AD15" s="407">
        <v>335.19</v>
      </c>
      <c r="AE15" s="407">
        <v>0</v>
      </c>
      <c r="AF15" s="407">
        <v>550.73</v>
      </c>
      <c r="AG15" s="427">
        <v>0</v>
      </c>
      <c r="AH15" s="407"/>
      <c r="AI15" s="407">
        <v>0</v>
      </c>
      <c r="AJ15" s="407"/>
      <c r="AK15" s="407">
        <v>0</v>
      </c>
      <c r="AL15" s="407">
        <v>0</v>
      </c>
      <c r="AM15" s="407">
        <v>0</v>
      </c>
      <c r="AN15" s="407">
        <v>388.69</v>
      </c>
      <c r="AO15" s="569">
        <v>0</v>
      </c>
      <c r="AP15" s="407">
        <v>163.06</v>
      </c>
      <c r="AQ15" s="407">
        <v>0</v>
      </c>
      <c r="AR15" s="407">
        <v>430.23</v>
      </c>
      <c r="AS15" s="407">
        <v>0</v>
      </c>
      <c r="AT15" s="407">
        <v>214.89</v>
      </c>
      <c r="AU15" s="407">
        <v>456.03</v>
      </c>
      <c r="AV15" s="407">
        <v>5708.58</v>
      </c>
      <c r="AW15" s="407">
        <v>251.21</v>
      </c>
      <c r="AX15" s="407">
        <v>505.68</v>
      </c>
      <c r="AY15" s="407">
        <v>0</v>
      </c>
      <c r="AZ15" s="407">
        <v>205.01</v>
      </c>
      <c r="BA15" s="407">
        <v>2019.05</v>
      </c>
      <c r="BB15" s="407">
        <v>344.42</v>
      </c>
      <c r="BC15" s="407"/>
      <c r="BD15" s="427">
        <v>40.520000000000003</v>
      </c>
      <c r="BE15" s="407">
        <v>337.83</v>
      </c>
      <c r="BF15" s="407">
        <v>829.48</v>
      </c>
      <c r="BG15" s="407">
        <v>232.62</v>
      </c>
      <c r="BH15" s="407">
        <v>0</v>
      </c>
      <c r="BI15" s="407">
        <v>676.06</v>
      </c>
      <c r="BJ15" s="407">
        <v>0</v>
      </c>
      <c r="BK15" s="407">
        <v>181.09</v>
      </c>
      <c r="BL15" s="407">
        <v>0</v>
      </c>
      <c r="BM15" s="407">
        <v>2214.96</v>
      </c>
      <c r="BN15" s="407">
        <v>0</v>
      </c>
      <c r="BO15" s="407">
        <v>92.78</v>
      </c>
      <c r="BP15" s="407">
        <v>441.6</v>
      </c>
      <c r="BQ15" s="407">
        <v>311</v>
      </c>
      <c r="BR15" s="407">
        <v>117.88</v>
      </c>
      <c r="BS15" s="407">
        <v>1240.98</v>
      </c>
      <c r="BT15" s="407">
        <v>153.96</v>
      </c>
      <c r="BU15" s="407">
        <v>0</v>
      </c>
      <c r="BV15" s="407">
        <v>1164.8699999999999</v>
      </c>
      <c r="BW15" s="407">
        <v>216.82</v>
      </c>
      <c r="BX15" s="407">
        <v>53.11</v>
      </c>
      <c r="BY15" s="427">
        <v>0</v>
      </c>
      <c r="BZ15" s="407">
        <v>0</v>
      </c>
      <c r="CA15" s="407">
        <v>0</v>
      </c>
      <c r="CB15" s="407">
        <v>202.02</v>
      </c>
      <c r="CC15" s="407">
        <v>0</v>
      </c>
      <c r="CD15" s="407">
        <v>0</v>
      </c>
      <c r="CE15" s="407">
        <v>0</v>
      </c>
      <c r="CF15" s="407">
        <v>0</v>
      </c>
      <c r="CG15" s="407">
        <v>429.52</v>
      </c>
      <c r="CH15" s="407">
        <v>1261.47</v>
      </c>
      <c r="CI15" s="407">
        <v>530.16</v>
      </c>
      <c r="CJ15" s="407">
        <v>0</v>
      </c>
      <c r="CK15" s="407">
        <v>0</v>
      </c>
      <c r="CL15" s="407">
        <v>0</v>
      </c>
      <c r="CM15" s="407">
        <v>0</v>
      </c>
      <c r="CN15" s="407">
        <v>0</v>
      </c>
      <c r="CO15" s="407">
        <v>0</v>
      </c>
      <c r="CP15" s="407">
        <v>2895.35</v>
      </c>
      <c r="CQ15" s="407">
        <v>1553.34</v>
      </c>
      <c r="CR15" s="407">
        <v>99.77</v>
      </c>
      <c r="CS15" s="407">
        <v>0</v>
      </c>
      <c r="CT15" s="427">
        <v>241.23</v>
      </c>
      <c r="CU15" s="407">
        <v>0</v>
      </c>
      <c r="CV15" s="407">
        <v>0</v>
      </c>
      <c r="CW15" s="407">
        <v>579.74</v>
      </c>
      <c r="CX15" s="407">
        <v>845.45</v>
      </c>
      <c r="CY15" s="407">
        <v>0</v>
      </c>
      <c r="CZ15" s="407">
        <v>1328.12</v>
      </c>
      <c r="DA15" s="407">
        <v>338.29</v>
      </c>
      <c r="DB15" s="407">
        <v>29.51</v>
      </c>
      <c r="DC15" s="407">
        <v>0</v>
      </c>
      <c r="DD15" s="407">
        <v>137.16999999999999</v>
      </c>
      <c r="DE15" s="407">
        <v>0</v>
      </c>
      <c r="DF15" s="407">
        <v>83.61</v>
      </c>
      <c r="DG15" s="407">
        <v>2050.0100000000002</v>
      </c>
      <c r="DH15" s="407">
        <v>0</v>
      </c>
      <c r="DI15" s="407">
        <v>219.23</v>
      </c>
      <c r="DJ15" s="407">
        <v>0</v>
      </c>
      <c r="DK15" s="407">
        <v>215.68</v>
      </c>
      <c r="DL15" s="407">
        <v>108.01</v>
      </c>
      <c r="DM15" s="407">
        <v>3481.87</v>
      </c>
      <c r="DN15" s="407">
        <v>0</v>
      </c>
      <c r="DO15" s="427">
        <v>160.97999999999999</v>
      </c>
      <c r="DP15" s="407">
        <v>0</v>
      </c>
      <c r="DQ15" s="407">
        <v>0</v>
      </c>
      <c r="DR15" s="407">
        <v>0</v>
      </c>
      <c r="DS15" s="407">
        <v>204.67</v>
      </c>
      <c r="DT15" s="407">
        <v>1093.57</v>
      </c>
      <c r="DU15" s="407">
        <v>2612</v>
      </c>
      <c r="DV15" s="407">
        <v>0</v>
      </c>
      <c r="DW15" s="407">
        <v>0</v>
      </c>
      <c r="DX15" s="407">
        <v>0</v>
      </c>
      <c r="DY15" s="407">
        <v>0</v>
      </c>
      <c r="DZ15" s="407">
        <v>0</v>
      </c>
      <c r="EA15" s="407">
        <v>0</v>
      </c>
      <c r="EB15" s="407">
        <v>845.76</v>
      </c>
      <c r="EC15" s="407">
        <v>0</v>
      </c>
      <c r="ED15" s="407">
        <v>1389.58</v>
      </c>
      <c r="EE15" s="407">
        <v>95.93</v>
      </c>
      <c r="EF15" s="407">
        <v>219.07</v>
      </c>
      <c r="EG15" s="407">
        <v>487.69</v>
      </c>
      <c r="EH15" s="407">
        <v>0</v>
      </c>
      <c r="EI15" s="407">
        <v>988.79</v>
      </c>
      <c r="EJ15" s="427">
        <v>1280.1099999999999</v>
      </c>
      <c r="EK15" s="407">
        <v>0</v>
      </c>
      <c r="EL15" s="407">
        <v>893.78</v>
      </c>
      <c r="EM15" s="407">
        <v>0</v>
      </c>
      <c r="EN15" s="407">
        <v>0</v>
      </c>
      <c r="EO15" s="407">
        <v>203.69</v>
      </c>
      <c r="EP15" s="407">
        <v>0</v>
      </c>
      <c r="EQ15" s="407">
        <v>0</v>
      </c>
      <c r="ER15" s="407">
        <v>0</v>
      </c>
      <c r="ES15" s="407">
        <v>0</v>
      </c>
      <c r="ET15" s="407">
        <v>2067.38</v>
      </c>
      <c r="EU15" s="407">
        <v>0</v>
      </c>
      <c r="EV15" s="407">
        <v>495.02</v>
      </c>
      <c r="EW15" s="407">
        <v>0</v>
      </c>
      <c r="EX15" s="407">
        <v>70.73</v>
      </c>
      <c r="EY15" s="407">
        <v>59.13</v>
      </c>
      <c r="EZ15" s="407">
        <v>394.18</v>
      </c>
      <c r="FA15" s="407">
        <v>1040.2</v>
      </c>
      <c r="FB15" s="407">
        <v>303.52</v>
      </c>
      <c r="FC15" s="407">
        <v>357.72</v>
      </c>
      <c r="FD15" s="407">
        <v>933.29</v>
      </c>
      <c r="FE15" s="407">
        <v>130.25</v>
      </c>
      <c r="FF15" s="427">
        <v>157.29</v>
      </c>
      <c r="FG15" s="407">
        <v>105.87</v>
      </c>
      <c r="FH15" s="407">
        <v>368.94</v>
      </c>
      <c r="FI15" s="407">
        <v>0</v>
      </c>
      <c r="FJ15" s="407">
        <v>222.72</v>
      </c>
      <c r="FK15" s="407">
        <v>0</v>
      </c>
      <c r="FL15" s="407">
        <v>0</v>
      </c>
      <c r="FM15" s="431">
        <v>65.569999999999993</v>
      </c>
      <c r="FN15" s="407">
        <v>145.22999999999999</v>
      </c>
      <c r="FO15" s="407">
        <v>0</v>
      </c>
      <c r="FP15" s="407">
        <v>302.72000000000003</v>
      </c>
      <c r="FQ15" s="407">
        <v>210.7</v>
      </c>
      <c r="FR15" s="407">
        <v>450.82</v>
      </c>
      <c r="FS15" s="407">
        <v>0</v>
      </c>
      <c r="FT15" s="407">
        <v>0</v>
      </c>
      <c r="FU15" s="407">
        <v>708.66</v>
      </c>
      <c r="FV15" s="407">
        <v>540.98</v>
      </c>
      <c r="FW15" s="407">
        <v>127.87</v>
      </c>
      <c r="FX15" s="407">
        <v>606.39</v>
      </c>
      <c r="FY15" s="407">
        <v>215.18</v>
      </c>
      <c r="FZ15" s="407">
        <v>29.7</v>
      </c>
      <c r="GA15" s="427">
        <v>89.75</v>
      </c>
      <c r="GB15" s="407">
        <v>377.42</v>
      </c>
      <c r="GC15" s="407">
        <v>0</v>
      </c>
      <c r="GD15" s="407">
        <v>319.58</v>
      </c>
      <c r="GE15" s="407">
        <v>0</v>
      </c>
      <c r="GF15" s="407">
        <v>0</v>
      </c>
      <c r="GG15" s="431">
        <v>1140.69</v>
      </c>
      <c r="GH15" s="407">
        <v>259.01</v>
      </c>
      <c r="GI15" s="407">
        <v>89.62</v>
      </c>
      <c r="GJ15" s="407">
        <v>555.16999999999996</v>
      </c>
      <c r="GK15" s="431">
        <v>0</v>
      </c>
      <c r="GL15" s="407">
        <v>0</v>
      </c>
      <c r="GM15" s="407">
        <v>211.22</v>
      </c>
      <c r="GN15" s="407">
        <v>408.22</v>
      </c>
      <c r="GO15" s="407">
        <v>208.72</v>
      </c>
      <c r="GP15" s="407">
        <v>0</v>
      </c>
      <c r="GQ15" s="407">
        <v>886.32</v>
      </c>
      <c r="GR15" s="407">
        <v>1535.17</v>
      </c>
      <c r="GS15" s="407">
        <v>0</v>
      </c>
      <c r="GT15" s="407">
        <v>346.35</v>
      </c>
      <c r="GU15" s="427">
        <v>193.92</v>
      </c>
      <c r="GV15" s="407">
        <v>0</v>
      </c>
      <c r="GW15" s="407">
        <v>0</v>
      </c>
      <c r="GX15" s="407">
        <v>0</v>
      </c>
      <c r="GY15" s="407">
        <v>0</v>
      </c>
      <c r="GZ15" s="407">
        <v>0</v>
      </c>
      <c r="HA15" s="407">
        <v>36.47</v>
      </c>
      <c r="HB15" s="407">
        <v>0</v>
      </c>
      <c r="HC15" s="407">
        <v>647.07000000000005</v>
      </c>
      <c r="HD15" s="407">
        <v>0</v>
      </c>
      <c r="HE15" s="407">
        <v>100.71</v>
      </c>
      <c r="HF15" s="407">
        <v>93.68</v>
      </c>
      <c r="HG15" s="407">
        <v>363.47</v>
      </c>
      <c r="HH15" s="407">
        <v>0</v>
      </c>
      <c r="HI15" s="407">
        <v>0</v>
      </c>
      <c r="HJ15" s="407">
        <v>0</v>
      </c>
      <c r="HK15" s="407">
        <v>3215.66</v>
      </c>
      <c r="HL15" s="407">
        <v>1629.04</v>
      </c>
      <c r="HM15" s="407">
        <v>3664.93</v>
      </c>
      <c r="HN15" s="407">
        <v>362.26</v>
      </c>
      <c r="HO15" s="407">
        <v>15628.34</v>
      </c>
      <c r="HP15" s="427">
        <v>115</v>
      </c>
      <c r="HQ15" s="407">
        <v>2445.04</v>
      </c>
      <c r="HR15" s="407">
        <v>664.41</v>
      </c>
      <c r="HS15" s="407">
        <v>28.34</v>
      </c>
      <c r="HT15" s="407">
        <v>218.26</v>
      </c>
      <c r="HU15" s="407">
        <v>0</v>
      </c>
      <c r="HV15" s="407">
        <v>0</v>
      </c>
      <c r="HW15" s="407">
        <v>0</v>
      </c>
      <c r="HX15" s="407">
        <v>0</v>
      </c>
      <c r="HY15" s="407">
        <v>0</v>
      </c>
      <c r="HZ15" s="407">
        <v>0</v>
      </c>
      <c r="IA15" s="431">
        <v>134.22999999999999</v>
      </c>
      <c r="IB15" s="407">
        <v>0</v>
      </c>
      <c r="IC15" s="407">
        <v>790.41</v>
      </c>
      <c r="ID15" s="407">
        <v>0</v>
      </c>
      <c r="IE15" s="407">
        <v>2418.33</v>
      </c>
      <c r="IF15" s="407">
        <v>2462.98</v>
      </c>
      <c r="IG15" s="407">
        <v>275.98</v>
      </c>
      <c r="IH15" s="407">
        <v>1016.45</v>
      </c>
      <c r="II15" s="407">
        <v>96.49</v>
      </c>
      <c r="IJ15" s="407">
        <v>157.87</v>
      </c>
      <c r="IK15" s="407">
        <v>688.94</v>
      </c>
      <c r="IL15" s="427">
        <v>0</v>
      </c>
      <c r="IM15" s="407">
        <v>710.33</v>
      </c>
      <c r="IN15" s="407">
        <v>118.58</v>
      </c>
      <c r="IO15" s="407">
        <v>0</v>
      </c>
      <c r="IP15" s="407">
        <v>2338.87</v>
      </c>
      <c r="IQ15" s="407">
        <v>0</v>
      </c>
      <c r="IR15" s="407">
        <v>51.21</v>
      </c>
      <c r="IS15" s="407">
        <v>0</v>
      </c>
      <c r="IT15" s="407">
        <v>1287.19</v>
      </c>
      <c r="IU15" s="407">
        <v>0</v>
      </c>
      <c r="IV15" s="407">
        <v>140.96</v>
      </c>
      <c r="IW15" s="4">
        <f t="shared" si="8"/>
        <v>140379.00999999989</v>
      </c>
      <c r="IX15" s="7"/>
      <c r="IY15" s="7"/>
      <c r="IZ15" s="7"/>
      <c r="JA15" s="7"/>
      <c r="JB15" s="7"/>
      <c r="JC15" s="7"/>
      <c r="JD15" s="7"/>
      <c r="JE15" s="7"/>
      <c r="JF15" s="7"/>
      <c r="JH15" s="4">
        <f>'FY-09, FEB-09 - JAN-10, w TANs'!IU15*$EJ$77</f>
        <v>198206.35649999997</v>
      </c>
      <c r="JI15" s="4">
        <f>'FY-09, FEB-09 - JAN-10, w TANs'!IV15*$EJ$77</f>
        <v>0</v>
      </c>
    </row>
    <row r="16" spans="1:269" s="604" customFormat="1" ht="14.1" customHeight="1" thickBot="1">
      <c r="A16" s="432" t="s">
        <v>82</v>
      </c>
      <c r="B16" s="424"/>
      <c r="C16" s="433">
        <v>0</v>
      </c>
      <c r="D16" s="432">
        <v>0</v>
      </c>
      <c r="E16" s="432">
        <v>14673.92</v>
      </c>
      <c r="F16" s="432">
        <v>3148469.71</v>
      </c>
      <c r="G16" s="432">
        <v>3037669.98</v>
      </c>
      <c r="H16" s="432">
        <v>162295.19</v>
      </c>
      <c r="I16" s="432">
        <v>6044438.1200000001</v>
      </c>
      <c r="J16" s="432">
        <v>1469017.5</v>
      </c>
      <c r="K16" s="432">
        <v>5560.34</v>
      </c>
      <c r="L16" s="432">
        <v>230358.55</v>
      </c>
      <c r="M16" s="433">
        <v>151908.42000000001</v>
      </c>
      <c r="N16" s="432">
        <v>0</v>
      </c>
      <c r="O16" s="432">
        <v>421452.16</v>
      </c>
      <c r="P16" s="432">
        <v>701632.29</v>
      </c>
      <c r="Q16" s="432">
        <v>227898.7</v>
      </c>
      <c r="R16" s="432">
        <v>495947.2</v>
      </c>
      <c r="S16" s="432">
        <v>6318512</v>
      </c>
      <c r="T16" s="432">
        <v>237295.25</v>
      </c>
      <c r="U16" s="432">
        <v>0</v>
      </c>
      <c r="V16" s="434">
        <v>0</v>
      </c>
      <c r="W16" s="434">
        <v>137090.59</v>
      </c>
      <c r="X16" s="434">
        <v>0</v>
      </c>
      <c r="Y16" s="434">
        <v>5093308.9000000004</v>
      </c>
      <c r="Z16" s="434">
        <v>11971102.800000001</v>
      </c>
      <c r="AA16" s="434">
        <v>0</v>
      </c>
      <c r="AB16" s="434">
        <v>4582.55</v>
      </c>
      <c r="AC16" s="434">
        <v>6692918.5700000003</v>
      </c>
      <c r="AD16" s="434">
        <v>165705.81</v>
      </c>
      <c r="AE16" s="434">
        <v>9628.35</v>
      </c>
      <c r="AF16" s="434">
        <v>0</v>
      </c>
      <c r="AG16" s="543">
        <v>489.88</v>
      </c>
      <c r="AH16" s="434">
        <v>518546.3</v>
      </c>
      <c r="AI16" s="434">
        <v>6923307.2400000002</v>
      </c>
      <c r="AJ16" s="434">
        <v>289370.53999999998</v>
      </c>
      <c r="AK16" s="434"/>
      <c r="AL16" s="434">
        <v>566848</v>
      </c>
      <c r="AM16" s="434">
        <v>0</v>
      </c>
      <c r="AN16" s="434">
        <v>16631.98</v>
      </c>
      <c r="AO16" s="571">
        <v>1143454.75</v>
      </c>
      <c r="AP16" s="434">
        <v>7421621</v>
      </c>
      <c r="AQ16" s="434">
        <v>0</v>
      </c>
      <c r="AR16" s="434">
        <v>0</v>
      </c>
      <c r="AS16" s="434">
        <v>2471683.83</v>
      </c>
      <c r="AT16" s="434">
        <v>2484094.94</v>
      </c>
      <c r="AU16" s="434">
        <v>16786012</v>
      </c>
      <c r="AV16" s="434">
        <v>2518899.46</v>
      </c>
      <c r="AW16" s="434">
        <v>123318.31</v>
      </c>
      <c r="AX16" s="434">
        <v>1974856.43</v>
      </c>
      <c r="AY16" s="434">
        <v>233221.23</v>
      </c>
      <c r="AZ16" s="434"/>
      <c r="BA16" s="434">
        <v>149317.48000000001</v>
      </c>
      <c r="BB16" s="434">
        <v>231356.44</v>
      </c>
      <c r="BC16" s="434">
        <v>465995.72</v>
      </c>
      <c r="BD16" s="543">
        <v>91051.86</v>
      </c>
      <c r="BE16" s="434">
        <v>0</v>
      </c>
      <c r="BF16" s="434">
        <v>5618845.8600000003</v>
      </c>
      <c r="BG16" s="434">
        <v>3283.87</v>
      </c>
      <c r="BH16" s="434">
        <v>0</v>
      </c>
      <c r="BI16" s="434">
        <v>11208.27</v>
      </c>
      <c r="BJ16" s="434">
        <v>11590105.17</v>
      </c>
      <c r="BK16" s="434">
        <v>374872.63</v>
      </c>
      <c r="BL16" s="434">
        <v>263607.37</v>
      </c>
      <c r="BM16" s="434">
        <v>0</v>
      </c>
      <c r="BN16" s="434">
        <v>566648.54</v>
      </c>
      <c r="BO16" s="434">
        <v>0</v>
      </c>
      <c r="BP16" s="434">
        <v>9182194.1500000004</v>
      </c>
      <c r="BQ16" s="434">
        <v>3668235.1</v>
      </c>
      <c r="BR16" s="434">
        <v>0</v>
      </c>
      <c r="BS16" s="434">
        <v>9086071.5600000005</v>
      </c>
      <c r="BT16" s="434">
        <v>356735.6</v>
      </c>
      <c r="BU16" s="434">
        <v>2521034.73</v>
      </c>
      <c r="BV16" s="434">
        <v>220611.97</v>
      </c>
      <c r="BW16" s="434">
        <v>3760.47</v>
      </c>
      <c r="BX16" s="434">
        <v>231624</v>
      </c>
      <c r="BY16" s="543">
        <v>7115</v>
      </c>
      <c r="BZ16" s="434">
        <v>272000.43</v>
      </c>
      <c r="CA16" s="434">
        <v>416.13</v>
      </c>
      <c r="CB16" s="434">
        <v>39858.839999999997</v>
      </c>
      <c r="CC16" s="434">
        <v>0</v>
      </c>
      <c r="CD16" s="434">
        <v>0</v>
      </c>
      <c r="CE16" s="434">
        <v>51.32</v>
      </c>
      <c r="CF16" s="434">
        <v>12074699.039999999</v>
      </c>
      <c r="CG16" s="434"/>
      <c r="CH16" s="434">
        <v>152251.51999999999</v>
      </c>
      <c r="CI16" s="434"/>
      <c r="CJ16" s="434">
        <v>16749.78</v>
      </c>
      <c r="CK16" s="434">
        <v>0</v>
      </c>
      <c r="CL16" s="434">
        <v>0</v>
      </c>
      <c r="CM16" s="434">
        <v>6867510.6600000001</v>
      </c>
      <c r="CN16" s="434">
        <v>2351698.86</v>
      </c>
      <c r="CO16" s="434">
        <v>6765802.4500000002</v>
      </c>
      <c r="CP16" s="434">
        <v>1564012.86</v>
      </c>
      <c r="CQ16" s="434">
        <v>941404.11</v>
      </c>
      <c r="CR16" s="434">
        <v>11400.69</v>
      </c>
      <c r="CS16" s="434">
        <v>99427.63</v>
      </c>
      <c r="CT16" s="543">
        <v>6519953.3799999999</v>
      </c>
      <c r="CU16" s="434">
        <v>18</v>
      </c>
      <c r="CV16" s="434">
        <v>127937.63</v>
      </c>
      <c r="CW16" s="434">
        <v>3018622.72</v>
      </c>
      <c r="CX16" s="434">
        <v>0</v>
      </c>
      <c r="CY16" s="434">
        <v>171605.24</v>
      </c>
      <c r="CZ16" s="434">
        <v>0</v>
      </c>
      <c r="DA16" s="434">
        <v>49645.19</v>
      </c>
      <c r="DB16" s="434">
        <v>5136051.1500000004</v>
      </c>
      <c r="DC16" s="434">
        <v>2896536.48</v>
      </c>
      <c r="DD16" s="434">
        <v>4073623.48</v>
      </c>
      <c r="DE16" s="434">
        <v>7737990.9900000002</v>
      </c>
      <c r="DF16" s="434">
        <v>24020.959999999999</v>
      </c>
      <c r="DG16" s="434"/>
      <c r="DH16" s="434"/>
      <c r="DI16" s="434">
        <v>860262.92</v>
      </c>
      <c r="DJ16" s="434">
        <v>0</v>
      </c>
      <c r="DK16" s="434"/>
      <c r="DL16" s="434">
        <v>0</v>
      </c>
      <c r="DM16" s="434">
        <v>235363.45</v>
      </c>
      <c r="DN16" s="434">
        <v>0</v>
      </c>
      <c r="DO16" s="543">
        <v>65954.3</v>
      </c>
      <c r="DP16" s="434">
        <v>3902.22</v>
      </c>
      <c r="DQ16" s="434">
        <v>62450.14</v>
      </c>
      <c r="DR16" s="434">
        <v>1253902.96</v>
      </c>
      <c r="DS16" s="434">
        <v>347980.23</v>
      </c>
      <c r="DT16" s="434">
        <v>0</v>
      </c>
      <c r="DU16" s="434">
        <v>1003628.53</v>
      </c>
      <c r="DV16" s="434">
        <v>12398989.550000001</v>
      </c>
      <c r="DW16" s="434">
        <v>56643.03</v>
      </c>
      <c r="DX16" s="434">
        <v>0</v>
      </c>
      <c r="DY16" s="434">
        <v>0</v>
      </c>
      <c r="DZ16" s="434">
        <v>40818.32</v>
      </c>
      <c r="EA16" s="434">
        <v>388021.42</v>
      </c>
      <c r="EB16" s="434">
        <v>30075.69</v>
      </c>
      <c r="EC16" s="434">
        <v>71377.7</v>
      </c>
      <c r="ED16" s="434">
        <v>9718.01</v>
      </c>
      <c r="EE16" s="434">
        <v>33374.019999999997</v>
      </c>
      <c r="EF16" s="434">
        <v>9241656.5500000007</v>
      </c>
      <c r="EG16" s="434">
        <v>353733.55</v>
      </c>
      <c r="EH16" s="434">
        <v>800</v>
      </c>
      <c r="EI16" s="434">
        <v>0</v>
      </c>
      <c r="EJ16" s="543">
        <v>4348633.2699999996</v>
      </c>
      <c r="EK16" s="434">
        <v>2267826.33</v>
      </c>
      <c r="EL16" s="434">
        <v>16473.48</v>
      </c>
      <c r="EM16" s="434">
        <v>0</v>
      </c>
      <c r="EN16" s="434">
        <v>77198.3</v>
      </c>
      <c r="EO16" s="434">
        <v>0</v>
      </c>
      <c r="EP16" s="434">
        <v>0</v>
      </c>
      <c r="EQ16" s="434">
        <v>4817.93</v>
      </c>
      <c r="ER16" s="770">
        <f>45050940</f>
        <v>45050940</v>
      </c>
      <c r="ES16" s="434">
        <v>2654564.98</v>
      </c>
      <c r="ET16" s="434">
        <v>161107.58000000002</v>
      </c>
      <c r="EU16" s="434">
        <v>232025.56</v>
      </c>
      <c r="EV16" s="434">
        <v>87799.54</v>
      </c>
      <c r="EW16" s="434">
        <v>0</v>
      </c>
      <c r="EX16" s="434">
        <v>554064.41</v>
      </c>
      <c r="EY16" s="434">
        <v>0</v>
      </c>
      <c r="EZ16" s="434">
        <v>130803.23</v>
      </c>
      <c r="FA16" s="434">
        <v>348521.04</v>
      </c>
      <c r="FB16" s="434">
        <v>1163734.8799999999</v>
      </c>
      <c r="FC16" s="434">
        <v>21725747.399999999</v>
      </c>
      <c r="FD16" s="434">
        <v>2759605.82</v>
      </c>
      <c r="FE16" s="434">
        <v>17037.2</v>
      </c>
      <c r="FF16" s="543">
        <v>382137.58</v>
      </c>
      <c r="FG16" s="434">
        <v>0</v>
      </c>
      <c r="FH16" s="434">
        <v>17.829999999999998</v>
      </c>
      <c r="FI16" s="434">
        <v>27181.64</v>
      </c>
      <c r="FJ16" s="434">
        <v>138767.21</v>
      </c>
      <c r="FK16" s="434">
        <v>260705.85</v>
      </c>
      <c r="FL16" s="434">
        <v>229568.69</v>
      </c>
      <c r="FM16" s="434">
        <v>46179.57</v>
      </c>
      <c r="FN16" s="772">
        <f>98848927+2455353</f>
        <v>101304280</v>
      </c>
      <c r="FO16" s="772">
        <v>73013542.780000001</v>
      </c>
      <c r="FP16" s="434">
        <v>380520.94</v>
      </c>
      <c r="FQ16" s="434">
        <v>314610.92</v>
      </c>
      <c r="FR16" s="434">
        <v>468807.38</v>
      </c>
      <c r="FS16" s="434">
        <v>0</v>
      </c>
      <c r="FT16" s="434">
        <v>1840611.84</v>
      </c>
      <c r="FU16" s="434">
        <v>10871.81</v>
      </c>
      <c r="FV16" s="434">
        <v>3642382.66</v>
      </c>
      <c r="FW16" s="434">
        <v>99458.84</v>
      </c>
      <c r="FX16" s="434">
        <v>2347444.31</v>
      </c>
      <c r="FY16" s="434"/>
      <c r="FZ16" s="434">
        <v>305995.08</v>
      </c>
      <c r="GA16" s="543">
        <v>17750.14</v>
      </c>
      <c r="GB16" s="434">
        <v>356192.81</v>
      </c>
      <c r="GC16" s="522">
        <v>13527509.09</v>
      </c>
      <c r="GD16" s="434">
        <v>32372.41</v>
      </c>
      <c r="GE16" s="434">
        <v>1930.11</v>
      </c>
      <c r="GF16" s="434">
        <v>133.08000000000001</v>
      </c>
      <c r="GG16" s="770">
        <v>56086086</v>
      </c>
      <c r="GH16" s="434">
        <v>7679092</v>
      </c>
      <c r="GI16" s="434">
        <v>0</v>
      </c>
      <c r="GJ16" s="434">
        <v>18300.73</v>
      </c>
      <c r="GK16" s="432">
        <v>80030.679999999993</v>
      </c>
      <c r="GL16" s="434">
        <v>0</v>
      </c>
      <c r="GM16" s="434">
        <v>615895.73</v>
      </c>
      <c r="GN16" s="434">
        <v>53313.85</v>
      </c>
      <c r="GO16" s="434">
        <v>1194060.08</v>
      </c>
      <c r="GP16" s="434">
        <v>48603.4</v>
      </c>
      <c r="GQ16" s="434">
        <v>18912.32</v>
      </c>
      <c r="GR16" s="434">
        <v>131.04</v>
      </c>
      <c r="GS16" s="434">
        <v>0</v>
      </c>
      <c r="GT16" s="434">
        <v>2939334.19</v>
      </c>
      <c r="GU16" s="433">
        <v>6795618.8700000001</v>
      </c>
      <c r="GV16" s="522">
        <v>25500434.25</v>
      </c>
      <c r="GW16" s="434">
        <v>198027.09</v>
      </c>
      <c r="GX16" s="434">
        <v>362843.46</v>
      </c>
      <c r="GY16" s="434">
        <v>0</v>
      </c>
      <c r="GZ16" s="434">
        <v>166596.42000000001</v>
      </c>
      <c r="HA16" s="434">
        <v>0</v>
      </c>
      <c r="HB16" s="434">
        <v>38798.480000000003</v>
      </c>
      <c r="HC16" s="434">
        <f>6161642+1450400</f>
        <v>7612042</v>
      </c>
      <c r="HD16" s="434">
        <v>2199786.2000000002</v>
      </c>
      <c r="HE16" s="435">
        <v>0</v>
      </c>
      <c r="HF16" s="434">
        <v>0</v>
      </c>
      <c r="HG16" s="434"/>
      <c r="HH16" s="434">
        <v>0</v>
      </c>
      <c r="HI16" s="434">
        <v>0</v>
      </c>
      <c r="HJ16" s="434">
        <v>227100.78</v>
      </c>
      <c r="HK16" s="434">
        <v>537407.59</v>
      </c>
      <c r="HL16" s="434"/>
      <c r="HM16" s="434"/>
      <c r="HN16" s="434">
        <v>2887014.71</v>
      </c>
      <c r="HO16" s="434">
        <v>0</v>
      </c>
      <c r="HP16" s="543">
        <v>0</v>
      </c>
      <c r="HQ16" s="652">
        <v>0</v>
      </c>
      <c r="HR16" s="434">
        <v>1046020.73</v>
      </c>
      <c r="HS16" s="434">
        <v>5273966.9000000004</v>
      </c>
      <c r="HT16" s="434">
        <v>6671486</v>
      </c>
      <c r="HU16" s="434">
        <v>26815.599999999999</v>
      </c>
      <c r="HV16" s="434">
        <v>0</v>
      </c>
      <c r="HW16" s="434">
        <v>0</v>
      </c>
      <c r="HX16" s="434">
        <v>0</v>
      </c>
      <c r="HY16" s="434">
        <v>0</v>
      </c>
      <c r="HZ16" s="434">
        <v>0</v>
      </c>
      <c r="IA16" s="434">
        <v>0</v>
      </c>
      <c r="IB16" s="434">
        <v>0</v>
      </c>
      <c r="IC16" s="434">
        <v>0</v>
      </c>
      <c r="ID16" s="434">
        <v>0</v>
      </c>
      <c r="IE16" s="434">
        <v>0</v>
      </c>
      <c r="IF16" s="434">
        <v>0</v>
      </c>
      <c r="IG16" s="434">
        <v>0</v>
      </c>
      <c r="IH16" s="434">
        <v>0</v>
      </c>
      <c r="II16" s="434">
        <v>0</v>
      </c>
      <c r="IJ16" s="434">
        <v>1180990.3599999999</v>
      </c>
      <c r="IK16" s="434">
        <v>2146069.37</v>
      </c>
      <c r="IL16" s="543">
        <v>2704660.95</v>
      </c>
      <c r="IM16" s="434">
        <v>0</v>
      </c>
      <c r="IN16" s="434">
        <v>6001920.7199999997</v>
      </c>
      <c r="IO16" s="434">
        <v>2418575.08</v>
      </c>
      <c r="IP16" s="434">
        <v>5024950.21</v>
      </c>
      <c r="IQ16" s="434">
        <v>81594.53</v>
      </c>
      <c r="IR16" s="434">
        <v>0</v>
      </c>
      <c r="IS16" s="434">
        <v>0</v>
      </c>
      <c r="IT16" s="434">
        <v>80791.5</v>
      </c>
      <c r="IU16" s="434">
        <v>0</v>
      </c>
      <c r="IV16" s="434">
        <v>8092899.6900000004</v>
      </c>
      <c r="IW16" s="4">
        <f t="shared" si="8"/>
        <v>658589485.74000049</v>
      </c>
      <c r="IX16" s="7"/>
      <c r="IY16" s="7"/>
      <c r="IZ16" s="7"/>
      <c r="JA16" s="7"/>
      <c r="JB16" s="7"/>
      <c r="JC16" s="7"/>
      <c r="JD16" s="7"/>
      <c r="JE16" s="7"/>
      <c r="JF16" s="7"/>
      <c r="JH16" s="760">
        <f>'FY-09, FEB-09 - JAN-10, w TANs'!IT16</f>
        <v>0</v>
      </c>
      <c r="JI16" s="4">
        <f>'FY-09, FEB-09 - JAN-10, w TANs'!IU16</f>
        <v>554755068.79999983</v>
      </c>
    </row>
    <row r="17" spans="1:269" ht="14.1" customHeight="1">
      <c r="A17" s="406" t="s">
        <v>30</v>
      </c>
      <c r="B17" s="406"/>
      <c r="C17" s="436">
        <v>0</v>
      </c>
      <c r="D17" s="406">
        <v>49.5</v>
      </c>
      <c r="E17" s="406">
        <v>0</v>
      </c>
      <c r="F17" s="406">
        <v>1027.92</v>
      </c>
      <c r="G17" s="406">
        <v>385355.34</v>
      </c>
      <c r="H17" s="406">
        <v>90.03</v>
      </c>
      <c r="I17" s="406">
        <v>5940.8</v>
      </c>
      <c r="J17" s="406">
        <v>38322.660000000003</v>
      </c>
      <c r="K17" s="406">
        <v>1345091.6</v>
      </c>
      <c r="L17" s="406">
        <v>2405.9299999999998</v>
      </c>
      <c r="M17" s="436">
        <v>1498.88</v>
      </c>
      <c r="N17" s="406">
        <f>160+735</f>
        <v>895</v>
      </c>
      <c r="O17" s="406">
        <v>87.12</v>
      </c>
      <c r="P17" s="406">
        <v>987.46</v>
      </c>
      <c r="Q17" s="406"/>
      <c r="R17" s="406"/>
      <c r="S17" s="406">
        <v>87.5</v>
      </c>
      <c r="T17" s="437">
        <f>4558.06+1668.89</f>
        <v>6226.9500000000007</v>
      </c>
      <c r="U17" s="406"/>
      <c r="V17" s="406"/>
      <c r="W17" s="406">
        <v>198</v>
      </c>
      <c r="X17" s="406"/>
      <c r="Y17" s="406">
        <v>1196</v>
      </c>
      <c r="Z17" s="406">
        <f>1229+5255.67</f>
        <v>6484.67</v>
      </c>
      <c r="AA17" s="406">
        <f>3704.23+1390.5</f>
        <v>5094.7299999999996</v>
      </c>
      <c r="AB17" s="406">
        <v>1166.79</v>
      </c>
      <c r="AC17" s="406">
        <v>625.70000000000005</v>
      </c>
      <c r="AD17" s="406">
        <v>1192.45</v>
      </c>
      <c r="AE17" s="406">
        <v>1999.45</v>
      </c>
      <c r="AF17" s="406">
        <v>23334.97</v>
      </c>
      <c r="AG17" s="436"/>
      <c r="AH17" s="406"/>
      <c r="AI17" s="406"/>
      <c r="AJ17" s="406"/>
      <c r="AK17" s="406"/>
      <c r="AL17" s="406"/>
      <c r="AM17" s="406"/>
      <c r="AN17" s="406">
        <f>43729.2+1108.1</f>
        <v>44837.299999999996</v>
      </c>
      <c r="AO17" s="572"/>
      <c r="AP17" s="406">
        <v>2448.02</v>
      </c>
      <c r="AQ17" s="406"/>
      <c r="AR17" s="406">
        <v>770.91</v>
      </c>
      <c r="AS17" s="406">
        <v>109</v>
      </c>
      <c r="AT17" s="406">
        <f>403.13+517.58</f>
        <v>920.71</v>
      </c>
      <c r="AU17" s="406">
        <v>26.35</v>
      </c>
      <c r="AV17" s="406">
        <v>1055.45</v>
      </c>
      <c r="AW17" s="406">
        <v>1347.58</v>
      </c>
      <c r="AX17" s="406">
        <v>83.5</v>
      </c>
      <c r="AY17" s="406">
        <v>90</v>
      </c>
      <c r="AZ17" s="406">
        <v>280</v>
      </c>
      <c r="BA17" s="406">
        <f>118.58+16.5</f>
        <v>135.07999999999998</v>
      </c>
      <c r="BB17" s="406">
        <v>1293.4000000000001</v>
      </c>
      <c r="BC17" s="406">
        <v>1489.65</v>
      </c>
      <c r="BD17" s="436"/>
      <c r="BE17" s="406"/>
      <c r="BF17" s="406">
        <f>624137.88+1286.1</f>
        <v>625423.98</v>
      </c>
      <c r="BG17" s="406">
        <v>84</v>
      </c>
      <c r="BH17" s="406">
        <f>4168.34+2452.6</f>
        <v>6620.9400000000005</v>
      </c>
      <c r="BI17" s="406"/>
      <c r="BJ17" s="406">
        <v>152</v>
      </c>
      <c r="BK17" s="406">
        <v>670</v>
      </c>
      <c r="BL17" s="406">
        <f>419970.51+300</f>
        <v>420270.51</v>
      </c>
      <c r="BM17" s="406">
        <v>1055575.6399999999</v>
      </c>
      <c r="BN17" s="406">
        <v>500</v>
      </c>
      <c r="BO17" s="406">
        <v>138.54</v>
      </c>
      <c r="BP17" s="406">
        <v>670</v>
      </c>
      <c r="BQ17" s="406">
        <v>670</v>
      </c>
      <c r="BR17" s="406">
        <v>1511</v>
      </c>
      <c r="BS17" s="406">
        <v>1528.3</v>
      </c>
      <c r="BT17" s="406">
        <v>531</v>
      </c>
      <c r="BU17" s="406"/>
      <c r="BV17" s="406">
        <v>135.5</v>
      </c>
      <c r="BW17" s="406">
        <v>54</v>
      </c>
      <c r="BX17" s="406">
        <f>851969.46+150</f>
        <v>852119.46</v>
      </c>
      <c r="BY17" s="436">
        <v>6378</v>
      </c>
      <c r="BZ17" s="406">
        <v>16.5</v>
      </c>
      <c r="CA17" s="406">
        <v>4293.41</v>
      </c>
      <c r="CB17" s="406">
        <v>2220.44</v>
      </c>
      <c r="CC17" s="406"/>
      <c r="CD17" s="406"/>
      <c r="CE17" s="406">
        <v>345</v>
      </c>
      <c r="CF17" s="406"/>
      <c r="CG17" s="406">
        <v>5701.03</v>
      </c>
      <c r="CH17" s="406">
        <v>410.55</v>
      </c>
      <c r="CI17" s="406">
        <v>300.17</v>
      </c>
      <c r="CJ17" s="406">
        <v>1899</v>
      </c>
      <c r="CK17" s="406">
        <v>31836</v>
      </c>
      <c r="CL17" s="406">
        <v>1114.83</v>
      </c>
      <c r="CM17" s="406">
        <v>192</v>
      </c>
      <c r="CN17" s="406"/>
      <c r="CO17" s="406">
        <f>109.63+6573</f>
        <v>6682.63</v>
      </c>
      <c r="CP17" s="406">
        <v>4399</v>
      </c>
      <c r="CQ17" s="406">
        <v>874.2</v>
      </c>
      <c r="CR17" s="406">
        <v>3212.5</v>
      </c>
      <c r="CS17" s="406">
        <v>765.2</v>
      </c>
      <c r="CT17" s="436">
        <v>6591</v>
      </c>
      <c r="CU17" s="406">
        <f>450+77.72</f>
        <v>527.72</v>
      </c>
      <c r="CV17" s="406">
        <f>883155.11+5195.33</f>
        <v>888350.44</v>
      </c>
      <c r="CW17" s="406">
        <v>50</v>
      </c>
      <c r="CX17" s="406">
        <v>1231</v>
      </c>
      <c r="CY17" s="406">
        <f>80+22053.02</f>
        <v>22133.02</v>
      </c>
      <c r="CZ17" s="406">
        <v>5484.37</v>
      </c>
      <c r="DA17" s="406">
        <v>1030434.9</v>
      </c>
      <c r="DB17" s="406">
        <f>15670.3+161.27</f>
        <v>15831.57</v>
      </c>
      <c r="DC17" s="406"/>
      <c r="DD17" s="406">
        <f>15441.59+731.66</f>
        <v>16173.25</v>
      </c>
      <c r="DE17" s="406">
        <v>1237.8399999999999</v>
      </c>
      <c r="DF17" s="406"/>
      <c r="DG17" s="406"/>
      <c r="DH17" s="406"/>
      <c r="DI17" s="406"/>
      <c r="DJ17" s="406">
        <v>1480</v>
      </c>
      <c r="DK17" s="406"/>
      <c r="DL17" s="406">
        <v>1124.8900000000001</v>
      </c>
      <c r="DM17" s="406"/>
      <c r="DN17" s="406"/>
      <c r="DO17" s="436">
        <v>25023.88</v>
      </c>
      <c r="DP17" s="406">
        <v>707.88</v>
      </c>
      <c r="DQ17" s="406">
        <f>4892.04+22442.5</f>
        <v>27334.54</v>
      </c>
      <c r="DR17" s="406">
        <v>258.32</v>
      </c>
      <c r="DS17" s="406">
        <v>7558.99</v>
      </c>
      <c r="DT17" s="406">
        <f>1752.27+132</f>
        <v>1884.27</v>
      </c>
      <c r="DU17" s="406">
        <f>1381.78+328.85</f>
        <v>1710.63</v>
      </c>
      <c r="DV17" s="406">
        <v>699.74</v>
      </c>
      <c r="DW17" s="406">
        <f>1612.84+101.5</f>
        <v>1714.34</v>
      </c>
      <c r="DX17" s="406"/>
      <c r="DY17" s="406">
        <v>849755.43</v>
      </c>
      <c r="DZ17" s="406">
        <v>39052.51</v>
      </c>
      <c r="EA17" s="406"/>
      <c r="EB17" s="406">
        <v>5250</v>
      </c>
      <c r="EC17" s="406"/>
      <c r="ED17" s="406">
        <v>12362.9</v>
      </c>
      <c r="EE17" s="406"/>
      <c r="EF17" s="406"/>
      <c r="EG17" s="406">
        <v>347.11</v>
      </c>
      <c r="EH17" s="406"/>
      <c r="EI17" s="406">
        <v>1166.6600000000001</v>
      </c>
      <c r="EJ17" s="436">
        <v>12362.9</v>
      </c>
      <c r="EK17" s="406">
        <v>3120.01</v>
      </c>
      <c r="EL17" s="406"/>
      <c r="EM17" s="406"/>
      <c r="EN17" s="406"/>
      <c r="EO17" s="406">
        <f>1713.83+1592.64</f>
        <v>3306.4700000000003</v>
      </c>
      <c r="EP17" s="406">
        <v>81458.149999999994</v>
      </c>
      <c r="EQ17" s="406">
        <v>650000</v>
      </c>
      <c r="ER17" s="406">
        <v>235</v>
      </c>
      <c r="ES17" s="406"/>
      <c r="ET17" s="406"/>
      <c r="EU17" s="406"/>
      <c r="EV17" s="406"/>
      <c r="EW17" s="406">
        <v>2759.79</v>
      </c>
      <c r="EX17" s="406">
        <v>18178.29</v>
      </c>
      <c r="EY17" s="406">
        <v>216</v>
      </c>
      <c r="EZ17" s="406">
        <v>148.72</v>
      </c>
      <c r="FA17" s="406">
        <v>640</v>
      </c>
      <c r="FB17" s="406">
        <f>784.02+390</f>
        <v>1174.02</v>
      </c>
      <c r="FC17" s="406">
        <v>204</v>
      </c>
      <c r="FD17" s="406">
        <v>845</v>
      </c>
      <c r="FE17" s="406"/>
      <c r="FF17" s="436">
        <v>227450.96</v>
      </c>
      <c r="FG17" s="406">
        <v>12000</v>
      </c>
      <c r="FH17" s="406">
        <f>509.23+189</f>
        <v>698.23</v>
      </c>
      <c r="FI17" s="406">
        <v>305</v>
      </c>
      <c r="FJ17" s="406">
        <v>1602.9</v>
      </c>
      <c r="FK17" s="406">
        <f>213.29+4547.09</f>
        <v>4760.38</v>
      </c>
      <c r="FL17" s="406"/>
      <c r="FM17" s="437">
        <f>42.69+147</f>
        <v>189.69</v>
      </c>
      <c r="FN17" s="406">
        <v>1305</v>
      </c>
      <c r="FO17" s="406">
        <v>1292.4000000000001</v>
      </c>
      <c r="FP17" s="406">
        <v>1128.8</v>
      </c>
      <c r="FQ17" s="406">
        <f>1828.54+983.3</f>
        <v>2811.84</v>
      </c>
      <c r="FR17" s="406">
        <v>12</v>
      </c>
      <c r="FS17" s="406">
        <f>303.41+383.5</f>
        <v>686.91000000000008</v>
      </c>
      <c r="FT17" s="406">
        <v>349.1</v>
      </c>
      <c r="FU17" s="406">
        <v>228.99</v>
      </c>
      <c r="FV17" s="406">
        <v>85</v>
      </c>
      <c r="FW17" s="406"/>
      <c r="FX17" s="406">
        <f>160011+1419</f>
        <v>161430</v>
      </c>
      <c r="FY17" s="406">
        <v>3092.2</v>
      </c>
      <c r="FZ17" s="406">
        <v>792.3</v>
      </c>
      <c r="GA17" s="436"/>
      <c r="GB17" s="406">
        <f>749.95+688</f>
        <v>1437.95</v>
      </c>
      <c r="GC17" s="406">
        <v>387.64</v>
      </c>
      <c r="GD17" s="406">
        <v>870.5</v>
      </c>
      <c r="GE17" s="406">
        <v>5918.48</v>
      </c>
      <c r="GF17" s="406">
        <v>1529</v>
      </c>
      <c r="GG17" s="437">
        <f>367345.91+32</f>
        <v>367377.91</v>
      </c>
      <c r="GH17" s="406">
        <v>552.36</v>
      </c>
      <c r="GI17" s="406">
        <v>1163.08</v>
      </c>
      <c r="GJ17" s="406">
        <v>530</v>
      </c>
      <c r="GK17" s="437">
        <v>1105</v>
      </c>
      <c r="GL17" s="406">
        <v>70</v>
      </c>
      <c r="GM17" s="406">
        <v>1724.42</v>
      </c>
      <c r="GN17" s="406">
        <f>2981.04+977.48</f>
        <v>3958.52</v>
      </c>
      <c r="GO17" s="406">
        <v>6115</v>
      </c>
      <c r="GP17" s="406">
        <f>2244.12+179</f>
        <v>2423.12</v>
      </c>
      <c r="GQ17" s="406">
        <f>1560710.13+2802869.58</f>
        <v>4363579.71</v>
      </c>
      <c r="GR17" s="406">
        <v>2105.5500000000002</v>
      </c>
      <c r="GS17" s="406">
        <v>272.73</v>
      </c>
      <c r="GT17" s="406">
        <f>3693.42+278.1</f>
        <v>3971.52</v>
      </c>
      <c r="GU17" s="436"/>
      <c r="GV17" s="406">
        <f>569.15+508.4</f>
        <v>1077.55</v>
      </c>
      <c r="GW17" s="406">
        <v>979.35</v>
      </c>
      <c r="GX17" s="406">
        <f>358681.87+638.97</f>
        <v>359320.83999999997</v>
      </c>
      <c r="GY17" s="406">
        <v>159706.29999999999</v>
      </c>
      <c r="GZ17" s="406">
        <v>125</v>
      </c>
      <c r="HA17" s="406">
        <v>116.3</v>
      </c>
      <c r="HB17" s="406">
        <v>414.83</v>
      </c>
      <c r="HC17" s="406"/>
      <c r="HD17" s="406"/>
      <c r="HE17" s="406"/>
      <c r="HF17" s="406">
        <v>28.66</v>
      </c>
      <c r="HG17" s="406">
        <v>4510.33</v>
      </c>
      <c r="HH17" s="406">
        <v>416.1</v>
      </c>
      <c r="HI17" s="406">
        <f>3021.19+237.63</f>
        <v>3258.82</v>
      </c>
      <c r="HJ17" s="406">
        <v>969.28</v>
      </c>
      <c r="HK17" s="406">
        <v>1399.1</v>
      </c>
      <c r="HL17" s="406">
        <f>1019.4+122624</f>
        <v>123643.4</v>
      </c>
      <c r="HM17" s="406">
        <v>37.5</v>
      </c>
      <c r="HN17" s="406">
        <f>945.56+160</f>
        <v>1105.56</v>
      </c>
      <c r="HO17" s="406">
        <v>719.11</v>
      </c>
      <c r="HP17" s="436">
        <f>146.34+3723.5</f>
        <v>3869.84</v>
      </c>
      <c r="HQ17" s="406">
        <v>492668.76</v>
      </c>
      <c r="HR17" s="406">
        <v>216.5</v>
      </c>
      <c r="HS17" s="406">
        <v>759.08</v>
      </c>
      <c r="HT17" s="406">
        <v>2360.35</v>
      </c>
      <c r="HU17" s="406">
        <v>1430.4</v>
      </c>
      <c r="HV17" s="406"/>
      <c r="HW17" s="406"/>
      <c r="HX17" s="406"/>
      <c r="HY17" s="406"/>
      <c r="HZ17" s="406"/>
      <c r="IA17" s="406"/>
      <c r="IB17" s="406"/>
      <c r="IC17" s="406"/>
      <c r="ID17" s="406">
        <v>13500</v>
      </c>
      <c r="IE17" s="406">
        <f>848.32+750</f>
        <v>1598.3200000000002</v>
      </c>
      <c r="IF17" s="406">
        <f>140.03+143.88</f>
        <v>283.90999999999997</v>
      </c>
      <c r="IG17" s="406"/>
      <c r="IH17" s="406">
        <v>1307.6300000000001</v>
      </c>
      <c r="II17" s="406"/>
      <c r="IJ17" s="406">
        <v>945.56</v>
      </c>
      <c r="IK17" s="406">
        <v>122.8</v>
      </c>
      <c r="IL17" s="436"/>
      <c r="IM17" s="406">
        <f>64722.62+1392</f>
        <v>66114.62</v>
      </c>
      <c r="IN17" s="406">
        <f>286.19+841</f>
        <v>1127.19</v>
      </c>
      <c r="IO17" s="406">
        <f>16664.39+523.92</f>
        <v>17188.309999999998</v>
      </c>
      <c r="IP17" s="406">
        <v>578.48</v>
      </c>
      <c r="IQ17" s="406"/>
      <c r="IR17" s="406">
        <f>5440.06+645.35</f>
        <v>6085.4100000000008</v>
      </c>
      <c r="IS17" s="406">
        <f>4858.36+776</f>
        <v>5634.36</v>
      </c>
      <c r="IT17" s="406">
        <v>2195</v>
      </c>
      <c r="IU17" s="406">
        <f>7452.5+388</f>
        <v>7840.5</v>
      </c>
      <c r="IV17" s="406">
        <v>5572.45</v>
      </c>
      <c r="IW17" s="4">
        <f t="shared" si="8"/>
        <v>15136208.970000004</v>
      </c>
      <c r="IX17" s="7"/>
      <c r="IY17" s="7"/>
      <c r="IZ17" s="7"/>
      <c r="JA17" s="7"/>
      <c r="JB17" s="7"/>
      <c r="JC17" s="7"/>
      <c r="JD17" s="7"/>
      <c r="JE17" s="7"/>
      <c r="JF17" s="7"/>
      <c r="JH17" s="4">
        <f>'FY-09, FEB-09 - JAN-10, w TANs'!IT17</f>
        <v>0</v>
      </c>
      <c r="JI17" s="4">
        <f>'FY-09, FEB-09 - JAN-10, w TANs'!IU17</f>
        <v>0</v>
      </c>
    </row>
    <row r="18" spans="1:269" ht="14.1" customHeight="1">
      <c r="A18" s="406" t="s">
        <v>37</v>
      </c>
      <c r="B18" s="406"/>
      <c r="C18" s="436">
        <v>37297.300000000003</v>
      </c>
      <c r="D18" s="406">
        <v>37360.699999999997</v>
      </c>
      <c r="E18" s="406">
        <v>44441.37</v>
      </c>
      <c r="F18" s="406">
        <v>42904.160000000003</v>
      </c>
      <c r="G18" s="406">
        <v>44665.74</v>
      </c>
      <c r="H18" s="406">
        <v>69076.479999999996</v>
      </c>
      <c r="I18" s="406">
        <v>1039</v>
      </c>
      <c r="J18" s="406">
        <f>40231.28+278.7</f>
        <v>40509.979999999996</v>
      </c>
      <c r="K18" s="406">
        <v>45409.91</v>
      </c>
      <c r="L18" s="406">
        <v>37918.15</v>
      </c>
      <c r="M18" s="436">
        <v>35933.589999999997</v>
      </c>
      <c r="N18" s="406">
        <f>34344.66+124.45</f>
        <v>34469.11</v>
      </c>
      <c r="O18" s="406">
        <v>44567.8</v>
      </c>
      <c r="P18" s="406">
        <v>41613.67</v>
      </c>
      <c r="Q18" s="406">
        <v>42050.38</v>
      </c>
      <c r="R18" s="406">
        <v>40254.269999999997</v>
      </c>
      <c r="S18" s="406">
        <v>38101.5</v>
      </c>
      <c r="T18" s="406">
        <v>44974.1</v>
      </c>
      <c r="U18" s="406">
        <v>40357.29</v>
      </c>
      <c r="V18" s="406">
        <v>37736.410000000003</v>
      </c>
      <c r="W18" s="406">
        <v>59758.59</v>
      </c>
      <c r="X18" s="406">
        <v>401696.01</v>
      </c>
      <c r="Y18" s="406">
        <v>43307.98</v>
      </c>
      <c r="Z18" s="406">
        <v>64892.63</v>
      </c>
      <c r="AA18" s="406">
        <v>31425.17</v>
      </c>
      <c r="AB18" s="406">
        <v>38862.26</v>
      </c>
      <c r="AC18" s="406">
        <v>41394.949999999997</v>
      </c>
      <c r="AD18" s="406">
        <v>43569.57</v>
      </c>
      <c r="AE18" s="406">
        <v>39411.300000000003</v>
      </c>
      <c r="AF18" s="406">
        <v>34202.230000000003</v>
      </c>
      <c r="AG18" s="436">
        <v>34407.97</v>
      </c>
      <c r="AH18" s="406">
        <v>3080.8</v>
      </c>
      <c r="AI18" s="406">
        <v>581</v>
      </c>
      <c r="AJ18" s="406">
        <v>558.15</v>
      </c>
      <c r="AK18" s="406">
        <v>269.5</v>
      </c>
      <c r="AL18" s="406">
        <v>295.5</v>
      </c>
      <c r="AM18" s="406">
        <v>31156.73</v>
      </c>
      <c r="AN18" s="406">
        <v>43822.2</v>
      </c>
      <c r="AO18" s="572">
        <v>76620.37</v>
      </c>
      <c r="AP18" s="406">
        <v>39438.339999999997</v>
      </c>
      <c r="AQ18" s="406">
        <v>39569.620000000003</v>
      </c>
      <c r="AR18" s="406">
        <v>36019.54</v>
      </c>
      <c r="AS18" s="406">
        <v>41277.29</v>
      </c>
      <c r="AT18" s="406">
        <v>41530.97</v>
      </c>
      <c r="AU18" s="406">
        <v>35464.050000000003</v>
      </c>
      <c r="AV18" s="406">
        <v>36255.22</v>
      </c>
      <c r="AW18" s="406">
        <v>37801.57</v>
      </c>
      <c r="AX18" s="406">
        <v>75695.58</v>
      </c>
      <c r="AY18" s="406">
        <v>38574.559999999998</v>
      </c>
      <c r="AZ18" s="406">
        <v>36763.760000000002</v>
      </c>
      <c r="BA18" s="406">
        <v>36605.29</v>
      </c>
      <c r="BB18" s="406">
        <v>36059.18</v>
      </c>
      <c r="BC18" s="406">
        <v>41439.69</v>
      </c>
      <c r="BD18" s="436">
        <v>33869.03</v>
      </c>
      <c r="BE18" s="406">
        <v>35301.08</v>
      </c>
      <c r="BF18" s="406">
        <v>39643.79</v>
      </c>
      <c r="BG18" s="406">
        <v>39783.1</v>
      </c>
      <c r="BH18" s="406">
        <v>43138.07</v>
      </c>
      <c r="BI18" s="406">
        <v>40669.410000000003</v>
      </c>
      <c r="BJ18" s="406">
        <v>36634.49</v>
      </c>
      <c r="BK18" s="406">
        <v>38490.74</v>
      </c>
      <c r="BL18" s="406">
        <v>40817.11</v>
      </c>
      <c r="BM18" s="406">
        <v>40226.85</v>
      </c>
      <c r="BN18" s="406">
        <v>76382.27</v>
      </c>
      <c r="BO18" s="406">
        <v>26010.1</v>
      </c>
      <c r="BP18" s="406">
        <v>28399.06</v>
      </c>
      <c r="BQ18" s="406">
        <v>67823.839999999997</v>
      </c>
      <c r="BR18" s="406">
        <v>41712.089999999997</v>
      </c>
      <c r="BS18" s="406">
        <v>36446.99</v>
      </c>
      <c r="BT18" s="406">
        <v>36480.629999999997</v>
      </c>
      <c r="BU18" s="406">
        <v>34145.07</v>
      </c>
      <c r="BV18" s="406">
        <f>33099.34+353.6</f>
        <v>33452.939999999995</v>
      </c>
      <c r="BW18" s="406">
        <v>38543.4</v>
      </c>
      <c r="BX18" s="406">
        <v>35007.35</v>
      </c>
      <c r="BY18" s="436">
        <v>33953.35</v>
      </c>
      <c r="BZ18" s="406">
        <v>31383.27</v>
      </c>
      <c r="CA18" s="406">
        <v>31508.85</v>
      </c>
      <c r="CB18" s="406">
        <v>41549.21</v>
      </c>
      <c r="CC18" s="406">
        <v>103333.5</v>
      </c>
      <c r="CD18" s="406">
        <v>30866.38</v>
      </c>
      <c r="CE18" s="406">
        <v>1466.52</v>
      </c>
      <c r="CF18" s="406">
        <v>27701.19</v>
      </c>
      <c r="CG18" s="406">
        <v>30774.54</v>
      </c>
      <c r="CH18" s="406">
        <v>30521.26</v>
      </c>
      <c r="CI18" s="406">
        <v>25560.78</v>
      </c>
      <c r="CJ18" s="406">
        <v>25270.35</v>
      </c>
      <c r="CK18" s="406">
        <v>16823.240000000002</v>
      </c>
      <c r="CL18" s="406">
        <v>16824.099999999999</v>
      </c>
      <c r="CM18" s="406">
        <v>15483.5</v>
      </c>
      <c r="CN18" s="406">
        <v>17180.189999999999</v>
      </c>
      <c r="CO18" s="406">
        <v>21291.58</v>
      </c>
      <c r="CP18" s="406"/>
      <c r="CQ18" s="406">
        <v>87.8</v>
      </c>
      <c r="CR18" s="406">
        <v>0</v>
      </c>
      <c r="CS18" s="406">
        <v>25</v>
      </c>
      <c r="CT18" s="436">
        <v>0</v>
      </c>
      <c r="CU18" s="406">
        <v>1917.72</v>
      </c>
      <c r="CV18" s="406">
        <v>0</v>
      </c>
      <c r="CW18" s="406">
        <v>0</v>
      </c>
      <c r="CX18" s="406"/>
      <c r="CY18" s="406">
        <v>22</v>
      </c>
      <c r="CZ18" s="406"/>
      <c r="DA18" s="406">
        <v>29671.119999999999</v>
      </c>
      <c r="DB18" s="406"/>
      <c r="DC18" s="406"/>
      <c r="DD18" s="406"/>
      <c r="DE18" s="406"/>
      <c r="DF18" s="406">
        <v>624.4</v>
      </c>
      <c r="DG18" s="406"/>
      <c r="DH18" s="406"/>
      <c r="DI18" s="406">
        <v>98</v>
      </c>
      <c r="DJ18" s="406">
        <v>560.70000000000005</v>
      </c>
      <c r="DK18" s="406"/>
      <c r="DL18" s="406"/>
      <c r="DM18" s="406">
        <v>135033.32999999999</v>
      </c>
      <c r="DN18" s="406">
        <v>4662.5</v>
      </c>
      <c r="DO18" s="436">
        <v>-1402.39</v>
      </c>
      <c r="DP18" s="406"/>
      <c r="DQ18" s="406"/>
      <c r="DR18" s="406"/>
      <c r="DS18" s="406"/>
      <c r="DT18" s="406">
        <v>2676.65</v>
      </c>
      <c r="DU18" s="406"/>
      <c r="DV18" s="406"/>
      <c r="DW18" s="406">
        <v>200</v>
      </c>
      <c r="DX18" s="406"/>
      <c r="DY18" s="406">
        <v>2401.1</v>
      </c>
      <c r="DZ18" s="406"/>
      <c r="EA18" s="406">
        <v>29.75</v>
      </c>
      <c r="EB18" s="406">
        <v>20</v>
      </c>
      <c r="EC18" s="406">
        <v>467.85</v>
      </c>
      <c r="ED18" s="406">
        <v>80</v>
      </c>
      <c r="EE18" s="406">
        <v>225</v>
      </c>
      <c r="EF18" s="406">
        <v>102</v>
      </c>
      <c r="EG18" s="406">
        <v>171.4</v>
      </c>
      <c r="EH18" s="406">
        <v>283.51</v>
      </c>
      <c r="EI18" s="406">
        <v>245.55</v>
      </c>
      <c r="EJ18" s="436">
        <v>104279.98</v>
      </c>
      <c r="EK18" s="406"/>
      <c r="EL18" s="406">
        <v>842.25</v>
      </c>
      <c r="EM18" s="406">
        <v>628.6</v>
      </c>
      <c r="EN18" s="406">
        <v>522</v>
      </c>
      <c r="EO18" s="406">
        <v>464.5</v>
      </c>
      <c r="EP18" s="406">
        <v>448</v>
      </c>
      <c r="EQ18" s="406">
        <v>5360.83</v>
      </c>
      <c r="ER18" s="406">
        <v>27320.75</v>
      </c>
      <c r="ES18" s="406">
        <v>77886.77</v>
      </c>
      <c r="ET18" s="406">
        <v>37010.33</v>
      </c>
      <c r="EU18" s="406">
        <v>39091.71</v>
      </c>
      <c r="EV18" s="406">
        <v>37258.629999999997</v>
      </c>
      <c r="EW18" s="406">
        <v>42004.27</v>
      </c>
      <c r="EX18" s="406">
        <v>34565.83</v>
      </c>
      <c r="EY18" s="406">
        <v>40526.269999999997</v>
      </c>
      <c r="EZ18" s="406">
        <v>40113.949999999997</v>
      </c>
      <c r="FA18" s="406">
        <v>38165.03</v>
      </c>
      <c r="FB18" s="406">
        <v>40994.26</v>
      </c>
      <c r="FC18" s="406">
        <v>38257.949999999997</v>
      </c>
      <c r="FD18" s="406">
        <v>35767.26</v>
      </c>
      <c r="FE18" s="406">
        <v>37398.870000000003</v>
      </c>
      <c r="FF18" s="436">
        <v>39363.22</v>
      </c>
      <c r="FG18" s="406">
        <f>36688.12+197.95</f>
        <v>36886.07</v>
      </c>
      <c r="FH18" s="406">
        <f>37538.06+116.55</f>
        <v>37654.61</v>
      </c>
      <c r="FI18" s="406">
        <v>37047.440000000002</v>
      </c>
      <c r="FJ18" s="406">
        <v>40896.1</v>
      </c>
      <c r="FK18" s="406">
        <v>39393.85</v>
      </c>
      <c r="FL18" s="406">
        <v>33903.31</v>
      </c>
      <c r="FM18" s="406">
        <v>35542.75</v>
      </c>
      <c r="FN18" s="406">
        <v>85148.43</v>
      </c>
      <c r="FO18" s="406">
        <v>21019.54</v>
      </c>
      <c r="FP18" s="406">
        <v>15610.79</v>
      </c>
      <c r="FQ18" s="406">
        <v>36082.699999999997</v>
      </c>
      <c r="FR18" s="406">
        <v>33258.25</v>
      </c>
      <c r="FS18" s="406">
        <v>17456.03</v>
      </c>
      <c r="FT18" s="406">
        <v>37693.67</v>
      </c>
      <c r="FU18" s="406">
        <v>37733.58</v>
      </c>
      <c r="FV18" s="406">
        <v>34659.519999999997</v>
      </c>
      <c r="FW18" s="406">
        <v>34295.879999999997</v>
      </c>
      <c r="FX18" s="406">
        <v>54532.5</v>
      </c>
      <c r="FY18" s="406">
        <v>44684.02</v>
      </c>
      <c r="FZ18" s="406">
        <v>38787</v>
      </c>
      <c r="GA18" s="436">
        <v>30228.98</v>
      </c>
      <c r="GB18" s="406">
        <v>36209.06</v>
      </c>
      <c r="GC18" s="406">
        <v>39000.51</v>
      </c>
      <c r="GD18" s="406">
        <v>39570.11</v>
      </c>
      <c r="GE18" s="406">
        <v>35601.42</v>
      </c>
      <c r="GF18" s="406">
        <v>36888.04</v>
      </c>
      <c r="GG18" s="406">
        <v>30852.15</v>
      </c>
      <c r="GH18" s="406">
        <v>30566.55</v>
      </c>
      <c r="GI18" s="406">
        <v>67523.100000000006</v>
      </c>
      <c r="GJ18" s="406">
        <v>34092.51</v>
      </c>
      <c r="GK18" s="406">
        <v>35601.74</v>
      </c>
      <c r="GL18" s="406">
        <v>32770.379999999997</v>
      </c>
      <c r="GM18" s="406">
        <f>34819.36+146.25</f>
        <v>34965.61</v>
      </c>
      <c r="GN18" s="406">
        <v>34281.42</v>
      </c>
      <c r="GO18" s="406">
        <v>38279.68</v>
      </c>
      <c r="GP18" s="406">
        <v>32245.439999999999</v>
      </c>
      <c r="GQ18" s="406">
        <v>34537.83</v>
      </c>
      <c r="GR18" s="406">
        <v>36397.620000000003</v>
      </c>
      <c r="GS18" s="406">
        <v>150</v>
      </c>
      <c r="GT18" s="406">
        <v>63783.63</v>
      </c>
      <c r="GU18" s="436">
        <v>45194.64</v>
      </c>
      <c r="GV18" s="406">
        <v>35415.040000000001</v>
      </c>
      <c r="GW18" s="406">
        <v>37734.550000000003</v>
      </c>
      <c r="GX18" s="406">
        <v>36590.99</v>
      </c>
      <c r="GY18" s="406">
        <v>32873.910000000003</v>
      </c>
      <c r="GZ18" s="406">
        <v>34941.29</v>
      </c>
      <c r="HA18" s="406">
        <v>3583.15</v>
      </c>
      <c r="HB18" s="406">
        <v>609.6</v>
      </c>
      <c r="HC18" s="406">
        <v>279.95</v>
      </c>
      <c r="HD18" s="406">
        <v>97.48</v>
      </c>
      <c r="HE18" s="406">
        <v>64601.68</v>
      </c>
      <c r="HF18" s="406">
        <v>35570.269999999997</v>
      </c>
      <c r="HG18" s="406">
        <v>34170.67</v>
      </c>
      <c r="HH18" s="406">
        <v>35747.69</v>
      </c>
      <c r="HI18" s="406">
        <v>34845.08</v>
      </c>
      <c r="HJ18" s="406">
        <v>33855.120000000003</v>
      </c>
      <c r="HK18" s="406">
        <v>37648.410000000003</v>
      </c>
      <c r="HL18" s="406">
        <v>33925.49</v>
      </c>
      <c r="HM18" s="406">
        <v>29080.71</v>
      </c>
      <c r="HN18" s="406">
        <v>37093.39</v>
      </c>
      <c r="HO18" s="406">
        <v>32739.31</v>
      </c>
      <c r="HP18" s="436">
        <v>31216.89</v>
      </c>
      <c r="HQ18" s="406">
        <v>44632.28</v>
      </c>
      <c r="HR18" s="406">
        <v>28108.57</v>
      </c>
      <c r="HS18" s="406">
        <v>29979.5</v>
      </c>
      <c r="HT18" s="406">
        <v>2305.6</v>
      </c>
      <c r="HU18" s="406">
        <v>454.2</v>
      </c>
      <c r="HV18" s="406">
        <v>1280</v>
      </c>
      <c r="HW18" s="406">
        <v>200.75</v>
      </c>
      <c r="HX18" s="406">
        <v>104</v>
      </c>
      <c r="HY18" s="406">
        <v>50</v>
      </c>
      <c r="HZ18" s="406">
        <v>45</v>
      </c>
      <c r="IA18" s="406">
        <v>254.15</v>
      </c>
      <c r="IB18" s="406">
        <v>53.6</v>
      </c>
      <c r="IC18" s="406">
        <v>149.25</v>
      </c>
      <c r="ID18" s="406">
        <v>12958.57</v>
      </c>
      <c r="IE18" s="406">
        <v>5217.1000000000004</v>
      </c>
      <c r="IF18" s="406">
        <v>41239.54</v>
      </c>
      <c r="IG18" s="406">
        <v>36845.39</v>
      </c>
      <c r="IH18" s="406">
        <v>36425.870000000003</v>
      </c>
      <c r="II18" s="406">
        <v>32112.39</v>
      </c>
      <c r="IJ18" s="406">
        <v>35213.21</v>
      </c>
      <c r="IK18" s="406">
        <v>21087.7</v>
      </c>
      <c r="IL18" s="436">
        <v>20217.57</v>
      </c>
      <c r="IM18" s="406">
        <v>18547.62</v>
      </c>
      <c r="IN18" s="406">
        <v>17944.830000000002</v>
      </c>
      <c r="IO18" s="406">
        <v>189325.39</v>
      </c>
      <c r="IP18" s="406">
        <v>32690.54</v>
      </c>
      <c r="IQ18" s="406">
        <v>31964.5</v>
      </c>
      <c r="IR18" s="406">
        <v>31966.5</v>
      </c>
      <c r="IS18" s="406">
        <v>34170.639999999999</v>
      </c>
      <c r="IT18" s="406">
        <v>32280.75</v>
      </c>
      <c r="IU18" s="406">
        <v>68364.100000000006</v>
      </c>
      <c r="IV18" s="406">
        <v>31122.79</v>
      </c>
      <c r="IW18" s="4">
        <f t="shared" si="8"/>
        <v>7547093.6799999978</v>
      </c>
      <c r="IX18" s="7"/>
      <c r="IY18" s="7"/>
      <c r="IZ18" s="7"/>
      <c r="JA18" s="7"/>
      <c r="JB18" s="7"/>
      <c r="JC18" s="7"/>
      <c r="JD18" s="7"/>
      <c r="JE18" s="7"/>
      <c r="JF18" s="7"/>
      <c r="JH18" s="4">
        <f>'FY-09, FEB-09 - JAN-10, w TANs'!IT18</f>
        <v>0</v>
      </c>
      <c r="JI18" s="4">
        <f>'FY-09, FEB-09 - JAN-10, w TANs'!IU18</f>
        <v>7410843.2755000014</v>
      </c>
    </row>
    <row r="19" spans="1:269" ht="14.1" customHeight="1">
      <c r="A19" s="406" t="s">
        <v>29</v>
      </c>
      <c r="B19" s="406"/>
      <c r="C19" s="440">
        <v>0</v>
      </c>
      <c r="D19" s="425">
        <v>0</v>
      </c>
      <c r="E19" s="425">
        <v>1270061.43</v>
      </c>
      <c r="F19" s="425"/>
      <c r="G19" s="425">
        <v>124238.94</v>
      </c>
      <c r="H19" s="425"/>
      <c r="I19" s="425">
        <v>40035.440000000002</v>
      </c>
      <c r="J19" s="425">
        <f>1452233.39+218</f>
        <v>1452451.39</v>
      </c>
      <c r="K19" s="425">
        <v>267.22000000000003</v>
      </c>
      <c r="L19" s="425"/>
      <c r="M19" s="440"/>
      <c r="N19" s="425"/>
      <c r="O19" s="425">
        <v>813805.32</v>
      </c>
      <c r="P19" s="425"/>
      <c r="Q19" s="425">
        <v>154682.98000000001</v>
      </c>
      <c r="R19" s="425"/>
      <c r="S19" s="406">
        <v>1411749.65</v>
      </c>
      <c r="T19" s="425"/>
      <c r="U19" s="425"/>
      <c r="V19" s="425"/>
      <c r="W19" s="406"/>
      <c r="X19" s="406">
        <v>3538201.2</v>
      </c>
      <c r="Y19" s="406"/>
      <c r="Z19" s="406"/>
      <c r="AA19" s="406"/>
      <c r="AB19" s="406"/>
      <c r="AC19" s="406">
        <v>256147.62</v>
      </c>
      <c r="AD19" s="406"/>
      <c r="AE19" s="406"/>
      <c r="AF19" s="406"/>
      <c r="AG19" s="436"/>
      <c r="AH19" s="406"/>
      <c r="AI19" s="406"/>
      <c r="AJ19" s="406"/>
      <c r="AK19" s="406"/>
      <c r="AL19" s="406"/>
      <c r="AM19" s="406">
        <v>2641610.21</v>
      </c>
      <c r="AN19" s="406"/>
      <c r="AO19" s="572"/>
      <c r="AP19" s="406"/>
      <c r="AQ19" s="406"/>
      <c r="AR19" s="406">
        <v>1503774.06</v>
      </c>
      <c r="AS19" s="406"/>
      <c r="AT19" s="406"/>
      <c r="AU19" s="406"/>
      <c r="AV19" s="406"/>
      <c r="AW19" s="406">
        <v>2741228.25</v>
      </c>
      <c r="AX19" s="406"/>
      <c r="AY19" s="406"/>
      <c r="AZ19" s="406"/>
      <c r="BA19" s="406"/>
      <c r="BB19" s="406">
        <f>65970.66+1466698.66+137321.36</f>
        <v>1669990.6799999997</v>
      </c>
      <c r="BC19" s="406"/>
      <c r="BD19" s="436"/>
      <c r="BE19" s="406"/>
      <c r="BF19" s="406"/>
      <c r="BG19" s="406">
        <v>2465940.2400000002</v>
      </c>
      <c r="BH19" s="406"/>
      <c r="BI19" s="406"/>
      <c r="BJ19" s="406"/>
      <c r="BK19" s="406"/>
      <c r="BL19" s="406">
        <v>2037884.12</v>
      </c>
      <c r="BM19" s="406"/>
      <c r="BN19" s="406"/>
      <c r="BO19" s="406"/>
      <c r="BP19" s="406"/>
      <c r="BQ19" s="406">
        <v>7009598.5800000001</v>
      </c>
      <c r="BR19" s="406"/>
      <c r="BS19" s="406"/>
      <c r="BT19" s="406"/>
      <c r="BU19" s="406"/>
      <c r="BV19" s="406">
        <f>719608.21+436732.27</f>
        <v>1156340.48</v>
      </c>
      <c r="BW19" s="406"/>
      <c r="BX19" s="406"/>
      <c r="BY19" s="436"/>
      <c r="BZ19" s="406"/>
      <c r="CA19" s="406">
        <v>3627889.92</v>
      </c>
      <c r="CB19" s="406">
        <v>141834.46</v>
      </c>
      <c r="CC19" s="406">
        <v>12023.41</v>
      </c>
      <c r="CD19" s="406"/>
      <c r="CE19" s="406">
        <v>1029.2</v>
      </c>
      <c r="CF19" s="406">
        <v>3505520.09</v>
      </c>
      <c r="CG19" s="406"/>
      <c r="CH19" s="406"/>
      <c r="CI19" s="406"/>
      <c r="CJ19" s="406"/>
      <c r="CK19" s="406">
        <v>2081410.47</v>
      </c>
      <c r="CL19" s="406"/>
      <c r="CM19" s="406"/>
      <c r="CN19" s="406"/>
      <c r="CO19" s="406">
        <v>1265809.95</v>
      </c>
      <c r="CP19" s="406"/>
      <c r="CQ19" s="406"/>
      <c r="CR19" s="406">
        <v>148052.98000000001</v>
      </c>
      <c r="CS19" s="406"/>
      <c r="CT19" s="436">
        <v>3145049.28</v>
      </c>
      <c r="CU19" s="406"/>
      <c r="CV19" s="406"/>
      <c r="CW19" s="406"/>
      <c r="CX19" s="406"/>
      <c r="CY19" s="406">
        <f>9769574.84+2117181.1</f>
        <v>11886755.939999999</v>
      </c>
      <c r="CZ19" s="406">
        <v>683.2</v>
      </c>
      <c r="DA19" s="406">
        <v>77246.03</v>
      </c>
      <c r="DB19" s="406"/>
      <c r="DC19" s="406"/>
      <c r="DD19" s="406"/>
      <c r="DE19" s="406"/>
      <c r="DF19" s="406"/>
      <c r="DG19" s="406"/>
      <c r="DH19" s="406"/>
      <c r="DI19" s="406"/>
      <c r="DJ19" s="406"/>
      <c r="DK19" s="406"/>
      <c r="DL19" s="406"/>
      <c r="DM19" s="406">
        <f>3824681.56+1853363.06+262142.78</f>
        <v>5940187.4000000004</v>
      </c>
      <c r="DN19" s="406">
        <v>14099.69</v>
      </c>
      <c r="DO19" s="436">
        <v>4413935.43</v>
      </c>
      <c r="DP19" s="406"/>
      <c r="DQ19" s="406">
        <v>22644773.309999999</v>
      </c>
      <c r="DR19" s="406"/>
      <c r="DS19" s="406"/>
      <c r="DT19" s="406"/>
      <c r="DU19" s="406"/>
      <c r="DV19" s="406">
        <v>237376.91</v>
      </c>
      <c r="DW19" s="406">
        <f>6840067.15+138127.96</f>
        <v>6978195.1100000003</v>
      </c>
      <c r="DX19" s="406"/>
      <c r="DY19" s="406"/>
      <c r="DZ19" s="406"/>
      <c r="EA19" s="406"/>
      <c r="EB19" s="406">
        <v>791026.66</v>
      </c>
      <c r="EC19" s="406"/>
      <c r="ED19" s="406"/>
      <c r="EE19" s="406"/>
      <c r="EF19" s="406"/>
      <c r="EG19" s="406">
        <v>2179540.5099999998</v>
      </c>
      <c r="EH19" s="406"/>
      <c r="EI19" s="406"/>
      <c r="EJ19" s="436">
        <v>20042296.350000001</v>
      </c>
      <c r="EK19" s="406"/>
      <c r="EL19" s="406">
        <v>53596.13</v>
      </c>
      <c r="EM19" s="406">
        <v>8881180.3499999996</v>
      </c>
      <c r="EN19" s="406"/>
      <c r="EO19" s="406"/>
      <c r="EP19" s="406">
        <v>11443338.550000001</v>
      </c>
      <c r="EQ19" s="406"/>
      <c r="ER19" s="406"/>
      <c r="ES19" s="406"/>
      <c r="ET19" s="406"/>
      <c r="EU19" s="406"/>
      <c r="EV19" s="406">
        <v>3764553.61</v>
      </c>
      <c r="EW19" s="406"/>
      <c r="EX19" s="406"/>
      <c r="EY19" s="406"/>
      <c r="EZ19" s="406"/>
      <c r="FA19" s="406">
        <v>5933435.9400000004</v>
      </c>
      <c r="FB19" s="406"/>
      <c r="FC19" s="406"/>
      <c r="FD19" s="406"/>
      <c r="FE19" s="406">
        <f>133601.62+4557521.18</f>
        <v>4691122.8</v>
      </c>
      <c r="FF19" s="436"/>
      <c r="FG19" s="406"/>
      <c r="FH19" s="406"/>
      <c r="FI19" s="406">
        <v>14656925.279999999</v>
      </c>
      <c r="FJ19" s="406">
        <v>585717.69999999995</v>
      </c>
      <c r="FK19" s="406"/>
      <c r="FL19" s="406">
        <v>256567.47</v>
      </c>
      <c r="FM19" s="406"/>
      <c r="FN19" s="406">
        <v>18542484.800000001</v>
      </c>
      <c r="FO19" s="406"/>
      <c r="FP19" s="406"/>
      <c r="FQ19" s="406">
        <f>22375+60435.3</f>
        <v>82810.3</v>
      </c>
      <c r="FR19" s="406"/>
      <c r="FS19" s="406">
        <v>7048337.9800000004</v>
      </c>
      <c r="FT19" s="406">
        <v>168847.83</v>
      </c>
      <c r="FU19" s="406"/>
      <c r="FV19" s="406"/>
      <c r="FW19" s="406"/>
      <c r="FX19" s="406">
        <v>4537130.66</v>
      </c>
      <c r="FY19" s="406">
        <v>98908</v>
      </c>
      <c r="FZ19" s="406"/>
      <c r="GA19" s="436"/>
      <c r="GB19" s="406">
        <v>8554077.1699999999</v>
      </c>
      <c r="GC19" s="406"/>
      <c r="GD19" s="406"/>
      <c r="GE19" s="406"/>
      <c r="GF19" s="406"/>
      <c r="GG19" s="406"/>
      <c r="GH19" s="406">
        <v>4634440.59</v>
      </c>
      <c r="GI19" s="406"/>
      <c r="GJ19" s="406"/>
      <c r="GK19" s="406"/>
      <c r="GL19" s="406">
        <v>5423101.5700000003</v>
      </c>
      <c r="GM19" s="406"/>
      <c r="GN19" s="406"/>
      <c r="GO19" s="406"/>
      <c r="GP19" s="406"/>
      <c r="GQ19" s="406"/>
      <c r="GR19" s="406"/>
      <c r="GS19" s="406">
        <v>39482.29</v>
      </c>
      <c r="GT19" s="406"/>
      <c r="GU19" s="436">
        <v>11073246.199999999</v>
      </c>
      <c r="GV19" s="406"/>
      <c r="GW19" s="406"/>
      <c r="GX19" s="406"/>
      <c r="GY19" s="406"/>
      <c r="GZ19" s="406">
        <v>92540.31</v>
      </c>
      <c r="HA19" s="406"/>
      <c r="HB19" s="406"/>
      <c r="HC19" s="406"/>
      <c r="HD19" s="406">
        <v>15107887.890000001</v>
      </c>
      <c r="HE19" s="406"/>
      <c r="HF19" s="406">
        <v>159434.69</v>
      </c>
      <c r="HG19" s="406"/>
      <c r="HH19" s="406"/>
      <c r="HI19" s="406">
        <v>2089176.99</v>
      </c>
      <c r="HJ19" s="406"/>
      <c r="HK19" s="406"/>
      <c r="HL19" s="406"/>
      <c r="HM19" s="406"/>
      <c r="HN19" s="406">
        <v>5485500.3200000003</v>
      </c>
      <c r="HO19" s="406"/>
      <c r="HP19" s="436"/>
      <c r="HQ19" s="406"/>
      <c r="HR19" s="406"/>
      <c r="HS19" s="406"/>
      <c r="HT19" s="406"/>
      <c r="HU19" s="406"/>
      <c r="HV19" s="406"/>
      <c r="HW19" s="406"/>
      <c r="HX19" s="406"/>
      <c r="HY19" s="406"/>
      <c r="HZ19" s="406"/>
      <c r="IA19" s="406"/>
      <c r="IB19" s="406"/>
      <c r="IC19" s="406"/>
      <c r="ID19" s="406">
        <f>5256295.75+14092441.96+170079.33</f>
        <v>19518817.039999999</v>
      </c>
      <c r="IE19" s="406"/>
      <c r="IF19" s="406"/>
      <c r="IG19" s="406"/>
      <c r="IH19" s="406">
        <f>26215.87+443245.79</f>
        <v>469461.66</v>
      </c>
      <c r="II19" s="406"/>
      <c r="IJ19" s="406"/>
      <c r="IK19" s="406"/>
      <c r="IL19" s="436"/>
      <c r="IM19" s="406">
        <f>4414221.16+7818.62</f>
        <v>4422039.78</v>
      </c>
      <c r="IN19" s="406"/>
      <c r="IO19" s="406"/>
      <c r="IP19" s="406"/>
      <c r="IQ19" s="426">
        <v>1078064.97</v>
      </c>
      <c r="IR19" s="406"/>
      <c r="IS19" s="406"/>
      <c r="IT19" s="406"/>
      <c r="IU19" s="406"/>
      <c r="IV19" s="406">
        <v>138830.95000000001</v>
      </c>
      <c r="IW19" s="4">
        <f t="shared" si="8"/>
        <v>278453803.93000001</v>
      </c>
      <c r="IX19" s="7"/>
      <c r="IY19" s="7"/>
      <c r="IZ19" s="7"/>
      <c r="JA19" s="7"/>
      <c r="JB19" s="7"/>
      <c r="JC19" s="7"/>
      <c r="JD19" s="7"/>
      <c r="JE19" s="7"/>
      <c r="JF19" s="7"/>
      <c r="JH19" s="1">
        <f>'FY-09, FEB-09 - JAN-10, w TANs'!IT19</f>
        <v>0</v>
      </c>
      <c r="JI19" s="4">
        <f>'FY-09, FEB-09 - JAN-10, w TANs'!IU19</f>
        <v>0</v>
      </c>
    </row>
    <row r="20" spans="1:269" ht="14.1" customHeight="1">
      <c r="A20" s="416" t="s">
        <v>31</v>
      </c>
      <c r="B20" s="416"/>
      <c r="C20" s="415">
        <v>0</v>
      </c>
      <c r="D20" s="416">
        <v>0</v>
      </c>
      <c r="E20" s="416">
        <v>5450000</v>
      </c>
      <c r="F20" s="416">
        <v>250000</v>
      </c>
      <c r="G20" s="416">
        <v>35300000</v>
      </c>
      <c r="H20" s="416"/>
      <c r="I20" s="416"/>
      <c r="J20" s="416"/>
      <c r="K20" s="416"/>
      <c r="L20" s="416"/>
      <c r="M20" s="415">
        <v>70000000</v>
      </c>
      <c r="N20" s="416">
        <v>1950000</v>
      </c>
      <c r="O20" s="416">
        <v>350000</v>
      </c>
      <c r="P20" s="416"/>
      <c r="Q20" s="416">
        <v>1600000</v>
      </c>
      <c r="R20" s="416">
        <v>2500000</v>
      </c>
      <c r="S20" s="416"/>
      <c r="T20" s="416">
        <v>200000</v>
      </c>
      <c r="U20" s="416"/>
      <c r="V20" s="441">
        <v>2000000</v>
      </c>
      <c r="W20" s="441">
        <v>3600000</v>
      </c>
      <c r="X20" s="416"/>
      <c r="Y20" s="416"/>
      <c r="Z20" s="416"/>
      <c r="AA20" s="416"/>
      <c r="AB20" s="416"/>
      <c r="AC20" s="416"/>
      <c r="AD20" s="442">
        <v>4100000</v>
      </c>
      <c r="AE20" s="416">
        <v>1500000</v>
      </c>
      <c r="AF20" s="416">
        <v>10750000</v>
      </c>
      <c r="AG20" s="415"/>
      <c r="AH20" s="416">
        <v>650000</v>
      </c>
      <c r="AI20" s="416"/>
      <c r="AJ20" s="416">
        <v>800000</v>
      </c>
      <c r="AK20" s="416">
        <v>3900000</v>
      </c>
      <c r="AL20" s="416"/>
      <c r="AM20" s="416"/>
      <c r="AN20" s="416">
        <v>400000</v>
      </c>
      <c r="AO20" s="573"/>
      <c r="AP20" s="416"/>
      <c r="AQ20" s="416">
        <v>7200000</v>
      </c>
      <c r="AR20" s="416"/>
      <c r="AS20" s="416"/>
      <c r="AT20" s="416"/>
      <c r="AU20" s="416"/>
      <c r="AV20" s="416"/>
      <c r="AW20" s="416">
        <v>13300000</v>
      </c>
      <c r="AX20" s="416"/>
      <c r="AY20" s="416">
        <v>300000</v>
      </c>
      <c r="AZ20" s="416">
        <v>1050000</v>
      </c>
      <c r="BA20" s="416"/>
      <c r="BB20" s="416"/>
      <c r="BC20" s="416">
        <v>4050000</v>
      </c>
      <c r="BD20" s="415"/>
      <c r="BE20" s="416">
        <v>5300000</v>
      </c>
      <c r="BF20" s="416"/>
      <c r="BG20" s="416"/>
      <c r="BH20" s="416">
        <v>4150000</v>
      </c>
      <c r="BI20" s="416">
        <v>550000</v>
      </c>
      <c r="BJ20" s="416"/>
      <c r="BK20" s="416">
        <v>3650000</v>
      </c>
      <c r="BL20" s="416"/>
      <c r="BM20" s="416">
        <v>1250000</v>
      </c>
      <c r="BN20" s="416">
        <v>3850000</v>
      </c>
      <c r="BO20" s="416">
        <v>3850000</v>
      </c>
      <c r="BP20" s="416"/>
      <c r="BQ20" s="416"/>
      <c r="BR20" s="416">
        <v>1500000</v>
      </c>
      <c r="BS20" s="416">
        <v>5350000</v>
      </c>
      <c r="BT20" s="416"/>
      <c r="BU20" s="416">
        <v>900000</v>
      </c>
      <c r="BV20" s="416"/>
      <c r="BW20" s="416">
        <v>2750000</v>
      </c>
      <c r="BX20" s="416">
        <v>200000</v>
      </c>
      <c r="BY20" s="415">
        <v>3750000</v>
      </c>
      <c r="BZ20" s="416">
        <v>3850000</v>
      </c>
      <c r="CA20" s="416"/>
      <c r="CB20" s="416">
        <v>5000000</v>
      </c>
      <c r="CC20" s="416"/>
      <c r="CD20" s="416">
        <v>1450000</v>
      </c>
      <c r="CE20" s="416"/>
      <c r="CF20" s="416"/>
      <c r="CG20" s="416">
        <v>1400000</v>
      </c>
      <c r="CH20" s="416"/>
      <c r="CI20" s="416">
        <v>3900000</v>
      </c>
      <c r="CJ20" s="416"/>
      <c r="CK20" s="416"/>
      <c r="CL20" s="416"/>
      <c r="CM20" s="416">
        <v>8400000</v>
      </c>
      <c r="CN20" s="416"/>
      <c r="CO20" s="416"/>
      <c r="CP20" s="416">
        <v>1400000</v>
      </c>
      <c r="CQ20" s="416">
        <v>1000000</v>
      </c>
      <c r="CR20" s="416">
        <v>4500000</v>
      </c>
      <c r="CS20" s="416">
        <v>2100000</v>
      </c>
      <c r="CT20" s="415"/>
      <c r="CU20" s="416">
        <v>15800000</v>
      </c>
      <c r="CV20" s="416"/>
      <c r="CW20" s="416">
        <v>2650000</v>
      </c>
      <c r="CX20" s="416">
        <v>400000</v>
      </c>
      <c r="CY20" s="416"/>
      <c r="CZ20" s="416">
        <v>4250000</v>
      </c>
      <c r="DA20" s="416">
        <v>3250000</v>
      </c>
      <c r="DB20" s="416"/>
      <c r="DC20" s="416">
        <v>400000</v>
      </c>
      <c r="DD20" s="416"/>
      <c r="DE20" s="416">
        <v>7500000</v>
      </c>
      <c r="DF20" s="416">
        <v>1200000</v>
      </c>
      <c r="DG20" s="416">
        <v>950000</v>
      </c>
      <c r="DH20" s="416">
        <v>1750000</v>
      </c>
      <c r="DI20" s="416"/>
      <c r="DJ20" s="416">
        <v>550000</v>
      </c>
      <c r="DK20" s="416">
        <v>1200000</v>
      </c>
      <c r="DL20" s="416">
        <v>850000</v>
      </c>
      <c r="DM20" s="416"/>
      <c r="DN20" s="416"/>
      <c r="DO20" s="674">
        <v>54500000</v>
      </c>
      <c r="DP20" s="416"/>
      <c r="DQ20" s="416"/>
      <c r="DR20" s="416"/>
      <c r="DS20" s="416">
        <v>3200000</v>
      </c>
      <c r="DT20" s="416">
        <v>1800000</v>
      </c>
      <c r="DU20" s="416">
        <v>7850000</v>
      </c>
      <c r="DV20" s="416"/>
      <c r="DW20" s="416"/>
      <c r="DX20" s="416">
        <v>3800000</v>
      </c>
      <c r="DY20" s="416">
        <v>250000</v>
      </c>
      <c r="DZ20" s="416">
        <v>4100000</v>
      </c>
      <c r="EA20" s="416">
        <v>1900000</v>
      </c>
      <c r="EB20" s="416">
        <v>1150000</v>
      </c>
      <c r="EC20" s="416">
        <v>250000</v>
      </c>
      <c r="ED20" s="416">
        <v>900000</v>
      </c>
      <c r="EE20" s="416"/>
      <c r="EF20" s="441"/>
      <c r="EG20" s="441"/>
      <c r="EH20" s="416">
        <v>3150000</v>
      </c>
      <c r="EI20" s="416"/>
      <c r="EJ20" s="443"/>
      <c r="EK20" s="416">
        <v>8050000</v>
      </c>
      <c r="EL20" s="416">
        <v>700000</v>
      </c>
      <c r="EM20" s="416"/>
      <c r="EN20" s="416"/>
      <c r="EO20" s="416">
        <v>2000000</v>
      </c>
      <c r="EP20" s="416">
        <v>1300000</v>
      </c>
      <c r="EQ20" s="416">
        <f>695877.29+719.48</f>
        <v>696596.77</v>
      </c>
      <c r="ER20" s="416"/>
      <c r="ES20" s="416"/>
      <c r="ET20" s="416">
        <v>200000</v>
      </c>
      <c r="EU20" s="416">
        <v>4550000</v>
      </c>
      <c r="EV20" s="416"/>
      <c r="EW20" s="416">
        <v>2500000</v>
      </c>
      <c r="EX20" s="416">
        <v>600000</v>
      </c>
      <c r="EY20" s="416"/>
      <c r="EZ20" s="416">
        <v>3850000</v>
      </c>
      <c r="FA20" s="416"/>
      <c r="FB20" s="441">
        <v>3000000</v>
      </c>
      <c r="FC20" s="416"/>
      <c r="FD20" s="416">
        <v>3250000</v>
      </c>
      <c r="FE20" s="416"/>
      <c r="FF20" s="415"/>
      <c r="FG20" s="416">
        <v>10200000</v>
      </c>
      <c r="FH20" s="416"/>
      <c r="FI20" s="416"/>
      <c r="FJ20" s="416">
        <v>1000000</v>
      </c>
      <c r="FK20" s="416">
        <v>8700000</v>
      </c>
      <c r="FL20" s="416">
        <v>500000</v>
      </c>
      <c r="FM20" s="416">
        <v>450000</v>
      </c>
      <c r="FN20" s="416"/>
      <c r="FO20" s="416"/>
      <c r="FP20" s="416">
        <v>8300000</v>
      </c>
      <c r="FQ20" s="416">
        <v>400000</v>
      </c>
      <c r="FR20" s="416">
        <v>4900000</v>
      </c>
      <c r="FS20" s="416"/>
      <c r="FT20" s="416"/>
      <c r="FU20" s="416"/>
      <c r="FV20" s="416"/>
      <c r="FW20" s="416">
        <v>4500000</v>
      </c>
      <c r="FX20" s="416"/>
      <c r="FY20" s="416">
        <v>1550000</v>
      </c>
      <c r="FZ20" s="416"/>
      <c r="GA20" s="415"/>
      <c r="GB20" s="416">
        <v>9050000</v>
      </c>
      <c r="GC20" s="416"/>
      <c r="GD20" s="416"/>
      <c r="GE20" s="416">
        <v>6800000</v>
      </c>
      <c r="GF20" s="416"/>
      <c r="GG20" s="416"/>
      <c r="GH20" s="416"/>
      <c r="GI20" s="416">
        <v>1350000</v>
      </c>
      <c r="GJ20" s="416"/>
      <c r="GK20" s="416">
        <v>4150000</v>
      </c>
      <c r="GL20" s="416">
        <v>550000</v>
      </c>
      <c r="GM20" s="416"/>
      <c r="GN20" s="416">
        <v>2300000</v>
      </c>
      <c r="GO20" s="416"/>
      <c r="GP20" s="416"/>
      <c r="GQ20" s="416">
        <v>5400000</v>
      </c>
      <c r="GR20" s="416">
        <v>600000</v>
      </c>
      <c r="GS20" s="416">
        <v>5900000</v>
      </c>
      <c r="GT20" s="416"/>
      <c r="GU20" s="415">
        <v>20300000</v>
      </c>
      <c r="GV20" s="416"/>
      <c r="GW20" s="416">
        <v>4200000</v>
      </c>
      <c r="GX20" s="416"/>
      <c r="GY20" s="416"/>
      <c r="GZ20" s="416"/>
      <c r="HA20" s="416">
        <v>3600000</v>
      </c>
      <c r="HB20" s="416"/>
      <c r="HC20" s="416"/>
      <c r="HD20" s="416"/>
      <c r="HE20" s="416"/>
      <c r="HF20" s="416">
        <v>3100000</v>
      </c>
      <c r="HG20" s="416">
        <v>1600000</v>
      </c>
      <c r="HH20" s="416"/>
      <c r="HI20" s="416"/>
      <c r="HJ20" s="416"/>
      <c r="HK20" s="416">
        <v>2100000</v>
      </c>
      <c r="HL20" s="416"/>
      <c r="HM20" s="416"/>
      <c r="HN20" s="416"/>
      <c r="HO20" s="416"/>
      <c r="HP20" s="415">
        <v>42150000</v>
      </c>
      <c r="HQ20" s="416"/>
      <c r="HR20" s="416"/>
      <c r="HS20" s="416"/>
      <c r="HT20" s="416"/>
      <c r="HU20" s="416"/>
      <c r="HV20" s="416"/>
      <c r="HW20" s="416"/>
      <c r="HX20" s="416"/>
      <c r="HY20" s="416">
        <v>200000</v>
      </c>
      <c r="HZ20" s="416"/>
      <c r="IA20" s="416"/>
      <c r="IB20" s="416"/>
      <c r="IC20" s="416"/>
      <c r="ID20" s="416">
        <v>1000000</v>
      </c>
      <c r="IE20" s="416"/>
      <c r="IF20" s="416">
        <v>850000</v>
      </c>
      <c r="IG20" s="416"/>
      <c r="IH20" s="416"/>
      <c r="II20" s="416"/>
      <c r="IJ20" s="416"/>
      <c r="IK20" s="416"/>
      <c r="IL20" s="415">
        <v>49400000</v>
      </c>
      <c r="IM20" s="416">
        <v>8000000</v>
      </c>
      <c r="IN20" s="416"/>
      <c r="IO20" s="416"/>
      <c r="IP20" s="416"/>
      <c r="IQ20" s="416"/>
      <c r="IR20" s="416"/>
      <c r="IS20" s="416"/>
      <c r="IT20" s="416"/>
      <c r="IU20" s="416">
        <v>72300000</v>
      </c>
      <c r="IV20" s="416"/>
      <c r="IW20" s="4">
        <f t="shared" si="8"/>
        <v>680946596.76999998</v>
      </c>
      <c r="IX20" s="7"/>
      <c r="IY20" s="7"/>
      <c r="IZ20" s="7"/>
      <c r="JA20" s="7"/>
      <c r="JB20" s="7"/>
      <c r="JC20" s="7"/>
      <c r="JD20" s="7"/>
      <c r="JE20" s="7"/>
      <c r="JF20" s="7"/>
      <c r="JH20" s="4"/>
      <c r="JI20" s="4"/>
    </row>
    <row r="21" spans="1:269" ht="14.1" customHeight="1">
      <c r="A21" s="416" t="s">
        <v>141</v>
      </c>
      <c r="B21" s="416"/>
      <c r="C21" s="415">
        <v>0</v>
      </c>
      <c r="D21" s="416">
        <v>0</v>
      </c>
      <c r="E21" s="416">
        <v>0</v>
      </c>
      <c r="F21" s="416"/>
      <c r="G21" s="416">
        <v>50000000</v>
      </c>
      <c r="H21" s="416"/>
      <c r="I21" s="416"/>
      <c r="J21" s="416"/>
      <c r="K21" s="416"/>
      <c r="L21" s="416"/>
      <c r="M21" s="415">
        <v>86400000</v>
      </c>
      <c r="N21" s="416"/>
      <c r="O21" s="416"/>
      <c r="P21" s="416"/>
      <c r="Q21" s="416"/>
      <c r="R21" s="416"/>
      <c r="S21" s="416"/>
      <c r="T21" s="416"/>
      <c r="U21" s="416"/>
      <c r="V21" s="441"/>
      <c r="W21" s="441"/>
      <c r="X21" s="416"/>
      <c r="Y21" s="416"/>
      <c r="Z21" s="416"/>
      <c r="AA21" s="416">
        <v>18650000</v>
      </c>
      <c r="AB21" s="416"/>
      <c r="AC21" s="416"/>
      <c r="AD21" s="444"/>
      <c r="AE21" s="416"/>
      <c r="AF21" s="416"/>
      <c r="AG21" s="415">
        <v>45000000</v>
      </c>
      <c r="AH21" s="416"/>
      <c r="AI21" s="416"/>
      <c r="AJ21" s="416"/>
      <c r="AK21" s="416"/>
      <c r="AL21" s="416"/>
      <c r="AM21" s="416"/>
      <c r="AN21" s="416"/>
      <c r="AO21" s="573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>
        <v>6400000</v>
      </c>
      <c r="BB21" s="416"/>
      <c r="BC21" s="416"/>
      <c r="BD21" s="415">
        <v>10000000</v>
      </c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  <c r="BR21" s="416"/>
      <c r="BS21" s="416"/>
      <c r="BT21" s="416"/>
      <c r="BU21" s="416"/>
      <c r="BV21" s="416"/>
      <c r="BW21" s="416"/>
      <c r="BX21" s="416"/>
      <c r="BY21" s="415"/>
      <c r="BZ21" s="416"/>
      <c r="CA21" s="416"/>
      <c r="CB21" s="416"/>
      <c r="CC21" s="416">
        <v>14000000</v>
      </c>
      <c r="CD21" s="416"/>
      <c r="CE21" s="416">
        <v>8000000</v>
      </c>
      <c r="CF21" s="416"/>
      <c r="CG21" s="416"/>
      <c r="CH21" s="416"/>
      <c r="CI21" s="416"/>
      <c r="CJ21" s="416">
        <v>9000000</v>
      </c>
      <c r="CK21" s="416"/>
      <c r="CL21" s="416"/>
      <c r="CM21" s="416"/>
      <c r="CN21" s="416"/>
      <c r="CO21" s="445"/>
      <c r="CP21" s="416"/>
      <c r="CQ21" s="416"/>
      <c r="CR21" s="416"/>
      <c r="CS21" s="416"/>
      <c r="CT21" s="415"/>
      <c r="CU21" s="416"/>
      <c r="CV21" s="416"/>
      <c r="CW21" s="416"/>
      <c r="CX21" s="416"/>
      <c r="CY21" s="416"/>
      <c r="CZ21" s="416"/>
      <c r="DA21" s="416"/>
      <c r="DB21" s="416"/>
      <c r="DC21" s="416"/>
      <c r="DD21" s="416"/>
      <c r="DE21" s="416"/>
      <c r="DF21" s="416"/>
      <c r="DG21" s="416"/>
      <c r="DH21" s="416"/>
      <c r="DI21" s="416"/>
      <c r="DJ21" s="416"/>
      <c r="DK21" s="416"/>
      <c r="DL21" s="416"/>
      <c r="DM21" s="416"/>
      <c r="DN21" s="416"/>
      <c r="DO21" s="415"/>
      <c r="DP21" s="416">
        <v>28000000</v>
      </c>
      <c r="DQ21" s="416"/>
      <c r="DR21" s="416"/>
      <c r="DS21" s="416"/>
      <c r="DT21" s="416"/>
      <c r="DU21" s="416"/>
      <c r="DV21" s="416"/>
      <c r="DW21" s="416"/>
      <c r="DX21" s="416"/>
      <c r="DY21" s="416"/>
      <c r="DZ21" s="416"/>
      <c r="EA21" s="416"/>
      <c r="EB21" s="416"/>
      <c r="EC21" s="416"/>
      <c r="ED21" s="416"/>
      <c r="EE21" s="416">
        <v>19100000</v>
      </c>
      <c r="EF21" s="416"/>
      <c r="EG21" s="441"/>
      <c r="EH21" s="416"/>
      <c r="EI21" s="416"/>
      <c r="EJ21" s="443">
        <v>52000000</v>
      </c>
      <c r="EK21" s="416"/>
      <c r="EL21" s="416"/>
      <c r="EM21" s="416">
        <v>5800000</v>
      </c>
      <c r="EN21" s="416"/>
      <c r="EO21" s="416"/>
      <c r="EP21" s="416"/>
      <c r="EQ21" s="416">
        <v>1622604.33</v>
      </c>
      <c r="ER21" s="416"/>
      <c r="ES21" s="416"/>
      <c r="ET21" s="416"/>
      <c r="EU21" s="416"/>
      <c r="EV21" s="416"/>
      <c r="EW21" s="416"/>
      <c r="EX21" s="416"/>
      <c r="EY21" s="416">
        <v>15800000</v>
      </c>
      <c r="EZ21" s="416"/>
      <c r="FA21" s="416"/>
      <c r="FB21" s="416"/>
      <c r="FC21" s="416"/>
      <c r="FD21" s="416"/>
      <c r="FE21" s="416"/>
      <c r="FF21" s="415">
        <v>71000000</v>
      </c>
      <c r="FG21" s="416"/>
      <c r="FH21" s="416">
        <v>10000000</v>
      </c>
      <c r="FI21" s="416"/>
      <c r="FJ21" s="416"/>
      <c r="FK21" s="416"/>
      <c r="FL21" s="416"/>
      <c r="FM21" s="416"/>
      <c r="FN21" s="416"/>
      <c r="FO21" s="416"/>
      <c r="FP21" s="416"/>
      <c r="FQ21" s="416"/>
      <c r="FR21" s="416"/>
      <c r="FS21" s="416"/>
      <c r="FT21" s="416"/>
      <c r="FU21" s="416">
        <v>19300000</v>
      </c>
      <c r="FV21" s="416"/>
      <c r="FW21" s="416"/>
      <c r="FX21" s="416"/>
      <c r="FY21" s="416"/>
      <c r="FZ21" s="416"/>
      <c r="GA21" s="415">
        <v>59500000</v>
      </c>
      <c r="GB21" s="416"/>
      <c r="GC21" s="416"/>
      <c r="GD21" s="416"/>
      <c r="GE21" s="416"/>
      <c r="GF21" s="416"/>
      <c r="GG21" s="416"/>
      <c r="GH21" s="416"/>
      <c r="GI21" s="416"/>
      <c r="GJ21" s="416"/>
      <c r="GK21" s="416"/>
      <c r="GL21" s="416"/>
      <c r="GM21" s="416"/>
      <c r="GN21" s="416"/>
      <c r="GO21" s="416"/>
      <c r="GP21" s="416">
        <v>38000000</v>
      </c>
      <c r="GQ21" s="416"/>
      <c r="GR21" s="416"/>
      <c r="GS21" s="416"/>
      <c r="GT21" s="416"/>
      <c r="GU21" s="415">
        <v>27000000</v>
      </c>
      <c r="GV21" s="416"/>
      <c r="GW21" s="416"/>
      <c r="GX21" s="416"/>
      <c r="GY21" s="416"/>
      <c r="GZ21" s="416">
        <v>12400000</v>
      </c>
      <c r="HA21" s="416"/>
      <c r="HB21" s="416"/>
      <c r="HC21" s="416"/>
      <c r="HD21" s="416"/>
      <c r="HE21" s="416"/>
      <c r="HF21" s="416"/>
      <c r="HG21" s="416"/>
      <c r="HH21" s="416"/>
      <c r="HI21" s="416">
        <v>14800000</v>
      </c>
      <c r="HJ21" s="416"/>
      <c r="HK21" s="416"/>
      <c r="HL21" s="416"/>
      <c r="HM21" s="416"/>
      <c r="HN21" s="416"/>
      <c r="HO21" s="416"/>
      <c r="HP21" s="415">
        <v>2500000</v>
      </c>
      <c r="HQ21" s="416">
        <v>5400000</v>
      </c>
      <c r="HR21" s="416"/>
      <c r="HS21" s="416">
        <v>12900000</v>
      </c>
      <c r="HT21" s="416"/>
      <c r="HU21" s="416"/>
      <c r="HV21" s="416"/>
      <c r="HW21" s="416"/>
      <c r="HX21" s="416"/>
      <c r="HY21" s="416"/>
      <c r="HZ21" s="416"/>
      <c r="IA21" s="416"/>
      <c r="IB21" s="416"/>
      <c r="IC21" s="416"/>
      <c r="ID21" s="416"/>
      <c r="IE21" s="416"/>
      <c r="IF21" s="416"/>
      <c r="IG21" s="416"/>
      <c r="IH21" s="416"/>
      <c r="II21" s="416"/>
      <c r="IJ21" s="416"/>
      <c r="IK21" s="416"/>
      <c r="IL21" s="415"/>
      <c r="IM21" s="416"/>
      <c r="IN21" s="416"/>
      <c r="IO21" s="416"/>
      <c r="IP21" s="416"/>
      <c r="IQ21" s="416"/>
      <c r="IR21" s="416"/>
      <c r="IS21" s="416"/>
      <c r="IT21" s="416"/>
      <c r="IU21" s="416"/>
      <c r="IV21" s="416"/>
      <c r="IW21" s="4">
        <f t="shared" si="8"/>
        <v>642572604.32999992</v>
      </c>
      <c r="IX21" s="7"/>
      <c r="IY21" s="7"/>
      <c r="IZ21" s="7"/>
      <c r="JA21" s="7"/>
      <c r="JB21" s="7"/>
      <c r="JC21" s="7"/>
      <c r="JD21" s="7"/>
      <c r="JE21" s="7"/>
      <c r="JF21" s="7"/>
      <c r="JH21" s="4"/>
      <c r="JI21" s="4"/>
    </row>
    <row r="22" spans="1:269" ht="14.1" customHeight="1">
      <c r="A22" s="406" t="s">
        <v>232</v>
      </c>
      <c r="B22" s="406"/>
      <c r="C22" s="436">
        <v>0</v>
      </c>
      <c r="D22" s="406">
        <v>0</v>
      </c>
      <c r="E22" s="406">
        <v>0</v>
      </c>
      <c r="F22" s="406"/>
      <c r="G22" s="406"/>
      <c r="H22" s="406"/>
      <c r="I22" s="406"/>
      <c r="J22" s="406"/>
      <c r="K22" s="406"/>
      <c r="L22" s="406"/>
      <c r="M22" s="43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37"/>
      <c r="AE22" s="406"/>
      <c r="AF22" s="406"/>
      <c r="AG22" s="436"/>
      <c r="AH22" s="406"/>
      <c r="AI22" s="406"/>
      <c r="AJ22" s="406"/>
      <c r="AK22" s="406"/>
      <c r="AL22" s="406"/>
      <c r="AM22" s="406"/>
      <c r="AN22" s="406"/>
      <c r="AO22" s="572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6"/>
      <c r="BA22" s="406"/>
      <c r="BB22" s="406"/>
      <c r="BC22" s="406"/>
      <c r="BD22" s="436"/>
      <c r="BE22" s="406"/>
      <c r="BF22" s="406"/>
      <c r="BG22" s="406"/>
      <c r="BH22" s="406"/>
      <c r="BI22" s="406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36">
        <v>25000000</v>
      </c>
      <c r="BZ22" s="406"/>
      <c r="CA22" s="406"/>
      <c r="CB22" s="406"/>
      <c r="CC22" s="406"/>
      <c r="CD22" s="406"/>
      <c r="CE22" s="406"/>
      <c r="CF22" s="406"/>
      <c r="CG22" s="406"/>
      <c r="CH22" s="406"/>
      <c r="CI22" s="406"/>
      <c r="CJ22" s="406"/>
      <c r="CK22" s="406"/>
      <c r="CL22" s="406">
        <v>10000000</v>
      </c>
      <c r="CM22" s="406"/>
      <c r="CN22" s="406"/>
      <c r="CO22" s="406"/>
      <c r="CP22" s="406"/>
      <c r="CQ22" s="406"/>
      <c r="CR22" s="406"/>
      <c r="CS22" s="406"/>
      <c r="CT22" s="436">
        <v>20000000</v>
      </c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6"/>
      <c r="DI22" s="406"/>
      <c r="DJ22" s="406"/>
      <c r="DK22" s="406"/>
      <c r="DL22" s="406"/>
      <c r="DM22" s="406"/>
      <c r="DN22" s="406">
        <v>26000000</v>
      </c>
      <c r="DO22" s="436"/>
      <c r="DP22" s="406"/>
      <c r="DQ22" s="406"/>
      <c r="DR22" s="406"/>
      <c r="DS22" s="406"/>
      <c r="DT22" s="406"/>
      <c r="DU22" s="406"/>
      <c r="DV22" s="406"/>
      <c r="DW22" s="406"/>
      <c r="DX22" s="406"/>
      <c r="DY22" s="406"/>
      <c r="DZ22" s="406"/>
      <c r="EA22" s="406"/>
      <c r="EB22" s="406"/>
      <c r="EC22" s="406"/>
      <c r="ED22" s="406"/>
      <c r="EE22" s="406"/>
      <c r="EF22" s="406"/>
      <c r="EG22" s="406"/>
      <c r="EH22" s="406"/>
      <c r="EI22" s="406"/>
      <c r="EJ22" s="436"/>
      <c r="EK22" s="406"/>
      <c r="EL22" s="406"/>
      <c r="EM22" s="406"/>
      <c r="EN22" s="406"/>
      <c r="EO22" s="406"/>
      <c r="EP22" s="406"/>
      <c r="EQ22" s="406">
        <v>68768</v>
      </c>
      <c r="ER22" s="406"/>
      <c r="ES22" s="406"/>
      <c r="ET22" s="406"/>
      <c r="EU22" s="406"/>
      <c r="EV22" s="406"/>
      <c r="EW22" s="406"/>
      <c r="EX22" s="406"/>
      <c r="EY22" s="406"/>
      <c r="EZ22" s="406"/>
      <c r="FA22" s="406"/>
      <c r="FB22" s="406"/>
      <c r="FC22" s="406"/>
      <c r="FD22" s="406"/>
      <c r="FE22" s="406"/>
      <c r="FF22" s="436"/>
      <c r="FG22" s="406"/>
      <c r="FH22" s="406"/>
      <c r="FI22" s="406"/>
      <c r="FJ22" s="406"/>
      <c r="FK22" s="406"/>
      <c r="FL22" s="406"/>
      <c r="FM22" s="406"/>
      <c r="FN22" s="406"/>
      <c r="FO22" s="406"/>
      <c r="FP22" s="406"/>
      <c r="FQ22" s="406"/>
      <c r="FR22" s="406"/>
      <c r="FS22" s="406"/>
      <c r="FT22" s="406"/>
      <c r="FU22" s="406"/>
      <c r="FV22" s="406"/>
      <c r="FW22" s="406"/>
      <c r="FX22" s="406"/>
      <c r="FY22" s="406"/>
      <c r="FZ22" s="406"/>
      <c r="GA22" s="436"/>
      <c r="GB22" s="406"/>
      <c r="GC22" s="406"/>
      <c r="GD22" s="406"/>
      <c r="GE22" s="406"/>
      <c r="GF22" s="406"/>
      <c r="GG22" s="406"/>
      <c r="GH22" s="406"/>
      <c r="GI22" s="406"/>
      <c r="GJ22" s="406"/>
      <c r="GK22" s="406"/>
      <c r="GL22" s="406"/>
      <c r="GM22" s="406"/>
      <c r="GN22" s="406"/>
      <c r="GO22" s="406"/>
      <c r="GP22" s="406"/>
      <c r="GQ22" s="406"/>
      <c r="GR22" s="406"/>
      <c r="GS22" s="406"/>
      <c r="GT22" s="406"/>
      <c r="GU22" s="436"/>
      <c r="GV22" s="406"/>
      <c r="GW22" s="406"/>
      <c r="GX22" s="406"/>
      <c r="GY22" s="406"/>
      <c r="GZ22" s="406"/>
      <c r="HA22" s="406"/>
      <c r="HB22" s="406"/>
      <c r="HC22" s="406"/>
      <c r="HD22" s="406"/>
      <c r="HE22" s="406"/>
      <c r="HF22" s="406"/>
      <c r="HG22" s="406"/>
      <c r="HH22" s="406"/>
      <c r="HI22" s="406"/>
      <c r="HJ22" s="406"/>
      <c r="HK22" s="406"/>
      <c r="HL22" s="406"/>
      <c r="HM22" s="406"/>
      <c r="HN22" s="406"/>
      <c r="HO22" s="406">
        <v>14000000</v>
      </c>
      <c r="HP22" s="436"/>
      <c r="HQ22" s="406"/>
      <c r="HR22" s="406"/>
      <c r="HS22" s="406"/>
      <c r="HT22" s="406"/>
      <c r="HU22" s="406"/>
      <c r="HV22" s="406"/>
      <c r="HW22" s="406"/>
      <c r="HX22" s="406"/>
      <c r="HY22" s="406"/>
      <c r="HZ22" s="406"/>
      <c r="IA22" s="406"/>
      <c r="IB22" s="406"/>
      <c r="IC22" s="406"/>
      <c r="ID22" s="406"/>
      <c r="IE22" s="406"/>
      <c r="IF22" s="406"/>
      <c r="IG22" s="406"/>
      <c r="IH22" s="406"/>
      <c r="II22" s="406"/>
      <c r="IJ22" s="406"/>
      <c r="IK22" s="406"/>
      <c r="IL22" s="436"/>
      <c r="IM22" s="406"/>
      <c r="IN22" s="406"/>
      <c r="IO22" s="406"/>
      <c r="IP22" s="406"/>
      <c r="IQ22" s="406"/>
      <c r="IR22" s="406"/>
      <c r="IS22" s="406"/>
      <c r="IT22" s="406"/>
      <c r="IU22" s="406"/>
      <c r="IV22" s="406"/>
      <c r="IW22" s="4">
        <f t="shared" si="8"/>
        <v>95068768</v>
      </c>
      <c r="IX22" s="7"/>
      <c r="IY22" s="7"/>
      <c r="IZ22" s="7"/>
      <c r="JA22" s="7"/>
      <c r="JB22" s="7"/>
      <c r="JC22" s="7"/>
      <c r="JD22" s="7"/>
      <c r="JE22" s="7"/>
      <c r="JF22" s="7"/>
      <c r="JH22" s="4"/>
      <c r="JI22" s="4"/>
    </row>
    <row r="23" spans="1:269" ht="14.1" customHeight="1">
      <c r="A23" s="406" t="s">
        <v>35</v>
      </c>
      <c r="B23" s="406"/>
      <c r="C23" s="436">
        <v>0</v>
      </c>
      <c r="D23" s="406">
        <v>0</v>
      </c>
      <c r="E23" s="406">
        <v>0</v>
      </c>
      <c r="F23" s="406"/>
      <c r="G23" s="406"/>
      <c r="H23" s="406"/>
      <c r="I23" s="406"/>
      <c r="J23" s="406"/>
      <c r="K23" s="406"/>
      <c r="L23" s="406"/>
      <c r="M23" s="43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  <c r="AG23" s="436">
        <v>25000000</v>
      </c>
      <c r="AH23" s="406"/>
      <c r="AI23" s="406"/>
      <c r="AJ23" s="406"/>
      <c r="AK23" s="406"/>
      <c r="AL23" s="406"/>
      <c r="AM23" s="406"/>
      <c r="AN23" s="406"/>
      <c r="AO23" s="572"/>
      <c r="AP23" s="406"/>
      <c r="AQ23" s="406"/>
      <c r="AR23" s="406"/>
      <c r="AS23" s="406"/>
      <c r="AT23" s="406">
        <v>25000000</v>
      </c>
      <c r="AU23" s="406"/>
      <c r="AV23" s="406"/>
      <c r="AW23" s="406"/>
      <c r="AX23" s="406"/>
      <c r="AY23" s="406"/>
      <c r="AZ23" s="406"/>
      <c r="BA23" s="406"/>
      <c r="BB23" s="406"/>
      <c r="BC23" s="406"/>
      <c r="BD23" s="436"/>
      <c r="BE23" s="406"/>
      <c r="BF23" s="406"/>
      <c r="BG23" s="406"/>
      <c r="BH23" s="406"/>
      <c r="BI23" s="406"/>
      <c r="BJ23" s="406"/>
      <c r="BK23" s="406"/>
      <c r="BL23" s="406"/>
      <c r="BM23" s="406"/>
      <c r="BN23" s="406"/>
      <c r="BO23" s="406"/>
      <c r="BP23" s="406"/>
      <c r="BQ23" s="406"/>
      <c r="BR23" s="406"/>
      <c r="BS23" s="406"/>
      <c r="BT23" s="406"/>
      <c r="BU23" s="406"/>
      <c r="BV23" s="406"/>
      <c r="BW23" s="406"/>
      <c r="BX23" s="406"/>
      <c r="BY23" s="436"/>
      <c r="BZ23" s="406"/>
      <c r="CA23" s="406"/>
      <c r="CB23" s="406"/>
      <c r="CC23" s="406"/>
      <c r="CD23" s="406"/>
      <c r="CE23" s="406"/>
      <c r="CF23" s="406"/>
      <c r="CG23" s="406"/>
      <c r="CH23" s="406"/>
      <c r="CI23" s="406"/>
      <c r="CJ23" s="406"/>
      <c r="CK23" s="406"/>
      <c r="CL23" s="406">
        <v>10000000</v>
      </c>
      <c r="CM23" s="406"/>
      <c r="CN23" s="406"/>
      <c r="CO23" s="406"/>
      <c r="CP23" s="406"/>
      <c r="CQ23" s="406"/>
      <c r="CR23" s="406"/>
      <c r="CS23" s="406"/>
      <c r="CT23" s="436">
        <v>20000000</v>
      </c>
      <c r="CU23" s="406"/>
      <c r="CV23" s="406"/>
      <c r="CW23" s="406"/>
      <c r="CX23" s="406"/>
      <c r="CY23" s="406"/>
      <c r="CZ23" s="406"/>
      <c r="DA23" s="406"/>
      <c r="DB23" s="406"/>
      <c r="DC23" s="406"/>
      <c r="DD23" s="406"/>
      <c r="DE23" s="406"/>
      <c r="DF23" s="406"/>
      <c r="DG23" s="406"/>
      <c r="DH23" s="406"/>
      <c r="DI23" s="406"/>
      <c r="DJ23" s="406"/>
      <c r="DK23" s="406"/>
      <c r="DL23" s="406"/>
      <c r="DM23" s="406"/>
      <c r="DN23" s="406">
        <v>16000000</v>
      </c>
      <c r="DO23" s="436"/>
      <c r="DP23" s="406"/>
      <c r="DQ23" s="406"/>
      <c r="DR23" s="406"/>
      <c r="DS23" s="406"/>
      <c r="DT23" s="406"/>
      <c r="DU23" s="406"/>
      <c r="DV23" s="406"/>
      <c r="DW23" s="406"/>
      <c r="DX23" s="406"/>
      <c r="DY23" s="406"/>
      <c r="DZ23" s="406"/>
      <c r="EA23" s="406"/>
      <c r="EB23" s="406"/>
      <c r="EC23" s="406"/>
      <c r="ED23" s="406"/>
      <c r="EE23" s="406"/>
      <c r="EF23" s="406"/>
      <c r="EG23" s="406"/>
      <c r="EH23" s="406"/>
      <c r="EI23" s="406"/>
      <c r="EJ23" s="436"/>
      <c r="EK23" s="406"/>
      <c r="EL23" s="406"/>
      <c r="EM23" s="406"/>
      <c r="EN23" s="406"/>
      <c r="EO23" s="406"/>
      <c r="EP23" s="406"/>
      <c r="EQ23" s="406">
        <v>45493.3</v>
      </c>
      <c r="ER23" s="406"/>
      <c r="ES23" s="406"/>
      <c r="ET23" s="406"/>
      <c r="EU23" s="406"/>
      <c r="EV23" s="406"/>
      <c r="EW23" s="406"/>
      <c r="EX23" s="406"/>
      <c r="EY23" s="406"/>
      <c r="EZ23" s="406"/>
      <c r="FA23" s="406"/>
      <c r="FB23" s="406"/>
      <c r="FC23" s="406"/>
      <c r="FD23" s="406"/>
      <c r="FE23" s="406"/>
      <c r="FF23" s="436"/>
      <c r="FG23" s="406"/>
      <c r="FH23" s="406"/>
      <c r="FI23" s="406"/>
      <c r="FJ23" s="406"/>
      <c r="FK23" s="406"/>
      <c r="FL23" s="406"/>
      <c r="FM23" s="406"/>
      <c r="FN23" s="406"/>
      <c r="FO23" s="406"/>
      <c r="FP23" s="406"/>
      <c r="FQ23" s="406"/>
      <c r="FR23" s="406"/>
      <c r="FS23" s="406"/>
      <c r="FT23" s="406"/>
      <c r="FU23" s="406"/>
      <c r="FV23" s="406"/>
      <c r="FW23" s="406"/>
      <c r="FX23" s="406"/>
      <c r="FY23" s="406"/>
      <c r="FZ23" s="406"/>
      <c r="GA23" s="436"/>
      <c r="GB23" s="406"/>
      <c r="GC23" s="406"/>
      <c r="GD23" s="406"/>
      <c r="GE23" s="406"/>
      <c r="GF23" s="406"/>
      <c r="GG23" s="406"/>
      <c r="GH23" s="406"/>
      <c r="GI23" s="406"/>
      <c r="GJ23" s="406"/>
      <c r="GK23" s="406"/>
      <c r="GL23" s="406"/>
      <c r="GM23" s="406"/>
      <c r="GN23" s="406"/>
      <c r="GO23" s="406"/>
      <c r="GP23" s="406"/>
      <c r="GQ23" s="406"/>
      <c r="GR23" s="406"/>
      <c r="GS23" s="406"/>
      <c r="GT23" s="406"/>
      <c r="GU23" s="436"/>
      <c r="GV23" s="406"/>
      <c r="GW23" s="406"/>
      <c r="GX23" s="406"/>
      <c r="GY23" s="406"/>
      <c r="GZ23" s="406"/>
      <c r="HA23" s="406"/>
      <c r="HB23" s="406"/>
      <c r="HC23" s="406"/>
      <c r="HD23" s="406"/>
      <c r="HE23" s="406"/>
      <c r="HF23" s="406"/>
      <c r="HG23" s="406"/>
      <c r="HH23" s="406"/>
      <c r="HI23" s="406"/>
      <c r="HJ23" s="406"/>
      <c r="HK23" s="406"/>
      <c r="HL23" s="406"/>
      <c r="HM23" s="406"/>
      <c r="HN23" s="406"/>
      <c r="HO23" s="406">
        <v>20000000</v>
      </c>
      <c r="HP23" s="436"/>
      <c r="HQ23" s="406"/>
      <c r="HR23" s="406"/>
      <c r="HS23" s="406"/>
      <c r="HT23" s="406"/>
      <c r="HU23" s="406"/>
      <c r="HV23" s="406"/>
      <c r="HW23" s="406"/>
      <c r="HX23" s="406"/>
      <c r="HY23" s="406"/>
      <c r="HZ23" s="406"/>
      <c r="IA23" s="406"/>
      <c r="IB23" s="406"/>
      <c r="IC23" s="406"/>
      <c r="ID23" s="406"/>
      <c r="IE23" s="406"/>
      <c r="IF23" s="406"/>
      <c r="IG23" s="406"/>
      <c r="IH23" s="406"/>
      <c r="II23" s="406"/>
      <c r="IJ23" s="406"/>
      <c r="IK23" s="406"/>
      <c r="IL23" s="436"/>
      <c r="IM23" s="406"/>
      <c r="IN23" s="406"/>
      <c r="IO23" s="406"/>
      <c r="IP23" s="406"/>
      <c r="IQ23" s="406"/>
      <c r="IR23" s="406"/>
      <c r="IS23" s="406"/>
      <c r="IT23" s="406"/>
      <c r="IU23" s="406"/>
      <c r="IV23" s="406"/>
      <c r="IW23" s="4">
        <f t="shared" si="8"/>
        <v>116045493.3</v>
      </c>
      <c r="IX23" s="7"/>
      <c r="IY23" s="7"/>
      <c r="IZ23" s="7"/>
      <c r="JA23" s="7"/>
      <c r="JB23" s="7"/>
      <c r="JC23" s="7"/>
      <c r="JD23" s="7"/>
      <c r="JE23" s="7"/>
      <c r="JF23" s="7"/>
      <c r="JH23" s="4"/>
      <c r="JI23" s="4"/>
    </row>
    <row r="24" spans="1:269" ht="14.1" customHeight="1">
      <c r="A24" s="406" t="s">
        <v>32</v>
      </c>
      <c r="B24" s="406"/>
      <c r="C24" s="436">
        <v>0</v>
      </c>
      <c r="D24" s="406">
        <v>0</v>
      </c>
      <c r="E24" s="406">
        <v>0</v>
      </c>
      <c r="F24" s="406"/>
      <c r="G24" s="406"/>
      <c r="H24" s="406"/>
      <c r="I24" s="406"/>
      <c r="J24" s="406"/>
      <c r="K24" s="406"/>
      <c r="L24" s="406"/>
      <c r="M24" s="43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36"/>
      <c r="AH24" s="406"/>
      <c r="AI24" s="406"/>
      <c r="AJ24" s="406"/>
      <c r="AK24" s="406"/>
      <c r="AL24" s="406"/>
      <c r="AM24" s="406"/>
      <c r="AN24" s="406"/>
      <c r="AO24" s="572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36"/>
      <c r="BE24" s="406"/>
      <c r="BF24" s="406"/>
      <c r="BG24" s="406"/>
      <c r="BH24" s="406"/>
      <c r="BI24" s="406"/>
      <c r="BJ24" s="406"/>
      <c r="BK24" s="40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36">
        <v>45000000</v>
      </c>
      <c r="BZ24" s="406"/>
      <c r="CA24" s="406"/>
      <c r="CB24" s="406"/>
      <c r="CC24" s="406"/>
      <c r="CD24" s="406"/>
      <c r="CE24" s="406"/>
      <c r="CF24" s="406"/>
      <c r="CG24" s="406"/>
      <c r="CH24" s="406"/>
      <c r="CI24" s="406"/>
      <c r="CJ24" s="406"/>
      <c r="CK24" s="406"/>
      <c r="CL24" s="406">
        <v>20000000</v>
      </c>
      <c r="CM24" s="406"/>
      <c r="CN24" s="406"/>
      <c r="CO24" s="406"/>
      <c r="CP24" s="406"/>
      <c r="CQ24" s="406"/>
      <c r="CR24" s="406"/>
      <c r="CS24" s="406"/>
      <c r="CT24" s="436">
        <v>30000000</v>
      </c>
      <c r="CU24" s="406"/>
      <c r="CV24" s="406"/>
      <c r="CW24" s="406"/>
      <c r="CX24" s="406"/>
      <c r="CY24" s="406"/>
      <c r="CZ24" s="406"/>
      <c r="DA24" s="406"/>
      <c r="DB24" s="406"/>
      <c r="DC24" s="406"/>
      <c r="DD24" s="406"/>
      <c r="DE24" s="406"/>
      <c r="DF24" s="406"/>
      <c r="DG24" s="406"/>
      <c r="DH24" s="406"/>
      <c r="DI24" s="406"/>
      <c r="DJ24" s="406"/>
      <c r="DK24" s="406"/>
      <c r="DL24" s="406"/>
      <c r="DM24" s="406"/>
      <c r="DN24" s="406">
        <v>23000000</v>
      </c>
      <c r="DO24" s="436"/>
      <c r="DP24" s="406"/>
      <c r="DQ24" s="406"/>
      <c r="DR24" s="406"/>
      <c r="DS24" s="406"/>
      <c r="DT24" s="406"/>
      <c r="DU24" s="406"/>
      <c r="DV24" s="406"/>
      <c r="DW24" s="406"/>
      <c r="DX24" s="406"/>
      <c r="DY24" s="406"/>
      <c r="DZ24" s="406"/>
      <c r="EA24" s="406"/>
      <c r="EB24" s="406"/>
      <c r="EC24" s="406"/>
      <c r="ED24" s="406"/>
      <c r="EE24" s="406"/>
      <c r="EF24" s="406"/>
      <c r="EG24" s="406"/>
      <c r="EH24" s="406"/>
      <c r="EI24" s="406"/>
      <c r="EJ24" s="436">
        <v>9200000</v>
      </c>
      <c r="EK24" s="406"/>
      <c r="EL24" s="406"/>
      <c r="EM24" s="406"/>
      <c r="EN24" s="406"/>
      <c r="EO24" s="406"/>
      <c r="EP24" s="406"/>
      <c r="EQ24" s="406">
        <v>21384.65</v>
      </c>
      <c r="ER24" s="406"/>
      <c r="ES24" s="406"/>
      <c r="ET24" s="406"/>
      <c r="EU24" s="406"/>
      <c r="EV24" s="406"/>
      <c r="EW24" s="406"/>
      <c r="EX24" s="406"/>
      <c r="EY24" s="406"/>
      <c r="EZ24" s="406"/>
      <c r="FA24" s="406"/>
      <c r="FB24" s="406"/>
      <c r="FC24" s="406"/>
      <c r="FD24" s="406"/>
      <c r="FE24" s="406"/>
      <c r="FF24" s="436"/>
      <c r="FG24" s="406"/>
      <c r="FH24" s="406"/>
      <c r="FI24" s="406"/>
      <c r="FJ24" s="406"/>
      <c r="FK24" s="406"/>
      <c r="FL24" s="406"/>
      <c r="FM24" s="406"/>
      <c r="FN24" s="406"/>
      <c r="FO24" s="406"/>
      <c r="FP24" s="406"/>
      <c r="FQ24" s="406"/>
      <c r="FR24" s="406"/>
      <c r="FS24" s="406"/>
      <c r="FT24" s="406"/>
      <c r="FU24" s="406"/>
      <c r="FV24" s="406"/>
      <c r="FW24" s="406"/>
      <c r="FX24" s="406"/>
      <c r="FY24" s="406"/>
      <c r="FZ24" s="406"/>
      <c r="GA24" s="436"/>
      <c r="GB24" s="406"/>
      <c r="GC24" s="406"/>
      <c r="GD24" s="406"/>
      <c r="GE24" s="406"/>
      <c r="GF24" s="406"/>
      <c r="GG24" s="406"/>
      <c r="GH24" s="406"/>
      <c r="GI24" s="406"/>
      <c r="GJ24" s="406"/>
      <c r="GK24" s="406"/>
      <c r="GL24" s="406"/>
      <c r="GM24" s="406"/>
      <c r="GN24" s="406"/>
      <c r="GO24" s="406"/>
      <c r="GP24" s="406"/>
      <c r="GQ24" s="406"/>
      <c r="GR24" s="406"/>
      <c r="GS24" s="406"/>
      <c r="GT24" s="406"/>
      <c r="GU24" s="436"/>
      <c r="GV24" s="406"/>
      <c r="GW24" s="406"/>
      <c r="GX24" s="406"/>
      <c r="GY24" s="406"/>
      <c r="GZ24" s="406"/>
      <c r="HA24" s="406"/>
      <c r="HB24" s="406"/>
      <c r="HC24" s="406"/>
      <c r="HD24" s="406"/>
      <c r="HE24" s="406"/>
      <c r="HF24" s="406"/>
      <c r="HG24" s="406"/>
      <c r="HH24" s="406"/>
      <c r="HI24" s="406"/>
      <c r="HJ24" s="406"/>
      <c r="HK24" s="406"/>
      <c r="HL24" s="406"/>
      <c r="HM24" s="406"/>
      <c r="HN24" s="406"/>
      <c r="HO24" s="406">
        <v>22000000</v>
      </c>
      <c r="HP24" s="436"/>
      <c r="HQ24" s="406"/>
      <c r="HR24" s="406"/>
      <c r="HS24" s="406"/>
      <c r="HT24" s="406"/>
      <c r="HU24" s="406"/>
      <c r="HV24" s="406"/>
      <c r="HW24" s="406"/>
      <c r="HX24" s="406"/>
      <c r="HY24" s="406"/>
      <c r="HZ24" s="406"/>
      <c r="IA24" s="406"/>
      <c r="IB24" s="406"/>
      <c r="IC24" s="406"/>
      <c r="ID24" s="406"/>
      <c r="IE24" s="406"/>
      <c r="IF24" s="406"/>
      <c r="IG24" s="406"/>
      <c r="IH24" s="406"/>
      <c r="II24" s="406"/>
      <c r="IJ24" s="406"/>
      <c r="IK24" s="406"/>
      <c r="IL24" s="436"/>
      <c r="IM24" s="406"/>
      <c r="IN24" s="406"/>
      <c r="IO24" s="406"/>
      <c r="IP24" s="406"/>
      <c r="IQ24" s="406"/>
      <c r="IR24" s="406"/>
      <c r="IS24" s="406"/>
      <c r="IT24" s="406"/>
      <c r="IU24" s="406"/>
      <c r="IV24" s="406"/>
      <c r="IW24" s="4">
        <f t="shared" si="8"/>
        <v>149221384.65000001</v>
      </c>
      <c r="IX24" s="7"/>
      <c r="IY24" s="7"/>
      <c r="IZ24" s="7"/>
      <c r="JA24" s="7"/>
      <c r="JB24" s="7"/>
      <c r="JC24" s="7"/>
      <c r="JD24" s="7"/>
      <c r="JE24" s="7"/>
      <c r="JF24" s="7"/>
      <c r="JH24" s="4"/>
      <c r="JI24" s="4"/>
    </row>
    <row r="25" spans="1:269" ht="14.1" customHeight="1">
      <c r="A25" s="406" t="s">
        <v>33</v>
      </c>
      <c r="B25" s="406"/>
      <c r="C25" s="436">
        <v>0</v>
      </c>
      <c r="D25" s="406">
        <v>0</v>
      </c>
      <c r="E25" s="406">
        <v>0</v>
      </c>
      <c r="F25" s="406"/>
      <c r="G25" s="406"/>
      <c r="H25" s="406"/>
      <c r="I25" s="406"/>
      <c r="J25" s="406"/>
      <c r="K25" s="406"/>
      <c r="L25" s="406"/>
      <c r="M25" s="43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6"/>
      <c r="AF25" s="406"/>
      <c r="AG25" s="436"/>
      <c r="AH25" s="406"/>
      <c r="AI25" s="406"/>
      <c r="AJ25" s="406"/>
      <c r="AK25" s="406"/>
      <c r="AL25" s="406"/>
      <c r="AM25" s="406"/>
      <c r="AN25" s="406"/>
      <c r="AO25" s="572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36">
        <v>60000000</v>
      </c>
      <c r="BE25" s="406"/>
      <c r="BF25" s="406"/>
      <c r="BG25" s="406"/>
      <c r="BH25" s="406"/>
      <c r="BI25" s="406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36"/>
      <c r="BZ25" s="406"/>
      <c r="CA25" s="406"/>
      <c r="CB25" s="406"/>
      <c r="CC25" s="406"/>
      <c r="CD25" s="406"/>
      <c r="CE25" s="406"/>
      <c r="CF25" s="406"/>
      <c r="CG25" s="406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3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3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36"/>
      <c r="EK25" s="406"/>
      <c r="EL25" s="406"/>
      <c r="EM25" s="406"/>
      <c r="EN25" s="406"/>
      <c r="EO25" s="406"/>
      <c r="EP25" s="406"/>
      <c r="EQ25" s="406">
        <v>33647</v>
      </c>
      <c r="ER25" s="406"/>
      <c r="ES25" s="406"/>
      <c r="ET25" s="406"/>
      <c r="EU25" s="406"/>
      <c r="EV25" s="406"/>
      <c r="EW25" s="406"/>
      <c r="EX25" s="406"/>
      <c r="EY25" s="406"/>
      <c r="EZ25" s="406"/>
      <c r="FA25" s="406"/>
      <c r="FB25" s="406"/>
      <c r="FC25" s="406"/>
      <c r="FD25" s="406"/>
      <c r="FE25" s="406"/>
      <c r="FF25" s="436"/>
      <c r="FG25" s="406"/>
      <c r="FH25" s="406"/>
      <c r="FI25" s="406"/>
      <c r="FJ25" s="406"/>
      <c r="FK25" s="406"/>
      <c r="FL25" s="406"/>
      <c r="FM25" s="406"/>
      <c r="FN25" s="406"/>
      <c r="FO25" s="406"/>
      <c r="FP25" s="406"/>
      <c r="FQ25" s="406"/>
      <c r="FR25" s="406"/>
      <c r="FS25" s="406"/>
      <c r="FT25" s="406"/>
      <c r="FU25" s="406"/>
      <c r="FV25" s="406"/>
      <c r="FW25" s="406"/>
      <c r="FX25" s="406"/>
      <c r="FY25" s="406"/>
      <c r="FZ25" s="406"/>
      <c r="GA25" s="436"/>
      <c r="GB25" s="406"/>
      <c r="GC25" s="406"/>
      <c r="GD25" s="406"/>
      <c r="GE25" s="406"/>
      <c r="GF25" s="406"/>
      <c r="GG25" s="406"/>
      <c r="GH25" s="406"/>
      <c r="GI25" s="406"/>
      <c r="GJ25" s="406"/>
      <c r="GK25" s="406"/>
      <c r="GL25" s="406"/>
      <c r="GM25" s="406"/>
      <c r="GN25" s="406"/>
      <c r="GO25" s="406"/>
      <c r="GP25" s="406"/>
      <c r="GQ25" s="406"/>
      <c r="GR25" s="406"/>
      <c r="GS25" s="406"/>
      <c r="GT25" s="406"/>
      <c r="GU25" s="436"/>
      <c r="GV25" s="406"/>
      <c r="GW25" s="406"/>
      <c r="GX25" s="406"/>
      <c r="GY25" s="406"/>
      <c r="GZ25" s="406"/>
      <c r="HA25" s="406"/>
      <c r="HB25" s="406"/>
      <c r="HC25" s="406"/>
      <c r="HD25" s="406"/>
      <c r="HE25" s="406"/>
      <c r="HF25" s="406"/>
      <c r="HG25" s="406"/>
      <c r="HH25" s="406"/>
      <c r="HI25" s="406"/>
      <c r="HJ25" s="406"/>
      <c r="HK25" s="406"/>
      <c r="HL25" s="406"/>
      <c r="HM25" s="406"/>
      <c r="HN25" s="406"/>
      <c r="HO25" s="406"/>
      <c r="HP25" s="436"/>
      <c r="HQ25" s="406"/>
      <c r="HR25" s="406"/>
      <c r="HS25" s="406"/>
      <c r="HT25" s="406"/>
      <c r="HU25" s="406"/>
      <c r="HV25" s="406"/>
      <c r="HW25" s="406"/>
      <c r="HX25" s="406"/>
      <c r="HY25" s="406"/>
      <c r="HZ25" s="406"/>
      <c r="IA25" s="406"/>
      <c r="IB25" s="406"/>
      <c r="IC25" s="406"/>
      <c r="ID25" s="406"/>
      <c r="IE25" s="406"/>
      <c r="IF25" s="406"/>
      <c r="IG25" s="406"/>
      <c r="IH25" s="406"/>
      <c r="II25" s="406"/>
      <c r="IJ25" s="406"/>
      <c r="IK25" s="406"/>
      <c r="IL25" s="436"/>
      <c r="IM25" s="406"/>
      <c r="IN25" s="406"/>
      <c r="IO25" s="406"/>
      <c r="IP25" s="406"/>
      <c r="IQ25" s="406"/>
      <c r="IR25" s="406"/>
      <c r="IS25" s="406"/>
      <c r="IT25" s="406"/>
      <c r="IU25" s="406"/>
      <c r="IV25" s="406"/>
      <c r="IW25" s="4">
        <f t="shared" si="8"/>
        <v>60033647</v>
      </c>
      <c r="IX25" s="7"/>
      <c r="IY25" s="7"/>
      <c r="IZ25" s="7"/>
      <c r="JA25" s="7"/>
      <c r="JB25" s="7"/>
      <c r="JC25" s="7"/>
      <c r="JD25" s="7"/>
      <c r="JE25" s="7"/>
      <c r="JF25" s="7"/>
      <c r="JH25" s="4"/>
      <c r="JI25" s="4"/>
    </row>
    <row r="26" spans="1:269" ht="14.1" customHeight="1">
      <c r="A26" s="426" t="s">
        <v>34</v>
      </c>
      <c r="B26" s="446"/>
      <c r="C26" s="439">
        <v>0</v>
      </c>
      <c r="D26" s="426">
        <v>0</v>
      </c>
      <c r="E26" s="426">
        <v>0</v>
      </c>
      <c r="F26" s="426"/>
      <c r="G26" s="426"/>
      <c r="H26" s="426"/>
      <c r="I26" s="426"/>
      <c r="J26" s="426"/>
      <c r="K26" s="426"/>
      <c r="L26" s="426"/>
      <c r="M26" s="439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39"/>
      <c r="AH26" s="426"/>
      <c r="AI26" s="426"/>
      <c r="AJ26" s="426"/>
      <c r="AK26" s="426"/>
      <c r="AL26" s="426"/>
      <c r="AM26" s="426"/>
      <c r="AN26" s="426"/>
      <c r="AO26" s="574"/>
      <c r="AP26" s="426"/>
      <c r="AQ26" s="426"/>
      <c r="AR26" s="426"/>
      <c r="AS26" s="426"/>
      <c r="AT26" s="426"/>
      <c r="AU26" s="426"/>
      <c r="AV26" s="426"/>
      <c r="AW26" s="426"/>
      <c r="AX26" s="426"/>
      <c r="AY26" s="426"/>
      <c r="AZ26" s="426"/>
      <c r="BA26" s="426"/>
      <c r="BB26" s="426"/>
      <c r="BC26" s="426"/>
      <c r="BD26" s="439"/>
      <c r="BE26" s="426"/>
      <c r="BF26" s="426"/>
      <c r="BG26" s="426"/>
      <c r="BH26" s="426"/>
      <c r="BI26" s="426"/>
      <c r="BJ26" s="426"/>
      <c r="BK26" s="426"/>
      <c r="BL26" s="426"/>
      <c r="BM26" s="426"/>
      <c r="BN26" s="426"/>
      <c r="BO26" s="426"/>
      <c r="BP26" s="426"/>
      <c r="BQ26" s="426"/>
      <c r="BR26" s="426"/>
      <c r="BS26" s="426"/>
      <c r="BT26" s="426"/>
      <c r="BU26" s="426"/>
      <c r="BV26" s="426"/>
      <c r="BW26" s="426"/>
      <c r="BX26" s="426"/>
      <c r="BY26" s="439"/>
      <c r="BZ26" s="426"/>
      <c r="CA26" s="426"/>
      <c r="CB26" s="426"/>
      <c r="CC26" s="426"/>
      <c r="CD26" s="426"/>
      <c r="CE26" s="426"/>
      <c r="CF26" s="426"/>
      <c r="CG26" s="426"/>
      <c r="CH26" s="426"/>
      <c r="CI26" s="426"/>
      <c r="CJ26" s="426"/>
      <c r="CK26" s="426"/>
      <c r="CL26" s="426"/>
      <c r="CM26" s="426"/>
      <c r="CN26" s="426"/>
      <c r="CO26" s="426"/>
      <c r="CP26" s="426"/>
      <c r="CQ26" s="426"/>
      <c r="CR26" s="426"/>
      <c r="CS26" s="426"/>
      <c r="CT26" s="439"/>
      <c r="CU26" s="426"/>
      <c r="CV26" s="426"/>
      <c r="CW26" s="426"/>
      <c r="CX26" s="426"/>
      <c r="CY26" s="426"/>
      <c r="CZ26" s="426"/>
      <c r="DA26" s="426"/>
      <c r="DB26" s="426"/>
      <c r="DC26" s="426"/>
      <c r="DD26" s="426"/>
      <c r="DE26" s="426"/>
      <c r="DF26" s="426"/>
      <c r="DG26" s="426"/>
      <c r="DH26" s="426"/>
      <c r="DI26" s="426"/>
      <c r="DJ26" s="426"/>
      <c r="DK26" s="426"/>
      <c r="DL26" s="426"/>
      <c r="DM26" s="426"/>
      <c r="DN26" s="426"/>
      <c r="DO26" s="439"/>
      <c r="DP26" s="426"/>
      <c r="DQ26" s="426"/>
      <c r="DR26" s="426"/>
      <c r="DS26" s="426"/>
      <c r="DT26" s="426"/>
      <c r="DU26" s="426"/>
      <c r="DV26" s="426"/>
      <c r="DW26" s="426"/>
      <c r="DX26" s="426"/>
      <c r="DY26" s="426"/>
      <c r="DZ26" s="426"/>
      <c r="EA26" s="426"/>
      <c r="EB26" s="426"/>
      <c r="EC26" s="426"/>
      <c r="ED26" s="426"/>
      <c r="EE26" s="426"/>
      <c r="EF26" s="426"/>
      <c r="EG26" s="426"/>
      <c r="EH26" s="426"/>
      <c r="EI26" s="426"/>
      <c r="EJ26" s="439"/>
      <c r="EK26" s="426"/>
      <c r="EL26" s="426"/>
      <c r="EM26" s="426"/>
      <c r="EN26" s="426"/>
      <c r="EO26" s="426"/>
      <c r="EP26" s="426"/>
      <c r="EQ26" s="426">
        <v>8455.61</v>
      </c>
      <c r="ER26" s="426"/>
      <c r="ES26" s="426"/>
      <c r="ET26" s="426"/>
      <c r="EU26" s="426"/>
      <c r="EV26" s="426"/>
      <c r="EW26" s="426"/>
      <c r="EX26" s="426"/>
      <c r="EY26" s="426"/>
      <c r="EZ26" s="426"/>
      <c r="FA26" s="426"/>
      <c r="FB26" s="426"/>
      <c r="FC26" s="426"/>
      <c r="FD26" s="426"/>
      <c r="FE26" s="426"/>
      <c r="FF26" s="439"/>
      <c r="FG26" s="426"/>
      <c r="FH26" s="426"/>
      <c r="FI26" s="426"/>
      <c r="FJ26" s="484"/>
      <c r="FK26" s="426"/>
      <c r="FL26" s="447"/>
      <c r="FM26" s="426"/>
      <c r="FN26" s="426"/>
      <c r="FO26" s="426"/>
      <c r="FP26" s="426"/>
      <c r="FQ26" s="426"/>
      <c r="FR26" s="426"/>
      <c r="FS26" s="426"/>
      <c r="FT26" s="426"/>
      <c r="FU26" s="426"/>
      <c r="FV26" s="426"/>
      <c r="FW26" s="426"/>
      <c r="FX26" s="426"/>
      <c r="FY26" s="426"/>
      <c r="FZ26" s="426"/>
      <c r="GA26" s="448"/>
      <c r="GB26" s="426"/>
      <c r="GC26" s="426"/>
      <c r="GD26" s="426"/>
      <c r="GE26" s="426"/>
      <c r="GF26" s="426"/>
      <c r="GG26" s="426"/>
      <c r="GH26" s="426"/>
      <c r="GI26" s="426"/>
      <c r="GJ26" s="426"/>
      <c r="GK26" s="426"/>
      <c r="GL26" s="426"/>
      <c r="GM26" s="426"/>
      <c r="GN26" s="426"/>
      <c r="GO26" s="426"/>
      <c r="GP26" s="426"/>
      <c r="GQ26" s="426"/>
      <c r="GR26" s="426"/>
      <c r="GS26" s="426"/>
      <c r="GT26" s="426"/>
      <c r="GU26" s="448"/>
      <c r="GV26" s="426"/>
      <c r="GW26" s="426"/>
      <c r="GX26" s="426"/>
      <c r="GY26" s="426"/>
      <c r="GZ26" s="426"/>
      <c r="HA26" s="426"/>
      <c r="HB26" s="426"/>
      <c r="HC26" s="426"/>
      <c r="HD26" s="426"/>
      <c r="HE26" s="426"/>
      <c r="HF26" s="426"/>
      <c r="HG26" s="426"/>
      <c r="HH26" s="426"/>
      <c r="HI26" s="426"/>
      <c r="HJ26" s="426"/>
      <c r="HK26" s="426"/>
      <c r="HL26" s="426"/>
      <c r="HM26" s="426"/>
      <c r="HN26" s="447"/>
      <c r="HO26" s="426"/>
      <c r="HP26" s="439"/>
      <c r="HQ26" s="426"/>
      <c r="HR26" s="426"/>
      <c r="HS26" s="426"/>
      <c r="HT26" s="426"/>
      <c r="HU26" s="426"/>
      <c r="HV26" s="426"/>
      <c r="HW26" s="426"/>
      <c r="HX26" s="426"/>
      <c r="HY26" s="426"/>
      <c r="HZ26" s="426"/>
      <c r="IA26" s="426"/>
      <c r="IB26" s="426"/>
      <c r="IC26" s="426"/>
      <c r="ID26" s="426"/>
      <c r="IE26" s="426"/>
      <c r="IF26" s="426"/>
      <c r="IG26" s="426"/>
      <c r="IH26" s="426"/>
      <c r="II26" s="447"/>
      <c r="IJ26" s="426"/>
      <c r="IK26" s="426"/>
      <c r="IL26" s="439"/>
      <c r="IM26" s="426"/>
      <c r="IN26" s="426"/>
      <c r="IO26" s="426">
        <v>5354896.28</v>
      </c>
      <c r="IP26" s="426"/>
      <c r="IQ26" s="426"/>
      <c r="IR26" s="426"/>
      <c r="IS26" s="426"/>
      <c r="IT26" s="426"/>
      <c r="IU26" s="426"/>
      <c r="IV26" s="426"/>
      <c r="IW26" s="4">
        <f t="shared" si="8"/>
        <v>5363351.8900000006</v>
      </c>
      <c r="IX26" s="7"/>
      <c r="IY26" s="7"/>
      <c r="IZ26" s="7"/>
      <c r="JA26" s="7"/>
      <c r="JB26" s="7"/>
      <c r="JC26" s="7"/>
      <c r="JD26" s="7"/>
      <c r="JE26" s="7"/>
      <c r="JF26" s="7"/>
      <c r="JH26" s="5"/>
      <c r="JI26" s="4"/>
    </row>
    <row r="27" spans="1:269" ht="13.5" customHeight="1" thickBot="1">
      <c r="A27" s="43" t="s">
        <v>8</v>
      </c>
      <c r="B27" s="43"/>
      <c r="C27" s="65">
        <v>30311370.849999998</v>
      </c>
      <c r="D27" s="43">
        <f t="shared" ref="D27:BN27" si="9">SUM(D8:D26)</f>
        <v>20102316</v>
      </c>
      <c r="E27" s="43">
        <f t="shared" si="9"/>
        <v>100496170.01000002</v>
      </c>
      <c r="F27" s="43">
        <f t="shared" si="9"/>
        <v>33394204.949999999</v>
      </c>
      <c r="G27" s="43">
        <f t="shared" si="9"/>
        <v>111426017.27</v>
      </c>
      <c r="H27" s="43">
        <f t="shared" si="9"/>
        <v>23022414.100000005</v>
      </c>
      <c r="I27" s="43">
        <f t="shared" si="9"/>
        <v>7309878.25</v>
      </c>
      <c r="J27" s="43">
        <f t="shared" si="9"/>
        <v>42214434.319999993</v>
      </c>
      <c r="K27" s="43">
        <f t="shared" si="9"/>
        <v>20383341.120000001</v>
      </c>
      <c r="L27" s="43">
        <f t="shared" si="9"/>
        <v>16381955.75</v>
      </c>
      <c r="M27" s="65">
        <f t="shared" si="9"/>
        <v>158843521.17000002</v>
      </c>
      <c r="N27" s="43">
        <f t="shared" si="9"/>
        <v>2301417.0699999998</v>
      </c>
      <c r="O27" s="43">
        <f t="shared" si="9"/>
        <v>2397599.27</v>
      </c>
      <c r="P27" s="43">
        <f t="shared" si="9"/>
        <v>1097164.3599999999</v>
      </c>
      <c r="Q27" s="43">
        <f t="shared" si="9"/>
        <v>4594049.9000000004</v>
      </c>
      <c r="R27" s="43">
        <f t="shared" si="9"/>
        <v>7645219.3799999999</v>
      </c>
      <c r="S27" s="43">
        <f t="shared" si="9"/>
        <v>8426387.6199999992</v>
      </c>
      <c r="T27" s="43">
        <f t="shared" si="9"/>
        <v>1457637.83</v>
      </c>
      <c r="U27" s="43">
        <f t="shared" si="9"/>
        <v>5713637.9800000004</v>
      </c>
      <c r="V27" s="43">
        <f t="shared" si="9"/>
        <v>5821750.6300000008</v>
      </c>
      <c r="W27" s="43">
        <f t="shared" si="9"/>
        <v>4805420.66</v>
      </c>
      <c r="X27" s="43">
        <f t="shared" si="9"/>
        <v>5642242.3700000001</v>
      </c>
      <c r="Y27" s="43">
        <f t="shared" si="9"/>
        <v>10435081.68</v>
      </c>
      <c r="Z27" s="43">
        <f t="shared" si="9"/>
        <v>13165598.140000001</v>
      </c>
      <c r="AA27" s="43">
        <f t="shared" si="9"/>
        <v>23947386.060000002</v>
      </c>
      <c r="AB27" s="43">
        <f t="shared" si="9"/>
        <v>5370145.3099999996</v>
      </c>
      <c r="AC27" s="43">
        <f t="shared" si="9"/>
        <v>8031076.2100000009</v>
      </c>
      <c r="AD27" s="43">
        <f t="shared" si="9"/>
        <v>4490743.4800000004</v>
      </c>
      <c r="AE27" s="43">
        <f t="shared" si="9"/>
        <v>1708104.96</v>
      </c>
      <c r="AF27" s="43">
        <f t="shared" si="9"/>
        <v>11451071.85</v>
      </c>
      <c r="AG27" s="65">
        <f t="shared" si="9"/>
        <v>70844478.229999989</v>
      </c>
      <c r="AH27" s="43">
        <f t="shared" si="9"/>
        <v>1658942.21</v>
      </c>
      <c r="AI27" s="43">
        <f t="shared" si="9"/>
        <v>7823857.3700000001</v>
      </c>
      <c r="AJ27" s="43">
        <f t="shared" si="9"/>
        <v>2040370.5199999998</v>
      </c>
      <c r="AK27" s="43">
        <f t="shared" si="9"/>
        <v>4404487.84</v>
      </c>
      <c r="AL27" s="43">
        <f t="shared" si="9"/>
        <v>929885.44</v>
      </c>
      <c r="AM27" s="43">
        <f t="shared" si="9"/>
        <v>3444152.4299999997</v>
      </c>
      <c r="AN27" s="43">
        <f t="shared" si="9"/>
        <v>1282437.8499999999</v>
      </c>
      <c r="AO27" s="575">
        <f t="shared" si="9"/>
        <v>2463489.94</v>
      </c>
      <c r="AP27" s="43">
        <f t="shared" si="9"/>
        <v>8181685.6699999999</v>
      </c>
      <c r="AQ27" s="43">
        <f t="shared" si="9"/>
        <v>7774658.5700000003</v>
      </c>
      <c r="AR27" s="43">
        <f t="shared" si="9"/>
        <v>6279054.5300000012</v>
      </c>
      <c r="AS27" s="43">
        <f t="shared" si="9"/>
        <v>4287479.42</v>
      </c>
      <c r="AT27" s="43">
        <f t="shared" si="9"/>
        <v>28438843.84</v>
      </c>
      <c r="AU27" s="43">
        <f t="shared" si="9"/>
        <v>18363210.970000003</v>
      </c>
      <c r="AV27" s="43">
        <f t="shared" si="9"/>
        <v>4102118.7400000007</v>
      </c>
      <c r="AW27" s="43">
        <f t="shared" si="9"/>
        <v>16837218.52</v>
      </c>
      <c r="AX27" s="43">
        <f t="shared" si="9"/>
        <v>2283373.98</v>
      </c>
      <c r="AY27" s="43">
        <f t="shared" si="9"/>
        <v>794557.5</v>
      </c>
      <c r="AZ27" s="43">
        <f t="shared" si="9"/>
        <v>1370652.29</v>
      </c>
      <c r="BA27" s="43">
        <f t="shared" si="9"/>
        <v>6915639.7300000004</v>
      </c>
      <c r="BB27" s="43">
        <f t="shared" si="9"/>
        <v>2442202.4</v>
      </c>
      <c r="BC27" s="43">
        <f t="shared" si="9"/>
        <v>4720736.2</v>
      </c>
      <c r="BD27" s="65">
        <f t="shared" si="9"/>
        <v>70657748.629999995</v>
      </c>
      <c r="BE27" s="43">
        <f t="shared" si="9"/>
        <v>5660577.4900000002</v>
      </c>
      <c r="BF27" s="43">
        <f t="shared" si="9"/>
        <v>6985687.0100000007</v>
      </c>
      <c r="BG27" s="43">
        <f t="shared" si="9"/>
        <v>3123864.0300000003</v>
      </c>
      <c r="BH27" s="43">
        <f t="shared" si="9"/>
        <v>4562255.3899999997</v>
      </c>
      <c r="BI27" s="43">
        <f t="shared" si="9"/>
        <v>1090852.55</v>
      </c>
      <c r="BJ27" s="43">
        <f t="shared" si="9"/>
        <v>12111448.310000001</v>
      </c>
      <c r="BK27" s="43">
        <f t="shared" si="9"/>
        <v>4496430.0999999996</v>
      </c>
      <c r="BL27" s="43">
        <f t="shared" si="9"/>
        <v>3296724.3600000003</v>
      </c>
      <c r="BM27" s="43">
        <f t="shared" si="9"/>
        <v>2957357.12</v>
      </c>
      <c r="BN27" s="43">
        <f t="shared" si="9"/>
        <v>5111827.38</v>
      </c>
      <c r="BO27" s="43">
        <f t="shared" ref="BO27:DZ27" si="10">SUM(BO8:BO26)</f>
        <v>4173372.98</v>
      </c>
      <c r="BP27" s="43">
        <f t="shared" si="10"/>
        <v>9845712</v>
      </c>
      <c r="BQ27" s="43">
        <f t="shared" si="10"/>
        <v>11781920.060000001</v>
      </c>
      <c r="BR27" s="43">
        <f t="shared" si="10"/>
        <v>1659126.29</v>
      </c>
      <c r="BS27" s="43">
        <f t="shared" si="10"/>
        <v>15801979.900000002</v>
      </c>
      <c r="BT27" s="43">
        <f t="shared" si="10"/>
        <v>887329.09</v>
      </c>
      <c r="BU27" s="43">
        <f t="shared" si="10"/>
        <v>3658222.51</v>
      </c>
      <c r="BV27" s="43">
        <f t="shared" si="10"/>
        <v>1902698.69</v>
      </c>
      <c r="BW27" s="43">
        <f t="shared" si="10"/>
        <v>2963310.33</v>
      </c>
      <c r="BX27" s="43">
        <f t="shared" si="10"/>
        <v>1580111.75</v>
      </c>
      <c r="BY27" s="65">
        <f t="shared" si="10"/>
        <v>73799641.060000002</v>
      </c>
      <c r="BZ27" s="43">
        <f t="shared" si="10"/>
        <v>4246187.9800000004</v>
      </c>
      <c r="CA27" s="43">
        <f t="shared" si="10"/>
        <v>3675938.2399999998</v>
      </c>
      <c r="CB27" s="43">
        <f t="shared" si="10"/>
        <v>5291712.8499999996</v>
      </c>
      <c r="CC27" s="43">
        <f t="shared" si="10"/>
        <v>14190113.140000001</v>
      </c>
      <c r="CD27" s="43">
        <f t="shared" si="10"/>
        <v>1494577.1</v>
      </c>
      <c r="CE27" s="43">
        <f t="shared" si="10"/>
        <v>8010985.04</v>
      </c>
      <c r="CF27" s="43">
        <f t="shared" si="10"/>
        <v>15799946.869999999</v>
      </c>
      <c r="CG27" s="43">
        <f t="shared" si="10"/>
        <v>2517986.0099999998</v>
      </c>
      <c r="CH27" s="43">
        <f t="shared" si="10"/>
        <v>562582.32000000007</v>
      </c>
      <c r="CI27" s="43">
        <f t="shared" si="10"/>
        <v>4256959.2699999996</v>
      </c>
      <c r="CJ27" s="43">
        <f t="shared" si="10"/>
        <v>9389444.4800000004</v>
      </c>
      <c r="CK27" s="43">
        <f t="shared" si="10"/>
        <v>2314360.33</v>
      </c>
      <c r="CL27" s="43">
        <f t="shared" si="10"/>
        <v>40183703.200000003</v>
      </c>
      <c r="CM27" s="43">
        <f t="shared" si="10"/>
        <v>15456700.440000001</v>
      </c>
      <c r="CN27" s="43">
        <f t="shared" si="10"/>
        <v>2472132.9099999997</v>
      </c>
      <c r="CO27" s="43">
        <f t="shared" si="10"/>
        <v>8120184.3300000001</v>
      </c>
      <c r="CP27" s="43">
        <f t="shared" si="10"/>
        <v>3557410.64</v>
      </c>
      <c r="CQ27" s="43">
        <f t="shared" si="10"/>
        <v>2135097.21</v>
      </c>
      <c r="CR27" s="43">
        <f t="shared" si="10"/>
        <v>5399871.0300000003</v>
      </c>
      <c r="CS27" s="43">
        <f t="shared" si="10"/>
        <v>2535388.81</v>
      </c>
      <c r="CT27" s="65">
        <f t="shared" si="10"/>
        <v>79906134.460000008</v>
      </c>
      <c r="CU27" s="43">
        <f t="shared" si="10"/>
        <v>16334415.880000001</v>
      </c>
      <c r="CV27" s="43">
        <f t="shared" si="10"/>
        <v>1485525.64</v>
      </c>
      <c r="CW27" s="43">
        <f t="shared" si="10"/>
        <v>6033463.7300000004</v>
      </c>
      <c r="CX27" s="43">
        <f t="shared" si="10"/>
        <v>735051.34000000008</v>
      </c>
      <c r="CY27" s="43">
        <f t="shared" si="10"/>
        <v>12304341.389999999</v>
      </c>
      <c r="CZ27" s="43">
        <f t="shared" si="10"/>
        <v>4783614.83</v>
      </c>
      <c r="DA27" s="43">
        <f t="shared" si="10"/>
        <v>7443672.7599999998</v>
      </c>
      <c r="DB27" s="43">
        <f t="shared" si="10"/>
        <v>5344028.7600000007</v>
      </c>
      <c r="DC27" s="43">
        <f t="shared" si="10"/>
        <v>3513608.31</v>
      </c>
      <c r="DD27" s="43">
        <f t="shared" si="10"/>
        <v>4376567.8</v>
      </c>
      <c r="DE27" s="43">
        <f t="shared" si="10"/>
        <v>15476485.58</v>
      </c>
      <c r="DF27" s="43">
        <f t="shared" si="10"/>
        <v>1903084.74</v>
      </c>
      <c r="DG27" s="43">
        <f t="shared" si="10"/>
        <v>1904046.15</v>
      </c>
      <c r="DH27" s="43">
        <f t="shared" si="10"/>
        <v>2342813.36</v>
      </c>
      <c r="DI27" s="43">
        <f t="shared" si="10"/>
        <v>1583773.55</v>
      </c>
      <c r="DJ27" s="43">
        <f t="shared" si="10"/>
        <v>1052935.1800000002</v>
      </c>
      <c r="DK27" s="43">
        <f t="shared" si="10"/>
        <v>1726670.57</v>
      </c>
      <c r="DL27" s="43">
        <f t="shared" si="10"/>
        <v>1161672.8900000001</v>
      </c>
      <c r="DM27" s="43">
        <f t="shared" si="10"/>
        <v>6607690.1699999999</v>
      </c>
      <c r="DN27" s="43">
        <f t="shared" si="10"/>
        <v>65240042.799999997</v>
      </c>
      <c r="DO27" s="65">
        <f t="shared" si="10"/>
        <v>59180372.289999999</v>
      </c>
      <c r="DP27" s="43">
        <f t="shared" si="10"/>
        <v>28004610.100000001</v>
      </c>
      <c r="DQ27" s="43">
        <f t="shared" si="10"/>
        <v>22734557.989999998</v>
      </c>
      <c r="DR27" s="43">
        <f t="shared" si="10"/>
        <v>1671231.98</v>
      </c>
      <c r="DS27" s="43">
        <f t="shared" si="10"/>
        <v>3555743.89</v>
      </c>
      <c r="DT27" s="43">
        <f t="shared" si="10"/>
        <v>1836636.57</v>
      </c>
      <c r="DU27" s="43">
        <f t="shared" si="10"/>
        <v>8877334.5199999996</v>
      </c>
      <c r="DV27" s="43">
        <f t="shared" si="10"/>
        <v>12637066.200000001</v>
      </c>
      <c r="DW27" s="43">
        <f t="shared" si="10"/>
        <v>7118438.4900000002</v>
      </c>
      <c r="DX27" s="43">
        <f t="shared" si="10"/>
        <v>3800000</v>
      </c>
      <c r="DY27" s="43">
        <f t="shared" si="10"/>
        <v>1142490.6200000001</v>
      </c>
      <c r="DZ27" s="43">
        <f t="shared" si="10"/>
        <v>4196603.8899999997</v>
      </c>
      <c r="EA27" s="43">
        <f t="shared" ref="EA27:GL27" si="11">SUM(EA8:EA26)</f>
        <v>2288051.17</v>
      </c>
      <c r="EB27" s="43">
        <f t="shared" si="11"/>
        <v>2228018.1100000003</v>
      </c>
      <c r="EC27" s="43">
        <f t="shared" si="11"/>
        <v>592274.12</v>
      </c>
      <c r="ED27" s="43">
        <f t="shared" si="11"/>
        <v>1186200.27</v>
      </c>
      <c r="EE27" s="43">
        <f t="shared" si="11"/>
        <v>19238317.239999998</v>
      </c>
      <c r="EF27" s="43">
        <f t="shared" si="11"/>
        <v>9617756.7200000007</v>
      </c>
      <c r="EG27" s="43">
        <f t="shared" si="11"/>
        <v>32871997.480000004</v>
      </c>
      <c r="EH27" s="43">
        <f t="shared" si="11"/>
        <v>3443232.84</v>
      </c>
      <c r="EI27" s="43">
        <f t="shared" si="11"/>
        <v>298171.22999999992</v>
      </c>
      <c r="EJ27" s="65">
        <f t="shared" si="11"/>
        <v>85729397.939999998</v>
      </c>
      <c r="EK27" s="43">
        <f t="shared" si="11"/>
        <v>10322135.58</v>
      </c>
      <c r="EL27" s="43">
        <f t="shared" si="11"/>
        <v>837770.64</v>
      </c>
      <c r="EM27" s="43">
        <f t="shared" si="11"/>
        <v>14686703.369999999</v>
      </c>
      <c r="EN27" s="43">
        <f t="shared" si="11"/>
        <v>89804.64</v>
      </c>
      <c r="EO27" s="43">
        <f t="shared" si="11"/>
        <v>2066738.3</v>
      </c>
      <c r="EP27" s="43">
        <f t="shared" si="11"/>
        <v>12882334.48</v>
      </c>
      <c r="EQ27" s="43">
        <f t="shared" si="11"/>
        <v>3297790.8599999994</v>
      </c>
      <c r="ER27" s="43">
        <f t="shared" si="11"/>
        <v>49621574.079999998</v>
      </c>
      <c r="ES27" s="43">
        <f t="shared" si="11"/>
        <v>2807789.06</v>
      </c>
      <c r="ET27" s="43">
        <f t="shared" si="11"/>
        <v>584920.80000000005</v>
      </c>
      <c r="EU27" s="43">
        <f t="shared" si="11"/>
        <v>4984394.66</v>
      </c>
      <c r="EV27" s="43">
        <f t="shared" si="11"/>
        <v>3993146.6999999997</v>
      </c>
      <c r="EW27" s="43">
        <f t="shared" si="11"/>
        <v>2868220.99</v>
      </c>
      <c r="EX27" s="43">
        <f t="shared" si="11"/>
        <v>1523734.48</v>
      </c>
      <c r="EY27" s="43">
        <f t="shared" si="11"/>
        <v>15961442.029999999</v>
      </c>
      <c r="EZ27" s="43">
        <f t="shared" si="11"/>
        <v>4096669.21</v>
      </c>
      <c r="FA27" s="43">
        <f t="shared" si="11"/>
        <v>6776534.9400000004</v>
      </c>
      <c r="FB27" s="43">
        <f t="shared" si="11"/>
        <v>55232696.090000004</v>
      </c>
      <c r="FC27" s="43">
        <f t="shared" si="11"/>
        <v>21845600.499999996</v>
      </c>
      <c r="FD27" s="43">
        <f t="shared" si="11"/>
        <v>6178216.2999999998</v>
      </c>
      <c r="FE27" s="43">
        <f t="shared" si="11"/>
        <v>4859397.1399999997</v>
      </c>
      <c r="FF27" s="65">
        <f t="shared" si="11"/>
        <v>71727509.010000005</v>
      </c>
      <c r="FG27" s="43">
        <f t="shared" si="11"/>
        <v>10377760.539999999</v>
      </c>
      <c r="FH27" s="43">
        <f t="shared" si="11"/>
        <v>10356351.24</v>
      </c>
      <c r="FI27" s="43">
        <f t="shared" si="11"/>
        <v>14831706.729999999</v>
      </c>
      <c r="FJ27" s="43">
        <f t="shared" si="11"/>
        <v>1843541.5</v>
      </c>
      <c r="FK27" s="43">
        <f t="shared" si="11"/>
        <v>9057225.3300000001</v>
      </c>
      <c r="FL27" s="43">
        <f t="shared" si="11"/>
        <v>1146351.32</v>
      </c>
      <c r="FM27" s="43">
        <f t="shared" si="11"/>
        <v>982249.65000000014</v>
      </c>
      <c r="FN27" s="43">
        <f t="shared" si="11"/>
        <v>121202583.78</v>
      </c>
      <c r="FO27" s="43">
        <f t="shared" si="11"/>
        <v>73147205.480000019</v>
      </c>
      <c r="FP27" s="43">
        <f t="shared" si="11"/>
        <v>8757524.2200000007</v>
      </c>
      <c r="FQ27" s="43">
        <f t="shared" si="11"/>
        <v>987657.07000000007</v>
      </c>
      <c r="FR27" s="43">
        <f t="shared" si="11"/>
        <v>5750205.6600000001</v>
      </c>
      <c r="FS27" s="43">
        <f t="shared" si="11"/>
        <v>7504861.04</v>
      </c>
      <c r="FT27" s="43">
        <f t="shared" si="11"/>
        <v>2050350.35</v>
      </c>
      <c r="FU27" s="43">
        <f t="shared" si="11"/>
        <v>19814822.059999999</v>
      </c>
      <c r="FV27" s="43">
        <f t="shared" si="11"/>
        <v>4077087.23</v>
      </c>
      <c r="FW27" s="43">
        <f t="shared" si="11"/>
        <v>5238012.9800000004</v>
      </c>
      <c r="FX27" s="43">
        <f t="shared" si="11"/>
        <v>7178340.0199999996</v>
      </c>
      <c r="FY27" s="43">
        <f t="shared" si="11"/>
        <v>1915655.34</v>
      </c>
      <c r="FZ27" s="43">
        <f t="shared" si="11"/>
        <v>842212.47000000009</v>
      </c>
      <c r="GA27" s="65">
        <f t="shared" si="11"/>
        <v>60692768.390000001</v>
      </c>
      <c r="GB27" s="43">
        <f t="shared" si="11"/>
        <v>19233886.460000001</v>
      </c>
      <c r="GC27" s="43">
        <f t="shared" si="11"/>
        <v>14667833.58</v>
      </c>
      <c r="GD27" s="43">
        <f t="shared" si="11"/>
        <v>1386107.3</v>
      </c>
      <c r="GE27" s="43">
        <f t="shared" si="11"/>
        <v>7876162.79</v>
      </c>
      <c r="GF27" s="43">
        <f t="shared" si="11"/>
        <v>1417251.25</v>
      </c>
      <c r="GG27" s="43">
        <f t="shared" si="11"/>
        <v>64372605.939999998</v>
      </c>
      <c r="GH27" s="43">
        <f t="shared" si="11"/>
        <v>13073876.75</v>
      </c>
      <c r="GI27" s="43">
        <f t="shared" si="11"/>
        <v>4417196.76</v>
      </c>
      <c r="GJ27" s="43">
        <f t="shared" si="11"/>
        <v>5583328.3100000005</v>
      </c>
      <c r="GK27" s="43">
        <f t="shared" si="11"/>
        <v>5065704.32</v>
      </c>
      <c r="GL27" s="43">
        <f t="shared" si="11"/>
        <v>7547098.0899999999</v>
      </c>
      <c r="GM27" s="43">
        <f t="shared" ref="GM27:JH27" si="12">SUM(GM8:GM26)</f>
        <v>1636824.42</v>
      </c>
      <c r="GN27" s="43">
        <f t="shared" si="12"/>
        <v>3382443.6799999997</v>
      </c>
      <c r="GO27" s="43">
        <f t="shared" si="12"/>
        <v>1785079.34</v>
      </c>
      <c r="GP27" s="43">
        <f t="shared" si="12"/>
        <v>39214824.520000003</v>
      </c>
      <c r="GQ27" s="43">
        <f t="shared" si="12"/>
        <v>11395094.460000001</v>
      </c>
      <c r="GR27" s="43">
        <f t="shared" si="12"/>
        <v>1957233.28</v>
      </c>
      <c r="GS27" s="43">
        <f t="shared" si="12"/>
        <v>6814869.9100000001</v>
      </c>
      <c r="GT27" s="43">
        <f t="shared" si="12"/>
        <v>4363562.26</v>
      </c>
      <c r="GU27" s="65">
        <f t="shared" si="12"/>
        <v>67620450.879999995</v>
      </c>
      <c r="GV27" s="43">
        <f t="shared" si="12"/>
        <v>25851827.800000001</v>
      </c>
      <c r="GW27" s="43">
        <f t="shared" si="12"/>
        <v>5570350.1699999999</v>
      </c>
      <c r="GX27" s="43">
        <f t="shared" si="12"/>
        <v>2614262.2800000003</v>
      </c>
      <c r="GY27" s="43">
        <f t="shared" si="12"/>
        <v>2252249.06</v>
      </c>
      <c r="GZ27" s="43">
        <f t="shared" si="12"/>
        <v>13561916.98</v>
      </c>
      <c r="HA27" s="43">
        <f t="shared" si="12"/>
        <v>4471927.5600000005</v>
      </c>
      <c r="HB27" s="43">
        <f t="shared" si="12"/>
        <v>1233817.3600000003</v>
      </c>
      <c r="HC27" s="43">
        <f t="shared" si="12"/>
        <v>14423891.83</v>
      </c>
      <c r="HD27" s="43">
        <f t="shared" si="12"/>
        <v>17307771.57</v>
      </c>
      <c r="HE27" s="43">
        <f t="shared" si="12"/>
        <v>1719652.98</v>
      </c>
      <c r="HF27" s="43">
        <f t="shared" si="12"/>
        <v>4653866.5599999996</v>
      </c>
      <c r="HG27" s="43">
        <f t="shared" si="12"/>
        <v>3536600.55</v>
      </c>
      <c r="HH27" s="43">
        <f t="shared" si="12"/>
        <v>1939270.52</v>
      </c>
      <c r="HI27" s="43">
        <f t="shared" si="12"/>
        <v>18967195.52</v>
      </c>
      <c r="HJ27" s="43">
        <f t="shared" si="12"/>
        <v>2484681.6299999994</v>
      </c>
      <c r="HK27" s="43">
        <f t="shared" si="12"/>
        <v>4696813.1500000004</v>
      </c>
      <c r="HL27" s="43">
        <f t="shared" si="12"/>
        <v>2939879.11</v>
      </c>
      <c r="HM27" s="43">
        <f t="shared" si="12"/>
        <v>3983348.01</v>
      </c>
      <c r="HN27" s="43">
        <f t="shared" si="12"/>
        <v>11507881.93</v>
      </c>
      <c r="HO27" s="43">
        <f t="shared" si="12"/>
        <v>58963424.32</v>
      </c>
      <c r="HP27" s="65">
        <f t="shared" si="12"/>
        <v>66161910.460000001</v>
      </c>
      <c r="HQ27" s="43">
        <f t="shared" si="12"/>
        <v>12729875.42</v>
      </c>
      <c r="HR27" s="43">
        <f t="shared" si="12"/>
        <v>5471062.870000001</v>
      </c>
      <c r="HS27" s="43">
        <f t="shared" si="12"/>
        <v>23625917.43</v>
      </c>
      <c r="HT27" s="43">
        <f t="shared" si="12"/>
        <v>12250355.299999999</v>
      </c>
      <c r="HU27" s="43">
        <f t="shared" si="12"/>
        <v>6029007.8399999999</v>
      </c>
      <c r="HV27" s="43">
        <f t="shared" si="12"/>
        <v>8855338.0800000001</v>
      </c>
      <c r="HW27" s="43">
        <f t="shared" si="12"/>
        <v>6273245.4800000004</v>
      </c>
      <c r="HX27" s="43">
        <f t="shared" si="12"/>
        <v>1135368</v>
      </c>
      <c r="HY27" s="43">
        <f t="shared" si="12"/>
        <v>200050</v>
      </c>
      <c r="HZ27" s="43">
        <f t="shared" si="12"/>
        <v>5444019.4800000004</v>
      </c>
      <c r="IA27" s="43">
        <f t="shared" si="12"/>
        <v>53499835.390000001</v>
      </c>
      <c r="IB27" s="43">
        <f t="shared" ref="IB27" si="13">SUM(IB8:IB26)</f>
        <v>12444604.9</v>
      </c>
      <c r="IC27" s="43">
        <f t="shared" si="12"/>
        <v>53276162.609999999</v>
      </c>
      <c r="ID27" s="43">
        <f t="shared" si="12"/>
        <v>20594337.699999999</v>
      </c>
      <c r="IE27" s="43">
        <f t="shared" si="12"/>
        <v>12802297.459999999</v>
      </c>
      <c r="IF27" s="43">
        <f t="shared" si="12"/>
        <v>16513758.039999999</v>
      </c>
      <c r="IG27" s="43">
        <f t="shared" si="12"/>
        <v>11433971.99</v>
      </c>
      <c r="IH27" s="43">
        <f t="shared" si="12"/>
        <v>5433329.96</v>
      </c>
      <c r="II27" s="43">
        <f t="shared" si="12"/>
        <v>12672083.260000002</v>
      </c>
      <c r="IJ27" s="43">
        <f t="shared" si="12"/>
        <v>10381782.09</v>
      </c>
      <c r="IK27" s="43">
        <f t="shared" si="12"/>
        <v>8905328.8399999999</v>
      </c>
      <c r="IL27" s="65">
        <f t="shared" si="12"/>
        <v>58411683.009999998</v>
      </c>
      <c r="IM27" s="43">
        <f t="shared" si="12"/>
        <v>22488075.09</v>
      </c>
      <c r="IN27" s="43">
        <f t="shared" si="12"/>
        <v>14173233.099999998</v>
      </c>
      <c r="IO27" s="43">
        <f t="shared" si="12"/>
        <v>16963053.240000002</v>
      </c>
      <c r="IP27" s="43">
        <f t="shared" si="12"/>
        <v>17297097.329999998</v>
      </c>
      <c r="IQ27" s="43">
        <f t="shared" si="12"/>
        <v>19721948.460000001</v>
      </c>
      <c r="IR27" s="43">
        <f t="shared" si="12"/>
        <v>19245658.490000002</v>
      </c>
      <c r="IS27" s="43">
        <f t="shared" si="12"/>
        <v>17022711.09</v>
      </c>
      <c r="IT27" s="43">
        <f t="shared" si="12"/>
        <v>19364851.449999999</v>
      </c>
      <c r="IU27" s="43">
        <f t="shared" si="12"/>
        <v>101147006.08</v>
      </c>
      <c r="IV27" s="43">
        <f t="shared" si="12"/>
        <v>40658427.820000008</v>
      </c>
      <c r="IW27" s="43">
        <f>SUM(IW8:IW26)</f>
        <v>3686106191.8800006</v>
      </c>
      <c r="IX27" s="761"/>
      <c r="IY27" s="761"/>
      <c r="IZ27" s="761"/>
      <c r="JA27" s="761"/>
      <c r="JB27" s="761"/>
      <c r="JC27" s="761"/>
      <c r="JD27" s="761"/>
      <c r="JE27" s="761"/>
      <c r="JF27" s="761"/>
      <c r="JH27" s="762">
        <f t="shared" si="12"/>
        <v>19596977.6505</v>
      </c>
      <c r="JI27" s="762">
        <f>SUM(JI8:JI26)</f>
        <v>1612866364.4454992</v>
      </c>
    </row>
    <row r="28" spans="1:269" ht="14.1" customHeight="1" thickTop="1">
      <c r="A28" s="14"/>
      <c r="B28" s="14"/>
      <c r="C28" s="213"/>
      <c r="M28" s="213"/>
      <c r="AG28" s="213"/>
      <c r="BD28" s="213"/>
      <c r="BY28" s="213"/>
      <c r="CT28" s="213"/>
      <c r="CZ28" s="8"/>
      <c r="DO28" s="213"/>
      <c r="DR28" s="8"/>
      <c r="EB28" s="8"/>
      <c r="EH28" s="124"/>
      <c r="EJ28" s="213"/>
      <c r="EK28" s="140"/>
      <c r="EQ28" s="8"/>
      <c r="FD28" s="8"/>
      <c r="FF28" s="213"/>
      <c r="FJ28" s="140"/>
      <c r="FL28" s="212"/>
      <c r="GA28" s="224"/>
      <c r="GU28" s="213"/>
      <c r="HL28" s="140"/>
      <c r="HM28" s="140"/>
      <c r="HN28" s="212"/>
      <c r="HP28" s="213"/>
      <c r="II28" s="212"/>
      <c r="IL28" s="213"/>
      <c r="IW28" s="4">
        <f>SUM(D27:IV27)-IW27</f>
        <v>0</v>
      </c>
      <c r="IX28" s="773" t="s">
        <v>177</v>
      </c>
      <c r="IY28" s="140"/>
      <c r="IZ28" s="140"/>
      <c r="JA28" s="140"/>
      <c r="JB28" s="140"/>
      <c r="JC28" s="140"/>
      <c r="JD28" s="140"/>
      <c r="JE28" s="140"/>
      <c r="JF28" s="140"/>
    </row>
    <row r="29" spans="1:269" ht="14.1" customHeight="1">
      <c r="A29" s="20" t="s">
        <v>9</v>
      </c>
      <c r="B29" s="20"/>
      <c r="C29" s="191"/>
      <c r="D29" s="3"/>
      <c r="E29" s="3"/>
      <c r="F29" s="3"/>
      <c r="G29" s="3"/>
      <c r="H29" s="3"/>
      <c r="I29" s="3"/>
      <c r="J29" s="3"/>
      <c r="K29" s="3"/>
      <c r="L29" s="3"/>
      <c r="M29" s="19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91"/>
      <c r="AH29" s="3"/>
      <c r="AI29" s="3"/>
      <c r="AJ29" s="3"/>
      <c r="AK29" s="3"/>
      <c r="AL29" s="3"/>
      <c r="AM29" s="3"/>
      <c r="AN29" s="3"/>
      <c r="AO29" s="576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191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191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191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191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191"/>
      <c r="EK29" s="7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191"/>
      <c r="FG29" s="3"/>
      <c r="FH29" s="3"/>
      <c r="FI29" s="3"/>
      <c r="FJ29" s="7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191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191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191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191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7"/>
      <c r="IY29" s="7"/>
      <c r="IZ29" s="7"/>
      <c r="JA29" s="7"/>
      <c r="JB29" s="7"/>
      <c r="JC29" s="7"/>
      <c r="JD29" s="7"/>
      <c r="JE29" s="7"/>
      <c r="JF29" s="7"/>
      <c r="JH29" s="3"/>
      <c r="JI29" s="3"/>
    </row>
    <row r="30" spans="1:269" ht="14.1" customHeight="1">
      <c r="A30" s="4" t="s">
        <v>13</v>
      </c>
      <c r="B30" s="12"/>
      <c r="C30" s="189">
        <v>0</v>
      </c>
      <c r="D30" s="4">
        <v>0</v>
      </c>
      <c r="E30" s="4">
        <v>0</v>
      </c>
      <c r="F30" s="4"/>
      <c r="G30" s="4"/>
      <c r="H30" s="4"/>
      <c r="I30" s="4"/>
      <c r="J30" s="4"/>
      <c r="K30" s="4">
        <v>264</v>
      </c>
      <c r="L30" s="4"/>
      <c r="M30" s="189"/>
      <c r="N30" s="4">
        <f>25825.48+152</f>
        <v>25977.48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189">
        <v>23907.41</v>
      </c>
      <c r="AH30" s="4"/>
      <c r="AI30" s="4"/>
      <c r="AJ30" s="4"/>
      <c r="AK30" s="4"/>
      <c r="AL30" s="4"/>
      <c r="AM30" s="4"/>
      <c r="AN30" s="4"/>
      <c r="AO30" s="577"/>
      <c r="AP30" s="4"/>
      <c r="AQ30" s="4"/>
      <c r="AR30" s="4"/>
      <c r="AS30" s="4"/>
      <c r="AT30" s="4"/>
      <c r="AU30" s="4"/>
      <c r="AV30" s="4">
        <f>-46479+50827.64</f>
        <v>4348.6399999999994</v>
      </c>
      <c r="AW30" s="4"/>
      <c r="AX30" s="4"/>
      <c r="AY30" s="4"/>
      <c r="AZ30" s="4"/>
      <c r="BA30" s="4"/>
      <c r="BB30" s="4"/>
      <c r="BC30" s="4"/>
      <c r="BD30" s="189">
        <v>21465.13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>
        <v>7775.96</v>
      </c>
      <c r="BW30" s="4">
        <f>-70472.48+62696.52</f>
        <v>-7775.9599999999991</v>
      </c>
      <c r="BX30" s="4"/>
      <c r="BY30" s="189"/>
      <c r="BZ30" s="4">
        <v>22735.14</v>
      </c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>
        <v>2103.7600000000002</v>
      </c>
      <c r="CQ30" s="4"/>
      <c r="CR30" s="4"/>
      <c r="CS30" s="4"/>
      <c r="CT30" s="189">
        <v>20292.099999999999</v>
      </c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189">
        <v>22723.62</v>
      </c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89"/>
      <c r="EK30" s="4">
        <v>19192.61</v>
      </c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>
        <v>18156</v>
      </c>
      <c r="EW30" s="4">
        <v>-18156</v>
      </c>
      <c r="EX30" s="4"/>
      <c r="EY30" s="4">
        <v>18156</v>
      </c>
      <c r="EZ30" s="4"/>
      <c r="FA30" s="4"/>
      <c r="FB30" s="4"/>
      <c r="FC30" s="4"/>
      <c r="FD30" s="4"/>
      <c r="FE30" s="4"/>
      <c r="FF30" s="189">
        <v>17943.37</v>
      </c>
      <c r="FG30" s="4"/>
      <c r="FH30" s="4"/>
      <c r="FI30" s="4"/>
      <c r="FJ30" s="4"/>
      <c r="FK30" s="4"/>
      <c r="FL30" s="4"/>
      <c r="FM30" s="4"/>
      <c r="FN30" s="4"/>
      <c r="FO30" s="4">
        <v>15065</v>
      </c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89">
        <v>21618.58</v>
      </c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189">
        <v>23891.59</v>
      </c>
      <c r="GV30" s="4">
        <v>15104</v>
      </c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189">
        <v>23055.15</v>
      </c>
      <c r="HQ30" s="4">
        <v>9761</v>
      </c>
      <c r="HR30" s="4"/>
      <c r="HS30" s="4"/>
      <c r="HT30" s="4"/>
      <c r="HU30" s="4"/>
      <c r="HV30" s="4">
        <f>-23055.15+21530.15</f>
        <v>-1525</v>
      </c>
      <c r="HW30" s="4"/>
      <c r="HX30" s="4"/>
      <c r="HY30" s="4"/>
      <c r="HZ30" s="4"/>
      <c r="IA30" s="4"/>
      <c r="IB30" s="4"/>
      <c r="IC30" s="4"/>
      <c r="ID30" s="4"/>
      <c r="IE30" s="4"/>
      <c r="IF30" s="4">
        <f>-198987.4+196353.85</f>
        <v>-2633.5499999999884</v>
      </c>
      <c r="IG30" s="4"/>
      <c r="IH30" s="4"/>
      <c r="II30" s="4"/>
      <c r="IJ30" s="4"/>
      <c r="IK30" s="4"/>
      <c r="IL30" s="189"/>
      <c r="IM30" s="4">
        <v>20487.57</v>
      </c>
      <c r="IN30" s="4"/>
      <c r="IO30" s="4"/>
      <c r="IP30" s="4"/>
      <c r="IQ30" s="4"/>
      <c r="IR30" s="4"/>
      <c r="IS30" s="4"/>
      <c r="IT30" s="4"/>
      <c r="IU30" s="4"/>
      <c r="IV30" s="4"/>
      <c r="IW30" s="4">
        <f>SUM(D30:IV30)</f>
        <v>323933.60000000009</v>
      </c>
      <c r="IX30" s="7"/>
      <c r="IY30" s="7"/>
      <c r="IZ30" s="7"/>
      <c r="JA30" s="7"/>
      <c r="JB30" s="7"/>
      <c r="JC30" s="7"/>
      <c r="JD30" s="7"/>
      <c r="JE30" s="7"/>
      <c r="JF30" s="7"/>
      <c r="JH30" s="4"/>
      <c r="JI30" s="4">
        <f t="shared" ref="JI30:JI42" si="14">SUM(C30:JH30)</f>
        <v>647867.20000000019</v>
      </c>
    </row>
    <row r="31" spans="1:269" ht="14.1" customHeight="1">
      <c r="A31" s="4" t="s">
        <v>85</v>
      </c>
      <c r="B31" s="12"/>
      <c r="C31" s="189">
        <v>0</v>
      </c>
      <c r="D31" s="4">
        <v>0</v>
      </c>
      <c r="E31" s="4">
        <v>0</v>
      </c>
      <c r="F31" s="4">
        <v>1639</v>
      </c>
      <c r="G31" s="4"/>
      <c r="H31" s="4">
        <v>134052.31</v>
      </c>
      <c r="I31" s="4"/>
      <c r="J31" s="4"/>
      <c r="K31" s="4"/>
      <c r="L31" s="4"/>
      <c r="M31" s="189"/>
      <c r="N31" s="4">
        <v>1524</v>
      </c>
      <c r="O31" s="4"/>
      <c r="P31" s="4"/>
      <c r="Q31" s="4"/>
      <c r="R31" s="4"/>
      <c r="S31" s="4"/>
      <c r="T31" s="4"/>
      <c r="U31" s="4"/>
      <c r="V31" s="4"/>
      <c r="W31" s="4"/>
      <c r="X31" s="4">
        <v>1474</v>
      </c>
      <c r="Y31" s="4"/>
      <c r="Z31" s="4">
        <v>136382.31</v>
      </c>
      <c r="AA31" s="4">
        <v>1573.69</v>
      </c>
      <c r="AB31" s="4"/>
      <c r="AC31" s="4"/>
      <c r="AD31" s="4"/>
      <c r="AE31" s="4">
        <v>1574</v>
      </c>
      <c r="AF31" s="4"/>
      <c r="AG31" s="189"/>
      <c r="AH31" s="4"/>
      <c r="AI31" s="4"/>
      <c r="AJ31" s="4"/>
      <c r="AK31" s="4"/>
      <c r="AL31" s="4"/>
      <c r="AM31" s="4"/>
      <c r="AN31" s="4"/>
      <c r="AO31" s="577"/>
      <c r="AP31" s="4">
        <v>1574</v>
      </c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>
        <v>134171.31</v>
      </c>
      <c r="BB31" s="4"/>
      <c r="BC31" s="4"/>
      <c r="BD31" s="189"/>
      <c r="BE31" s="4">
        <v>1574</v>
      </c>
      <c r="BF31" s="4"/>
      <c r="BG31" s="4"/>
      <c r="BH31" s="4"/>
      <c r="BI31" s="4">
        <v>1574</v>
      </c>
      <c r="BJ31" s="4"/>
      <c r="BK31" s="4"/>
      <c r="BL31" s="4"/>
      <c r="BM31" s="4"/>
      <c r="BN31" s="4"/>
      <c r="BO31" s="4"/>
      <c r="BP31" s="4"/>
      <c r="BQ31" s="4"/>
      <c r="BR31" s="4"/>
      <c r="BS31" s="58">
        <v>136369.31</v>
      </c>
      <c r="BT31" s="4"/>
      <c r="BU31" s="4"/>
      <c r="BV31" s="4"/>
      <c r="BW31" s="4"/>
      <c r="BX31" s="4"/>
      <c r="BY31" s="189"/>
      <c r="BZ31" s="4"/>
      <c r="CA31" s="4"/>
      <c r="CB31" s="4"/>
      <c r="CC31" s="4"/>
      <c r="CD31" s="4"/>
      <c r="CE31" s="4">
        <v>1558</v>
      </c>
      <c r="CF31" s="4"/>
      <c r="CG31" s="4"/>
      <c r="CH31" s="4"/>
      <c r="CI31" s="4"/>
      <c r="CJ31" s="4"/>
      <c r="CK31" s="4"/>
      <c r="CL31" s="58"/>
      <c r="CM31" s="4"/>
      <c r="CN31" s="4">
        <v>132743.5</v>
      </c>
      <c r="CO31" s="4"/>
      <c r="CP31" s="4">
        <v>1558</v>
      </c>
      <c r="CQ31" s="4"/>
      <c r="CR31" s="4"/>
      <c r="CS31" s="4"/>
      <c r="CT31" s="189"/>
      <c r="CU31" s="4"/>
      <c r="CV31" s="4"/>
      <c r="CW31" s="4"/>
      <c r="CX31" s="4">
        <v>1508</v>
      </c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673">
        <v>132861.75</v>
      </c>
      <c r="DP31" s="4"/>
      <c r="DQ31" s="4"/>
      <c r="DR31" s="4"/>
      <c r="DS31" s="4"/>
      <c r="DT31" s="4">
        <v>1273</v>
      </c>
      <c r="DU31" s="4"/>
      <c r="DV31" s="4"/>
      <c r="DW31" s="4"/>
      <c r="DX31" s="4"/>
      <c r="DY31" s="4"/>
      <c r="DZ31" s="4"/>
      <c r="EA31" s="4"/>
      <c r="EB31" s="4"/>
      <c r="EC31" s="4"/>
      <c r="ED31" s="4">
        <v>132921.49</v>
      </c>
      <c r="EE31" s="4"/>
      <c r="EF31" s="4"/>
      <c r="EG31" s="4"/>
      <c r="EH31" s="4"/>
      <c r="EI31" s="4"/>
      <c r="EJ31" s="189">
        <v>1248</v>
      </c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>
        <v>1338</v>
      </c>
      <c r="FB31" s="4">
        <v>132668.85999999999</v>
      </c>
      <c r="FC31" s="4"/>
      <c r="FD31" s="4"/>
      <c r="FE31" s="4"/>
      <c r="FF31" s="189">
        <v>1558</v>
      </c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>
        <v>1463</v>
      </c>
      <c r="FR31" s="4"/>
      <c r="FS31" s="4"/>
      <c r="FT31" s="4"/>
      <c r="FU31" s="4"/>
      <c r="FV31" s="58">
        <v>124953.82</v>
      </c>
      <c r="FW31" s="4"/>
      <c r="FX31" s="4"/>
      <c r="FY31" s="4">
        <v>1463</v>
      </c>
      <c r="FZ31" s="4"/>
      <c r="GA31" s="189"/>
      <c r="GB31" s="4"/>
      <c r="GC31" s="4"/>
      <c r="GD31" s="4"/>
      <c r="GE31" s="4"/>
      <c r="GF31" s="4"/>
      <c r="GG31" s="4"/>
      <c r="GH31" s="4"/>
      <c r="GI31" s="4"/>
      <c r="GJ31" s="4"/>
      <c r="GK31" s="4">
        <v>1453</v>
      </c>
      <c r="GL31" s="4"/>
      <c r="GM31" s="4"/>
      <c r="GN31" s="4"/>
      <c r="GO31" s="4"/>
      <c r="GP31" s="4"/>
      <c r="GQ31" s="4"/>
      <c r="GR31" s="4">
        <v>122997.24</v>
      </c>
      <c r="GS31" s="4"/>
      <c r="GT31" s="4"/>
      <c r="GU31" s="189"/>
      <c r="GV31" s="4"/>
      <c r="GW31" s="4"/>
      <c r="GX31" s="4"/>
      <c r="GY31" s="4"/>
      <c r="GZ31" s="4"/>
      <c r="HA31" s="4">
        <v>1508</v>
      </c>
      <c r="HB31" s="4"/>
      <c r="HC31" s="4"/>
      <c r="HD31" s="4"/>
      <c r="HE31" s="4"/>
      <c r="HF31" s="4"/>
      <c r="HG31" s="4"/>
      <c r="HH31" s="4">
        <v>1518</v>
      </c>
      <c r="HI31" s="4"/>
      <c r="HJ31" s="4"/>
      <c r="HK31" s="4">
        <v>118900.7</v>
      </c>
      <c r="HL31" s="4"/>
      <c r="HM31" s="4"/>
      <c r="HN31" s="4"/>
      <c r="HO31" s="4"/>
      <c r="HP31" s="189"/>
      <c r="HQ31" s="4"/>
      <c r="HR31" s="4">
        <v>1498</v>
      </c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>
        <v>119464.1</v>
      </c>
      <c r="IH31" s="4"/>
      <c r="II31" s="4"/>
      <c r="IJ31" s="4"/>
      <c r="IK31" s="4"/>
      <c r="IL31" s="189"/>
      <c r="IM31" s="4"/>
      <c r="IN31" s="4">
        <v>2946</v>
      </c>
      <c r="IO31" s="4"/>
      <c r="IP31" s="4"/>
      <c r="IQ31" s="4"/>
      <c r="IR31" s="4"/>
      <c r="IS31" s="4"/>
      <c r="IT31" s="4">
        <v>1498</v>
      </c>
      <c r="IU31" s="4"/>
      <c r="IV31" s="4"/>
      <c r="IW31" s="4">
        <f t="shared" ref="IW31:IW48" si="15">SUM(D31:IV31)</f>
        <v>1594381.39</v>
      </c>
      <c r="IX31" s="7"/>
      <c r="IY31" s="7"/>
      <c r="IZ31" s="7"/>
      <c r="JA31" s="7"/>
      <c r="JB31" s="7"/>
      <c r="JC31" s="7"/>
      <c r="JD31" s="7"/>
      <c r="JE31" s="7"/>
      <c r="JF31" s="7"/>
      <c r="JH31" s="4"/>
      <c r="JI31" s="4">
        <f t="shared" si="14"/>
        <v>3188762.78</v>
      </c>
    </row>
    <row r="32" spans="1:269" ht="14.1" customHeight="1">
      <c r="A32" s="4" t="s">
        <v>48</v>
      </c>
      <c r="B32" s="12"/>
      <c r="C32" s="189">
        <v>0</v>
      </c>
      <c r="D32" s="4">
        <v>0</v>
      </c>
      <c r="E32" s="4">
        <v>0</v>
      </c>
      <c r="F32" s="4"/>
      <c r="G32" s="4"/>
      <c r="H32" s="408">
        <v>15323829.359999999</v>
      </c>
      <c r="I32" s="4"/>
      <c r="J32" s="4"/>
      <c r="K32" s="4"/>
      <c r="L32" s="4"/>
      <c r="M32" s="189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08">
        <v>15440718.529999999</v>
      </c>
      <c r="AB32" s="4"/>
      <c r="AC32" s="4"/>
      <c r="AD32" s="4"/>
      <c r="AE32" s="4"/>
      <c r="AF32" s="4"/>
      <c r="AG32" s="189"/>
      <c r="AH32" s="4"/>
      <c r="AI32" s="4"/>
      <c r="AJ32" s="4"/>
      <c r="AK32" s="4"/>
      <c r="AL32" s="4"/>
      <c r="AM32" s="4"/>
      <c r="AN32" s="4"/>
      <c r="AO32" s="577"/>
      <c r="AP32" s="4"/>
      <c r="AQ32" s="4"/>
      <c r="AR32" s="4"/>
      <c r="AS32" s="4"/>
      <c r="AT32" s="4"/>
      <c r="AU32" s="4"/>
      <c r="AW32" s="408">
        <v>15285394.699999999</v>
      </c>
      <c r="AX32" s="4"/>
      <c r="AY32" s="4"/>
      <c r="AZ32" s="4"/>
      <c r="BA32" s="4"/>
      <c r="BB32" s="4"/>
      <c r="BC32" s="4"/>
      <c r="BD32" s="189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08"/>
      <c r="BS32" s="408">
        <v>15360020.41</v>
      </c>
      <c r="BT32" s="4"/>
      <c r="BU32" s="4"/>
      <c r="BV32" s="4"/>
      <c r="BW32" s="4"/>
      <c r="BX32" s="4"/>
      <c r="BY32" s="189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08">
        <v>15345221.48</v>
      </c>
      <c r="CN32" s="4"/>
      <c r="CO32" s="4"/>
      <c r="CP32" s="4"/>
      <c r="CQ32" s="4"/>
      <c r="CR32" s="4"/>
      <c r="CS32" s="4"/>
      <c r="CT32" s="189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08">
        <v>14986063.99</v>
      </c>
      <c r="DF32" s="4"/>
      <c r="DG32" s="4"/>
      <c r="DH32" s="4"/>
      <c r="DI32" s="4"/>
      <c r="DJ32" s="4"/>
      <c r="DK32" s="4"/>
      <c r="DL32" s="4"/>
      <c r="DM32" s="4"/>
      <c r="DN32" s="4"/>
      <c r="DO32" s="189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08">
        <v>15002639.119999999</v>
      </c>
      <c r="EF32" s="4"/>
      <c r="EG32" s="4"/>
      <c r="EH32" s="4"/>
      <c r="EI32" s="4"/>
      <c r="EJ32" s="189"/>
      <c r="EL32" s="4"/>
      <c r="EM32" s="408">
        <v>2500000</v>
      </c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08">
        <v>12895102.4</v>
      </c>
      <c r="EZ32" s="4"/>
      <c r="FA32" s="4"/>
      <c r="FB32" s="4"/>
      <c r="FC32" s="4"/>
      <c r="FD32" s="4"/>
      <c r="FE32" s="4"/>
      <c r="FF32" s="189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08">
        <v>16171534.699999999</v>
      </c>
      <c r="FV32" s="4"/>
      <c r="FW32" s="4"/>
      <c r="FX32" s="4"/>
      <c r="FY32" s="4"/>
      <c r="FZ32" s="4"/>
      <c r="GA32" s="189"/>
      <c r="GB32" s="4"/>
      <c r="GC32" s="4"/>
      <c r="GD32" s="4"/>
      <c r="GE32" s="4"/>
      <c r="GF32" s="4"/>
      <c r="GG32" s="414"/>
      <c r="GI32" s="385"/>
      <c r="GJ32" s="4"/>
      <c r="GK32" s="4"/>
      <c r="GL32" s="4"/>
      <c r="GM32" s="4"/>
      <c r="GN32" s="4"/>
      <c r="GO32" s="4"/>
      <c r="GP32" s="408">
        <v>15585293.859999999</v>
      </c>
      <c r="GQ32" s="4"/>
      <c r="GR32" s="4"/>
      <c r="GS32" s="4"/>
      <c r="GT32" s="4"/>
      <c r="GU32" s="189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08">
        <v>15575213.439999999</v>
      </c>
      <c r="HJ32" s="4"/>
      <c r="HK32" s="4"/>
      <c r="HL32" s="4"/>
      <c r="HM32" s="4"/>
      <c r="HN32" s="4"/>
      <c r="HO32" s="4"/>
      <c r="HP32" s="189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08">
        <v>16375170.1</v>
      </c>
      <c r="IG32" s="4"/>
      <c r="IH32" s="4"/>
      <c r="II32" s="4"/>
      <c r="IJ32" s="4"/>
      <c r="IK32" s="4"/>
      <c r="IL32" s="189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>
        <f t="shared" si="15"/>
        <v>185846202.09</v>
      </c>
      <c r="IX32" s="7"/>
      <c r="IY32" s="7"/>
      <c r="IZ32" s="7"/>
      <c r="JA32" s="7"/>
      <c r="JB32" s="7"/>
      <c r="JC32" s="7"/>
      <c r="JD32" s="7"/>
      <c r="JE32" s="7"/>
      <c r="JF32" s="7"/>
      <c r="JH32" s="4"/>
      <c r="JI32" s="4">
        <f t="shared" si="14"/>
        <v>371692404.18000001</v>
      </c>
    </row>
    <row r="33" spans="1:269" ht="14.1" customHeight="1" thickBot="1">
      <c r="A33" s="4" t="s">
        <v>27</v>
      </c>
      <c r="B33" s="12"/>
      <c r="C33" s="189">
        <v>0</v>
      </c>
      <c r="D33" s="4">
        <v>0</v>
      </c>
      <c r="E33" s="4">
        <v>0</v>
      </c>
      <c r="F33" s="4"/>
      <c r="G33" s="4"/>
      <c r="H33" s="407">
        <v>103893.95</v>
      </c>
      <c r="I33" s="4">
        <v>84.42</v>
      </c>
      <c r="J33" s="4"/>
      <c r="K33" s="4"/>
      <c r="L33" s="5"/>
      <c r="M33" s="535">
        <v>1497672.39</v>
      </c>
      <c r="N33" s="4">
        <v>200</v>
      </c>
      <c r="O33" s="4"/>
      <c r="P33" s="4"/>
      <c r="Q33" s="401">
        <v>103355.14</v>
      </c>
      <c r="R33" s="4"/>
      <c r="S33" s="4"/>
      <c r="T33" s="4">
        <v>118.23</v>
      </c>
      <c r="U33" s="4"/>
      <c r="V33" s="4"/>
      <c r="W33" s="4"/>
      <c r="X33" s="4"/>
      <c r="Y33" s="4"/>
      <c r="Z33" s="4"/>
      <c r="AA33" s="401">
        <v>103541.49</v>
      </c>
      <c r="AB33" s="4"/>
      <c r="AC33" s="4"/>
      <c r="AD33" s="4"/>
      <c r="AE33" s="4"/>
      <c r="AF33" s="4"/>
      <c r="AG33" s="402">
        <v>1497546.78</v>
      </c>
      <c r="AH33" s="4"/>
      <c r="AI33" s="4"/>
      <c r="AJ33" s="4"/>
      <c r="AK33" s="401">
        <v>102407.05</v>
      </c>
      <c r="AL33" s="4"/>
      <c r="AM33" s="4"/>
      <c r="AN33" s="4"/>
      <c r="AO33" s="577"/>
      <c r="AP33" s="4"/>
      <c r="AQ33" s="4"/>
      <c r="AR33" s="4"/>
      <c r="AS33" s="4">
        <v>950</v>
      </c>
      <c r="AT33" s="4"/>
      <c r="AU33" s="401">
        <v>101616.25</v>
      </c>
      <c r="AV33" s="4"/>
      <c r="AW33" s="4">
        <v>100</v>
      </c>
      <c r="AX33" s="4"/>
      <c r="AY33" s="4"/>
      <c r="AZ33" s="4">
        <v>207.27</v>
      </c>
      <c r="BA33" s="4"/>
      <c r="BB33" s="4"/>
      <c r="BC33" s="4"/>
      <c r="BD33" s="238">
        <v>1495847.54</v>
      </c>
      <c r="BE33" s="627">
        <v>102613.1</v>
      </c>
      <c r="BF33" s="4"/>
      <c r="BG33" s="4">
        <v>700</v>
      </c>
      <c r="BH33" s="4"/>
      <c r="BI33" s="4"/>
      <c r="BJ33" s="4"/>
      <c r="BK33" s="4"/>
      <c r="BL33" s="4"/>
      <c r="BM33" s="4"/>
      <c r="BN33" s="4"/>
      <c r="BO33" s="401">
        <v>200</v>
      </c>
      <c r="BP33" s="4"/>
      <c r="BQ33" s="4"/>
      <c r="BR33" s="4"/>
      <c r="BS33" s="4"/>
      <c r="BT33" s="4"/>
      <c r="BU33" s="4">
        <v>100</v>
      </c>
      <c r="BV33" s="4"/>
      <c r="BW33" s="4"/>
      <c r="BX33" s="401"/>
      <c r="BY33" s="238">
        <v>1594624.97</v>
      </c>
      <c r="BZ33" s="58"/>
      <c r="CA33" s="4"/>
      <c r="CB33" s="4">
        <v>1278.54</v>
      </c>
      <c r="CC33" s="4"/>
      <c r="CD33" s="4"/>
      <c r="CE33" s="4">
        <v>50</v>
      </c>
      <c r="CF33" s="4"/>
      <c r="CG33" s="4"/>
      <c r="CH33" s="4"/>
      <c r="CI33" s="401">
        <v>101752.74</v>
      </c>
      <c r="CJ33" s="4"/>
      <c r="CK33" s="4"/>
      <c r="CL33" s="4"/>
      <c r="CM33" s="4"/>
      <c r="CN33" s="4"/>
      <c r="CO33" s="4"/>
      <c r="CP33" s="4"/>
      <c r="CQ33" s="4"/>
      <c r="CR33" s="401">
        <v>101170.78</v>
      </c>
      <c r="CT33" s="238">
        <v>1491003.06</v>
      </c>
      <c r="CU33" s="4">
        <v>738.02</v>
      </c>
      <c r="CV33" s="4">
        <v>368.42</v>
      </c>
      <c r="CW33" s="4"/>
      <c r="CX33" s="4"/>
      <c r="CY33" s="4"/>
      <c r="CZ33" s="4"/>
      <c r="DA33" s="4"/>
      <c r="DB33" s="401">
        <v>86916.72</v>
      </c>
      <c r="DC33" s="4"/>
      <c r="DD33" s="4"/>
      <c r="DE33" s="4"/>
      <c r="DF33" s="4"/>
      <c r="DG33" s="4"/>
      <c r="DH33" s="4"/>
      <c r="DI33" s="4"/>
      <c r="DJ33" s="4"/>
      <c r="DK33" s="401">
        <v>84097.67</v>
      </c>
      <c r="DL33" s="4"/>
      <c r="DM33" s="4"/>
      <c r="DO33" s="238">
        <v>1492667.17</v>
      </c>
      <c r="DP33" s="4"/>
      <c r="DQ33" s="4"/>
      <c r="DR33" s="4"/>
      <c r="DS33" s="4"/>
      <c r="DT33" s="4"/>
      <c r="DU33" s="401">
        <v>85425.4</v>
      </c>
      <c r="DV33" s="4"/>
      <c r="DW33" s="4">
        <v>1251.49</v>
      </c>
      <c r="DX33" s="4"/>
      <c r="DY33" s="4"/>
      <c r="DZ33" s="4"/>
      <c r="EA33" s="4"/>
      <c r="EB33" s="4"/>
      <c r="EC33" s="4"/>
      <c r="ED33" s="4"/>
      <c r="EE33" s="401">
        <v>85492.08</v>
      </c>
      <c r="EF33" s="4"/>
      <c r="EG33" s="4"/>
      <c r="EH33" s="4"/>
      <c r="EI33" s="4"/>
      <c r="EJ33" s="238">
        <f>1494675.5+842.37</f>
        <v>1495517.87</v>
      </c>
      <c r="EK33" s="4"/>
      <c r="EL33" s="4"/>
      <c r="EM33" s="4"/>
      <c r="EN33" s="4"/>
      <c r="EO33" s="401">
        <v>88426.98</v>
      </c>
      <c r="EP33" s="4"/>
      <c r="EQ33" s="4"/>
      <c r="ER33" s="4"/>
      <c r="ES33" s="4"/>
      <c r="ET33" s="4"/>
      <c r="EU33" s="4"/>
      <c r="EV33" s="4"/>
      <c r="EW33" s="4"/>
      <c r="EX33" s="4"/>
      <c r="EY33" s="401">
        <v>99922.4</v>
      </c>
      <c r="EZ33" s="4"/>
      <c r="FA33" s="4"/>
      <c r="FB33" s="4"/>
      <c r="FC33" s="4"/>
      <c r="FD33" s="4"/>
      <c r="FF33" s="238">
        <v>1427919.76</v>
      </c>
      <c r="FG33" s="4"/>
      <c r="FH33" s="401">
        <v>100110.04</v>
      </c>
      <c r="FI33" s="4"/>
      <c r="FJ33" s="4"/>
      <c r="FK33" s="4"/>
      <c r="FL33" s="4">
        <v>5136.45</v>
      </c>
      <c r="FM33" s="4"/>
      <c r="FN33" s="4"/>
      <c r="FO33" s="4">
        <v>500</v>
      </c>
      <c r="FP33" s="4"/>
      <c r="FQ33" s="4"/>
      <c r="FR33" s="401">
        <v>99839.31</v>
      </c>
      <c r="FS33" s="4"/>
      <c r="FT33" s="4"/>
      <c r="FU33" s="4"/>
      <c r="FV33" s="4"/>
      <c r="FW33" s="4"/>
      <c r="FX33" s="4"/>
      <c r="FY33" s="4"/>
      <c r="FZ33" s="4"/>
      <c r="GA33" s="238">
        <v>1532591.7</v>
      </c>
      <c r="GB33" s="4"/>
      <c r="GC33" s="4"/>
      <c r="GD33" s="4"/>
      <c r="GE33" s="4"/>
      <c r="GF33" s="4">
        <v>1025</v>
      </c>
      <c r="GG33" s="4"/>
      <c r="GH33" s="4"/>
      <c r="GI33" s="4"/>
      <c r="GJ33" s="4"/>
      <c r="GK33" s="401"/>
      <c r="GL33" s="4"/>
      <c r="GM33" s="4"/>
      <c r="GN33" s="4"/>
      <c r="GO33" s="4"/>
      <c r="GP33" s="4"/>
      <c r="GQ33" s="4"/>
      <c r="GR33" s="4"/>
      <c r="GS33" s="4"/>
      <c r="GT33" s="4">
        <v>99810.12</v>
      </c>
      <c r="GU33" s="238">
        <v>1446451.14</v>
      </c>
      <c r="GV33" s="4"/>
      <c r="GW33" s="4"/>
      <c r="GX33" s="4"/>
      <c r="GY33" s="4"/>
      <c r="GZ33" s="4">
        <v>1178.9000000000001</v>
      </c>
      <c r="HA33" s="4"/>
      <c r="HB33" s="4">
        <v>98505.13</v>
      </c>
      <c r="HC33" s="401"/>
      <c r="HD33" s="4"/>
      <c r="HE33" s="4"/>
      <c r="HF33" s="4"/>
      <c r="HG33" s="4"/>
      <c r="HH33" s="4"/>
      <c r="HI33" s="4"/>
      <c r="HJ33" s="4"/>
      <c r="HK33" s="4"/>
      <c r="HL33" s="4"/>
      <c r="HM33" s="401">
        <v>97443.87</v>
      </c>
      <c r="HO33" s="4"/>
      <c r="HP33" s="238">
        <v>1443003.98</v>
      </c>
      <c r="HQ33" s="4"/>
      <c r="HR33" s="4">
        <v>1400.92</v>
      </c>
      <c r="HS33" s="4"/>
      <c r="HT33" s="4"/>
      <c r="HU33" s="4"/>
      <c r="HV33" s="401">
        <v>99115.79</v>
      </c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01">
        <v>83724.289999999994</v>
      </c>
      <c r="II33" s="4"/>
      <c r="IJ33" s="4"/>
      <c r="IK33" s="4"/>
      <c r="IL33" s="238">
        <v>1451836.04</v>
      </c>
      <c r="IN33" s="4"/>
      <c r="IO33" s="4"/>
      <c r="IP33" s="401">
        <v>98674.01</v>
      </c>
      <c r="IQ33" s="4"/>
      <c r="IR33" s="4"/>
      <c r="IS33" s="4"/>
      <c r="IT33" s="4"/>
      <c r="IU33" s="4">
        <v>387.63</v>
      </c>
      <c r="IV33" s="4"/>
      <c r="IW33" s="4">
        <f t="shared" si="15"/>
        <v>20010512</v>
      </c>
      <c r="IX33" s="7"/>
      <c r="IY33" s="7"/>
      <c r="IZ33" s="7"/>
      <c r="JA33" s="7"/>
      <c r="JB33" s="7"/>
      <c r="JC33" s="7"/>
      <c r="JD33" s="7"/>
      <c r="JE33" s="7"/>
      <c r="JF33" s="7"/>
      <c r="JH33" s="4"/>
      <c r="JI33" s="4">
        <f t="shared" si="14"/>
        <v>40021024</v>
      </c>
    </row>
    <row r="34" spans="1:269" ht="14.1" customHeight="1" thickBot="1">
      <c r="A34" s="204" t="s">
        <v>78</v>
      </c>
      <c r="B34" s="211"/>
      <c r="C34" s="216">
        <v>0</v>
      </c>
      <c r="D34" s="204">
        <v>0</v>
      </c>
      <c r="E34" s="204">
        <v>0</v>
      </c>
      <c r="F34" s="204"/>
      <c r="G34" s="204"/>
      <c r="H34" s="204"/>
      <c r="I34" s="204"/>
      <c r="J34" s="204"/>
      <c r="K34" s="408"/>
      <c r="L34" s="493"/>
      <c r="M34" s="409">
        <f>3414850+85272705.36+5600</f>
        <v>88693155.359999999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16"/>
      <c r="AH34" s="204"/>
      <c r="AI34" s="204"/>
      <c r="AJ34" s="204"/>
      <c r="AK34" s="204"/>
      <c r="AL34" s="204"/>
      <c r="AM34" s="204"/>
      <c r="AN34" s="204"/>
      <c r="AO34" s="578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16">
        <v>0</v>
      </c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>
        <v>344321</v>
      </c>
      <c r="BP34" s="204"/>
      <c r="BQ34" s="204"/>
      <c r="BR34" s="204"/>
      <c r="BS34" s="204"/>
      <c r="BT34" s="204"/>
      <c r="BU34" s="204"/>
      <c r="BV34" s="204"/>
      <c r="BW34" s="204"/>
      <c r="BX34" s="204"/>
      <c r="BY34" s="216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16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>
        <v>765501.67</v>
      </c>
      <c r="DG34" s="204"/>
      <c r="DH34" s="204"/>
      <c r="DI34" s="204"/>
      <c r="DJ34" s="204"/>
      <c r="DK34" s="204"/>
      <c r="DL34" s="204"/>
      <c r="DM34" s="204"/>
      <c r="DN34" s="204"/>
      <c r="DO34" s="216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>
        <v>670145.71</v>
      </c>
      <c r="EA34" s="204"/>
      <c r="EB34" s="204"/>
      <c r="EC34" s="204"/>
      <c r="ED34" s="204"/>
      <c r="EE34" s="204"/>
      <c r="EF34" s="204"/>
      <c r="EG34" s="204"/>
      <c r="EH34" s="204"/>
      <c r="EI34" s="204"/>
      <c r="EJ34" s="216">
        <f>349750+5600</f>
        <v>355350</v>
      </c>
      <c r="EK34" s="204"/>
      <c r="EL34" s="204"/>
      <c r="EM34" s="204">
        <v>9708.33</v>
      </c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16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16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16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9"/>
      <c r="HO34" s="204"/>
      <c r="HP34" s="216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408"/>
      <c r="IF34" s="204"/>
      <c r="IG34" s="204"/>
      <c r="IH34" s="209"/>
      <c r="II34" s="204"/>
      <c r="IJ34" s="204"/>
      <c r="IK34" s="204"/>
      <c r="IL34" s="216"/>
      <c r="IM34" s="209"/>
      <c r="IN34" s="204"/>
      <c r="IO34" s="204"/>
      <c r="IP34" s="204"/>
      <c r="IQ34" s="204"/>
      <c r="IR34" s="204"/>
      <c r="IS34" s="204"/>
      <c r="IT34" s="204"/>
      <c r="IU34" s="204"/>
      <c r="IV34" s="204"/>
      <c r="IW34" s="4">
        <f t="shared" si="15"/>
        <v>90838182.069999993</v>
      </c>
      <c r="IX34" s="7"/>
      <c r="IY34" s="7"/>
      <c r="IZ34" s="7"/>
      <c r="JA34" s="7"/>
      <c r="JB34" s="7"/>
      <c r="JC34" s="7"/>
      <c r="JD34" s="7"/>
      <c r="JE34" s="7"/>
      <c r="JF34" s="7"/>
      <c r="JH34" s="4"/>
      <c r="JI34" s="4">
        <f t="shared" si="14"/>
        <v>181676364.13999999</v>
      </c>
    </row>
    <row r="35" spans="1:269" ht="14.1" customHeight="1">
      <c r="A35" s="4" t="s">
        <v>84</v>
      </c>
      <c r="B35" s="12"/>
      <c r="C35" s="189">
        <v>0</v>
      </c>
      <c r="D35" s="4">
        <v>0</v>
      </c>
      <c r="E35" s="4">
        <v>0</v>
      </c>
      <c r="F35" s="4"/>
      <c r="G35" s="4"/>
      <c r="H35" s="4"/>
      <c r="I35" s="4"/>
      <c r="J35" s="4"/>
      <c r="K35" s="4"/>
      <c r="L35" s="3">
        <v>6901.3</v>
      </c>
      <c r="M35" s="191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>
        <v>857.56</v>
      </c>
      <c r="AC35" s="4"/>
      <c r="AD35" s="4"/>
      <c r="AE35" s="4"/>
      <c r="AF35" s="4"/>
      <c r="AG35" s="189"/>
      <c r="AH35" s="4"/>
      <c r="AI35" s="4"/>
      <c r="AJ35" s="4"/>
      <c r="AK35" s="4"/>
      <c r="AL35" s="4"/>
      <c r="AM35" s="4"/>
      <c r="AN35" s="4">
        <v>1500</v>
      </c>
      <c r="AO35" s="577"/>
      <c r="AP35" s="4"/>
      <c r="AQ35" s="4"/>
      <c r="AR35" s="4"/>
      <c r="AS35" s="4"/>
      <c r="AT35" s="4"/>
      <c r="AU35" s="4">
        <v>-36214</v>
      </c>
      <c r="AV35" s="4"/>
      <c r="AW35" s="4"/>
      <c r="AX35" s="4"/>
      <c r="AY35" s="4"/>
      <c r="AZ35" s="4"/>
      <c r="BA35" s="4"/>
      <c r="BB35" s="4"/>
      <c r="BC35" s="4">
        <v>7586.67</v>
      </c>
      <c r="BD35" s="189">
        <v>0</v>
      </c>
      <c r="BE35" s="4"/>
      <c r="BF35" s="4"/>
      <c r="BG35" s="4"/>
      <c r="BH35" s="4"/>
      <c r="BI35" s="4">
        <v>2184.9699999999998</v>
      </c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>
        <v>1735.89</v>
      </c>
      <c r="BY35" s="189"/>
      <c r="BZ35" s="4"/>
      <c r="CA35" s="4"/>
      <c r="CB35" s="4">
        <v>263.2</v>
      </c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189">
        <v>7670.58</v>
      </c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189">
        <v>7579.04</v>
      </c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>
        <v>6966.04</v>
      </c>
      <c r="EJ35" s="189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89">
        <v>11915.7</v>
      </c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>
        <v>19954.189999999999</v>
      </c>
      <c r="FW35" s="4"/>
      <c r="FX35" s="4">
        <v>18966.310000000001</v>
      </c>
      <c r="FY35" s="4"/>
      <c r="FZ35" s="4"/>
      <c r="GA35" s="189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>
        <v>19996.38</v>
      </c>
      <c r="GO35" s="4">
        <v>30000</v>
      </c>
      <c r="GP35" s="4"/>
      <c r="GQ35" s="4"/>
      <c r="GR35" s="4"/>
      <c r="GS35" s="4"/>
      <c r="GT35" s="4"/>
      <c r="GU35" s="189"/>
      <c r="GV35" s="4"/>
      <c r="GW35" s="4"/>
      <c r="GX35" s="4"/>
      <c r="GY35" s="4"/>
      <c r="GZ35" s="4"/>
      <c r="HA35" s="4">
        <v>10000</v>
      </c>
      <c r="HB35" s="4"/>
      <c r="HC35" s="4"/>
      <c r="HD35" s="4"/>
      <c r="HE35" s="4">
        <v>24793.33</v>
      </c>
      <c r="HF35" s="4"/>
      <c r="HG35" s="4">
        <v>19703.02</v>
      </c>
      <c r="HH35" s="4">
        <v>1786.58</v>
      </c>
      <c r="HI35" s="4"/>
      <c r="HJ35" s="4"/>
      <c r="HK35" s="4"/>
      <c r="HL35" s="4"/>
      <c r="HM35" s="4"/>
      <c r="HO35" s="4"/>
      <c r="HP35" s="189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>
        <v>1725.48</v>
      </c>
      <c r="II35" s="4"/>
      <c r="IJ35" s="4"/>
      <c r="IK35" s="4">
        <v>1750</v>
      </c>
      <c r="IL35" s="189"/>
      <c r="IN35" s="4"/>
      <c r="IO35" s="4"/>
      <c r="IP35" s="4"/>
      <c r="IQ35" s="4"/>
      <c r="IR35" s="4"/>
      <c r="IS35" s="4"/>
      <c r="IT35" s="4"/>
      <c r="IU35" s="4"/>
      <c r="IV35" s="4"/>
      <c r="IW35" s="4">
        <f t="shared" si="15"/>
        <v>167622.24</v>
      </c>
      <c r="IX35" s="7"/>
      <c r="IY35" s="7"/>
      <c r="IZ35" s="7"/>
      <c r="JA35" s="7"/>
      <c r="JB35" s="7"/>
      <c r="JC35" s="7"/>
      <c r="JD35" s="7"/>
      <c r="JE35" s="7"/>
      <c r="JF35" s="7"/>
      <c r="JH35" s="4"/>
      <c r="JI35" s="4">
        <f t="shared" si="14"/>
        <v>335244.48</v>
      </c>
    </row>
    <row r="36" spans="1:269" ht="14.1" customHeight="1">
      <c r="A36" s="4" t="s">
        <v>10</v>
      </c>
      <c r="B36" s="12"/>
      <c r="C36" s="189">
        <v>5000</v>
      </c>
      <c r="D36" s="4">
        <v>0</v>
      </c>
      <c r="E36" s="4">
        <v>0</v>
      </c>
      <c r="F36" s="4"/>
      <c r="G36" s="4"/>
      <c r="H36" s="407">
        <v>304565.96000000002</v>
      </c>
      <c r="I36" s="4"/>
      <c r="J36" s="4">
        <v>5676.64</v>
      </c>
      <c r="K36" s="4"/>
      <c r="L36" s="4"/>
      <c r="M36" s="415">
        <f>9625854.45+3838.32</f>
        <v>9629692.7699999996</v>
      </c>
      <c r="N36" s="4"/>
      <c r="O36" s="4">
        <v>3287.72</v>
      </c>
      <c r="P36" s="4"/>
      <c r="Q36" s="492">
        <v>358231.77</v>
      </c>
      <c r="R36" s="4"/>
      <c r="S36" s="4"/>
      <c r="T36" s="4">
        <v>15732.91</v>
      </c>
      <c r="U36" s="4"/>
      <c r="V36" s="4">
        <v>1178102.29</v>
      </c>
      <c r="W36" s="4"/>
      <c r="X36" s="4"/>
      <c r="Y36" s="4">
        <v>455.38</v>
      </c>
      <c r="Z36" s="4"/>
      <c r="AA36" s="492">
        <v>326529.15999999997</v>
      </c>
      <c r="AB36" s="4"/>
      <c r="AC36" s="4">
        <v>19941.71</v>
      </c>
      <c r="AD36" s="4"/>
      <c r="AE36" s="4"/>
      <c r="AF36" s="401">
        <v>8953593.4499999993</v>
      </c>
      <c r="AG36" s="189"/>
      <c r="AH36" s="4"/>
      <c r="AI36" s="4"/>
      <c r="AJ36" s="4"/>
      <c r="AK36" s="492">
        <v>356500.16</v>
      </c>
      <c r="AL36" s="4"/>
      <c r="AM36" s="4">
        <v>9122.56</v>
      </c>
      <c r="AN36" s="4"/>
      <c r="AO36" s="577">
        <v>8253.77</v>
      </c>
      <c r="AP36" s="4"/>
      <c r="AQ36" s="4"/>
      <c r="AR36" s="4"/>
      <c r="AS36" s="4">
        <v>16615.189999999999</v>
      </c>
      <c r="AT36" s="4"/>
      <c r="AU36" s="492">
        <v>251974.01</v>
      </c>
      <c r="AV36" s="4"/>
      <c r="AW36" s="4">
        <v>1415.77</v>
      </c>
      <c r="AX36" s="4"/>
      <c r="AY36" s="4"/>
      <c r="AZ36" s="4">
        <v>856.35</v>
      </c>
      <c r="BA36" s="4"/>
      <c r="BB36" s="4"/>
      <c r="BC36" s="401">
        <v>253.67</v>
      </c>
      <c r="BD36" s="238">
        <v>8947734.3200000003</v>
      </c>
      <c r="BE36" s="626">
        <v>356163.65</v>
      </c>
      <c r="BF36" s="4"/>
      <c r="BH36" s="4">
        <v>16713.59</v>
      </c>
      <c r="BI36" s="4"/>
      <c r="BJ36" s="4"/>
      <c r="BK36" s="4">
        <v>3728.53</v>
      </c>
      <c r="BL36" s="4"/>
      <c r="BM36" s="4"/>
      <c r="BN36" s="4"/>
      <c r="BO36" s="492">
        <v>11268.44</v>
      </c>
      <c r="BP36" s="4">
        <v>391458.3</v>
      </c>
      <c r="BR36" s="4">
        <v>1593.88</v>
      </c>
      <c r="BS36" s="4"/>
      <c r="BT36" s="4"/>
      <c r="BU36" s="4">
        <v>423.36</v>
      </c>
      <c r="BV36" s="4"/>
      <c r="BW36" s="4"/>
      <c r="BX36" s="492"/>
      <c r="BY36" s="238">
        <v>9858867.2400000002</v>
      </c>
      <c r="BZ36" s="58"/>
      <c r="CA36" s="4"/>
      <c r="CB36" s="4">
        <v>44872.03</v>
      </c>
      <c r="CC36" s="4"/>
      <c r="CD36" s="4"/>
      <c r="CE36" s="4">
        <v>5104.09</v>
      </c>
      <c r="CF36" s="4"/>
      <c r="CG36" s="4">
        <v>4364.78</v>
      </c>
      <c r="CI36" s="492">
        <v>6477.49</v>
      </c>
      <c r="CJ36" s="4">
        <v>363441.89</v>
      </c>
      <c r="CK36" s="4">
        <v>3570.63</v>
      </c>
      <c r="CL36" s="4"/>
      <c r="CM36" s="4"/>
      <c r="CN36" s="4"/>
      <c r="CO36" s="4"/>
      <c r="CP36" s="4"/>
      <c r="CQ36" s="4"/>
      <c r="CR36" s="492"/>
      <c r="CS36" s="4">
        <v>296225.71999999997</v>
      </c>
      <c r="CT36" s="238"/>
      <c r="CU36" s="4">
        <v>8814581.5099999998</v>
      </c>
      <c r="CV36" s="4"/>
      <c r="CW36" s="4"/>
      <c r="CX36" s="4">
        <v>19836.02</v>
      </c>
      <c r="CY36" s="4"/>
      <c r="CZ36" s="4">
        <v>1841.25</v>
      </c>
      <c r="DA36" s="4"/>
      <c r="DB36" s="492">
        <v>49196.76</v>
      </c>
      <c r="DC36" s="4">
        <v>228511.3</v>
      </c>
      <c r="DD36" s="401"/>
      <c r="DE36" s="4">
        <v>7348.2</v>
      </c>
      <c r="DF36" s="4"/>
      <c r="DG36" s="4"/>
      <c r="DH36" s="4"/>
      <c r="DI36" s="4"/>
      <c r="DJ36" s="4"/>
      <c r="DK36" s="492"/>
      <c r="DL36" s="4">
        <v>210955.87</v>
      </c>
      <c r="DM36" s="4"/>
      <c r="DN36" s="672">
        <v>5259.93</v>
      </c>
      <c r="DO36" s="238"/>
      <c r="DP36" s="4">
        <v>9304857.4600000009</v>
      </c>
      <c r="DQ36" s="4">
        <v>20369.91</v>
      </c>
      <c r="DR36" s="4"/>
      <c r="DS36" s="4">
        <v>16670.72</v>
      </c>
      <c r="DT36" s="4"/>
      <c r="DU36" s="492">
        <v>71277.8</v>
      </c>
      <c r="DV36" s="4">
        <v>214391.82</v>
      </c>
      <c r="DW36" s="4"/>
      <c r="DX36" s="4">
        <v>9372.5300000000007</v>
      </c>
      <c r="DY36" s="4"/>
      <c r="DZ36" s="4"/>
      <c r="EA36" s="4">
        <v>33432.11</v>
      </c>
      <c r="EB36" s="4"/>
      <c r="EC36" s="4">
        <v>7037.56</v>
      </c>
      <c r="ED36" s="4"/>
      <c r="EE36" s="492"/>
      <c r="EF36" s="4">
        <v>226738.42</v>
      </c>
      <c r="EG36" s="4"/>
      <c r="EH36" s="4">
        <v>3927.36</v>
      </c>
      <c r="EI36" s="4"/>
      <c r="EJ36" s="681"/>
      <c r="EK36" s="682">
        <v>9265998.1199999992</v>
      </c>
      <c r="EL36" s="530"/>
      <c r="EM36" s="4">
        <v>30643.19</v>
      </c>
      <c r="EN36" s="4"/>
      <c r="EO36" s="492"/>
      <c r="EP36" s="4">
        <v>245439.04</v>
      </c>
      <c r="EQ36" s="4"/>
      <c r="ER36" s="4"/>
      <c r="ES36" s="4">
        <v>143579.94</v>
      </c>
      <c r="ET36" s="4">
        <v>36799.15</v>
      </c>
      <c r="EU36" s="4"/>
      <c r="EV36" s="4"/>
      <c r="EW36" s="4">
        <v>19612.93</v>
      </c>
      <c r="EX36" s="4"/>
      <c r="EY36" s="4"/>
      <c r="EZ36" s="492">
        <v>353171.08</v>
      </c>
      <c r="FA36" s="4"/>
      <c r="FB36" s="4">
        <v>3449.6</v>
      </c>
      <c r="FC36" s="4"/>
      <c r="FD36" s="4">
        <v>3433.69</v>
      </c>
      <c r="FE36" s="4"/>
      <c r="FF36" s="189">
        <v>4673.37</v>
      </c>
      <c r="FG36" s="238">
        <v>9426477.7799999993</v>
      </c>
      <c r="FH36" s="4">
        <v>46839.07</v>
      </c>
      <c r="FI36" s="492">
        <v>300580.31</v>
      </c>
      <c r="FJ36" s="4"/>
      <c r="FK36" s="4">
        <v>27577.03</v>
      </c>
      <c r="FL36" s="4"/>
      <c r="FM36" s="4"/>
      <c r="FN36" s="4">
        <v>53981.01</v>
      </c>
      <c r="FO36" s="4"/>
      <c r="FP36" s="4">
        <v>5068.75</v>
      </c>
      <c r="FQ36" s="4"/>
      <c r="FR36" s="4">
        <v>15654.99</v>
      </c>
      <c r="FS36" s="492">
        <v>334684.59999999998</v>
      </c>
      <c r="FT36" s="4"/>
      <c r="FU36" s="4">
        <v>4650.3</v>
      </c>
      <c r="FV36" s="4"/>
      <c r="FW36" s="4"/>
      <c r="FX36" s="4">
        <v>1892.37</v>
      </c>
      <c r="FY36" s="4"/>
      <c r="FZ36" s="4">
        <v>13920.39</v>
      </c>
      <c r="GA36" s="189"/>
      <c r="GB36" s="682">
        <v>8996539.7200000007</v>
      </c>
      <c r="GC36" s="4">
        <v>826.86</v>
      </c>
      <c r="GD36" s="4">
        <v>21414.45</v>
      </c>
      <c r="GE36" s="4"/>
      <c r="GF36" s="4"/>
      <c r="GG36" s="4">
        <v>2699.43</v>
      </c>
      <c r="GH36" s="4"/>
      <c r="GI36" s="4"/>
      <c r="GJ36" s="4"/>
      <c r="GK36" s="4"/>
      <c r="GL36" s="492">
        <v>379293.67</v>
      </c>
      <c r="GM36" s="4"/>
      <c r="GN36" s="4"/>
      <c r="GO36" s="4"/>
      <c r="GP36" s="4"/>
      <c r="GQ36" s="4">
        <v>5740.81</v>
      </c>
      <c r="GR36" s="4"/>
      <c r="GS36" s="4"/>
      <c r="GT36" s="4"/>
      <c r="GU36" s="238">
        <v>345260.02</v>
      </c>
      <c r="GV36" s="4">
        <v>9073694.7899999991</v>
      </c>
      <c r="GW36" s="4">
        <v>13526.53</v>
      </c>
      <c r="GX36" s="4"/>
      <c r="GY36" s="4"/>
      <c r="GZ36" s="4">
        <v>21716.32</v>
      </c>
      <c r="HA36" s="4"/>
      <c r="HB36" s="4">
        <v>10135.99</v>
      </c>
      <c r="HC36" s="492"/>
      <c r="HD36" s="4">
        <v>362029.67</v>
      </c>
      <c r="HE36" s="4"/>
      <c r="HF36" s="4">
        <v>6323.47</v>
      </c>
      <c r="HG36" s="4"/>
      <c r="HH36" s="4"/>
      <c r="HI36" s="4"/>
      <c r="HJ36" s="4"/>
      <c r="HK36" s="4"/>
      <c r="HL36" s="4"/>
      <c r="HM36" s="4"/>
      <c r="HN36" s="492">
        <v>268947.48</v>
      </c>
      <c r="HO36" s="4"/>
      <c r="HP36" s="238">
        <v>3156.49</v>
      </c>
      <c r="HQ36" s="4">
        <v>11046799.220000001</v>
      </c>
      <c r="HR36" s="4"/>
      <c r="HS36" s="4">
        <v>688992.42</v>
      </c>
      <c r="HT36" s="4"/>
      <c r="HU36" s="4"/>
      <c r="HV36" s="492">
        <v>20103.46</v>
      </c>
      <c r="HW36" s="4"/>
      <c r="HX36" s="4">
        <v>361307.97</v>
      </c>
      <c r="HY36" s="4"/>
      <c r="HZ36" s="4"/>
      <c r="IA36" s="4"/>
      <c r="IB36" s="4"/>
      <c r="IC36" s="4"/>
      <c r="ID36" s="4"/>
      <c r="IE36" s="4"/>
      <c r="IF36" s="4"/>
      <c r="IG36" s="4"/>
      <c r="IH36" s="492">
        <v>253602.35</v>
      </c>
      <c r="II36" s="4"/>
      <c r="IJ36" s="4"/>
      <c r="IK36" s="4"/>
      <c r="IL36" s="189"/>
      <c r="IM36" s="238">
        <v>9527436.5399999991</v>
      </c>
      <c r="IN36" s="4">
        <v>23195.18</v>
      </c>
      <c r="IO36" s="4"/>
      <c r="IP36" s="4"/>
      <c r="IQ36" s="492">
        <v>377533.13</v>
      </c>
      <c r="IR36" s="4"/>
      <c r="IS36" s="4">
        <v>5236.88</v>
      </c>
      <c r="IT36" s="4">
        <v>32065.53</v>
      </c>
      <c r="IU36" s="4"/>
      <c r="IV36" s="4">
        <v>2719.27</v>
      </c>
      <c r="IW36" s="4">
        <f t="shared" si="15"/>
        <v>123186840.06999998</v>
      </c>
      <c r="IX36" s="7"/>
      <c r="IY36" s="7"/>
      <c r="IZ36" s="7"/>
      <c r="JA36" s="7"/>
      <c r="JB36" s="7"/>
      <c r="JC36" s="7"/>
      <c r="JD36" s="7"/>
      <c r="JE36" s="7"/>
      <c r="JF36" s="7"/>
      <c r="JH36" s="4"/>
      <c r="JI36" s="4">
        <f t="shared" si="14"/>
        <v>246378680.13999996</v>
      </c>
    </row>
    <row r="37" spans="1:269" ht="14.1" customHeight="1">
      <c r="A37" s="32" t="s">
        <v>25</v>
      </c>
      <c r="B37" s="173"/>
      <c r="C37" s="123">
        <v>0</v>
      </c>
      <c r="D37" s="32">
        <v>0</v>
      </c>
      <c r="E37" s="32">
        <v>100000000</v>
      </c>
      <c r="F37" s="32"/>
      <c r="G37" s="32">
        <v>110000000</v>
      </c>
      <c r="H37" s="32"/>
      <c r="I37" s="32"/>
      <c r="J37" s="32"/>
      <c r="K37" s="32"/>
      <c r="L37" s="32"/>
      <c r="M37" s="123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123"/>
      <c r="AH37" s="32"/>
      <c r="AI37" s="32"/>
      <c r="AJ37" s="32"/>
      <c r="AK37" s="32"/>
      <c r="AL37" s="32"/>
      <c r="AM37" s="32"/>
      <c r="AN37" s="32"/>
      <c r="AO37" s="570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>
        <v>250000</v>
      </c>
      <c r="BC37" s="32"/>
      <c r="BD37" s="123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123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123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123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123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123"/>
      <c r="FG37" s="32"/>
      <c r="FH37" s="32"/>
      <c r="FI37" s="32"/>
      <c r="FJ37" s="32"/>
      <c r="FK37" s="32"/>
      <c r="FL37" s="32"/>
      <c r="FM37" s="32"/>
      <c r="FN37" s="32">
        <v>28000000</v>
      </c>
      <c r="FO37" s="32">
        <f>52200000-6480000</f>
        <v>45720000</v>
      </c>
      <c r="FP37" s="32">
        <v>6480000</v>
      </c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123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>
        <v>4363579.71</v>
      </c>
      <c r="GR37" s="32"/>
      <c r="GS37" s="32"/>
      <c r="GT37" s="32"/>
      <c r="GU37" s="123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123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>
        <v>53000000</v>
      </c>
      <c r="IB37" s="32"/>
      <c r="IC37" s="32">
        <v>53300000</v>
      </c>
      <c r="ID37" s="406">
        <f>5256295.75+14092441.96+170079.33</f>
        <v>19518817.039999999</v>
      </c>
      <c r="IE37" s="32"/>
      <c r="IF37" s="32"/>
      <c r="IG37" s="32"/>
      <c r="IH37" s="406">
        <f>26215.87+443245.79</f>
        <v>469461.66</v>
      </c>
      <c r="II37" s="32"/>
      <c r="IJ37" s="32"/>
      <c r="IK37" s="32"/>
      <c r="IL37" s="241"/>
      <c r="IM37" s="406">
        <f>4414221.16+7818.62</f>
        <v>4422039.78</v>
      </c>
      <c r="IN37" s="32"/>
      <c r="IO37" s="32">
        <v>16300000</v>
      </c>
      <c r="IP37" s="32"/>
      <c r="IQ37" s="32"/>
      <c r="IR37" s="32"/>
      <c r="IS37" s="32"/>
      <c r="IT37" s="32"/>
      <c r="IU37" s="32">
        <v>100000000</v>
      </c>
      <c r="IV37" s="32"/>
      <c r="IW37" s="4">
        <f t="shared" si="15"/>
        <v>541823898.19000006</v>
      </c>
      <c r="IX37" s="7"/>
      <c r="IY37" s="7"/>
      <c r="IZ37" s="7"/>
      <c r="JA37" s="7"/>
      <c r="JB37" s="7"/>
      <c r="JC37" s="7"/>
      <c r="JD37" s="7"/>
      <c r="JE37" s="7"/>
      <c r="JF37" s="7"/>
      <c r="JH37" s="4"/>
      <c r="JI37" s="4">
        <f t="shared" si="14"/>
        <v>1083647796.3800001</v>
      </c>
    </row>
    <row r="38" spans="1:269" ht="14.1" hidden="1" customHeight="1">
      <c r="A38" s="32" t="s">
        <v>86</v>
      </c>
      <c r="B38" s="173"/>
      <c r="C38" s="123">
        <v>0</v>
      </c>
      <c r="D38" s="32"/>
      <c r="E38" s="32"/>
      <c r="F38" s="32"/>
      <c r="G38" s="32"/>
      <c r="H38" s="32"/>
      <c r="I38" s="32"/>
      <c r="J38" s="32"/>
      <c r="K38" s="32"/>
      <c r="L38" s="32"/>
      <c r="M38" s="123">
        <f>'FY-09, FEB-09 - JAN-10, w TANs'!M38</f>
        <v>0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123"/>
      <c r="AH38" s="32"/>
      <c r="AI38" s="32"/>
      <c r="AJ38" s="32"/>
      <c r="AK38" s="32"/>
      <c r="AL38" s="32"/>
      <c r="AM38" s="32"/>
      <c r="AN38" s="32"/>
      <c r="AO38" s="570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>
        <f>'FY-09, FEB-09 - JAN-10, w TANs'!BB38</f>
        <v>0</v>
      </c>
      <c r="BC38" s="32"/>
      <c r="BD38" s="123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>
        <f>'FY-09, FEB-09 - JAN-10, w TANs'!BO38</f>
        <v>0</v>
      </c>
      <c r="BP38" s="32"/>
      <c r="BQ38" s="32"/>
      <c r="BR38" s="32"/>
      <c r="BS38" s="32"/>
      <c r="BT38" s="32"/>
      <c r="BU38" s="32"/>
      <c r="BV38" s="32"/>
      <c r="BW38" s="32"/>
      <c r="BX38" s="32"/>
      <c r="BY38" s="123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123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>
        <f>'FY-09, FEB-09 - JAN-10, w TANs'!DN38</f>
        <v>0</v>
      </c>
      <c r="DO38" s="123">
        <f>'FY-09, FEB-09 - JAN-10, w TANs'!DO38</f>
        <v>0</v>
      </c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123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123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>
        <f>'FY-09, FEB-09 - JAN-10, w TANs'!FX38</f>
        <v>0</v>
      </c>
      <c r="FY38" s="32"/>
      <c r="FZ38" s="32"/>
      <c r="GA38" s="123"/>
      <c r="GB38" s="32">
        <f>'FY-09, FEB-09 - JAN-10, w TANs'!GB38</f>
        <v>0</v>
      </c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123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123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123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4">
        <f t="shared" si="15"/>
        <v>0</v>
      </c>
      <c r="IX38" s="7"/>
      <c r="IY38" s="7"/>
      <c r="IZ38" s="7"/>
      <c r="JA38" s="7"/>
      <c r="JB38" s="7"/>
      <c r="JC38" s="7"/>
      <c r="JD38" s="7"/>
      <c r="JE38" s="7"/>
      <c r="JF38" s="7"/>
      <c r="JH38" s="4"/>
      <c r="JI38" s="4">
        <f t="shared" si="14"/>
        <v>0</v>
      </c>
    </row>
    <row r="39" spans="1:269" ht="14.1" hidden="1" customHeight="1">
      <c r="A39" s="32" t="s">
        <v>87</v>
      </c>
      <c r="B39" s="32"/>
      <c r="C39" s="123">
        <v>0</v>
      </c>
      <c r="D39" s="32"/>
      <c r="E39" s="32"/>
      <c r="F39" s="32"/>
      <c r="G39" s="32"/>
      <c r="H39" s="32"/>
      <c r="I39" s="32"/>
      <c r="J39" s="32"/>
      <c r="K39" s="32"/>
      <c r="L39" s="32"/>
      <c r="M39" s="123">
        <f>'FY-09, FEB-09 - JAN-10, w TANs'!M39</f>
        <v>0</v>
      </c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123"/>
      <c r="AH39" s="32"/>
      <c r="AI39" s="32"/>
      <c r="AJ39" s="32"/>
      <c r="AK39" s="32"/>
      <c r="AL39" s="32"/>
      <c r="AM39" s="32"/>
      <c r="AN39" s="32"/>
      <c r="AO39" s="570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>
        <f>'FY-09, FEB-09 - JAN-10, w TANs'!BB39</f>
        <v>0</v>
      </c>
      <c r="BC39" s="32"/>
      <c r="BD39" s="123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>
        <f>'FY-09, FEB-09 - JAN-10, w TANs'!BO39</f>
        <v>0</v>
      </c>
      <c r="BP39" s="32"/>
      <c r="BQ39" s="32"/>
      <c r="BR39" s="32"/>
      <c r="BS39" s="32"/>
      <c r="BT39" s="32"/>
      <c r="BU39" s="32"/>
      <c r="BV39" s="32"/>
      <c r="BW39" s="32"/>
      <c r="BX39" s="32"/>
      <c r="BY39" s="123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123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>
        <f>'FY-09, FEB-09 - JAN-10, w TANs'!DN39</f>
        <v>0</v>
      </c>
      <c r="DO39" s="123">
        <f>'FY-09, FEB-09 - JAN-10, w TANs'!DO39</f>
        <v>0</v>
      </c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123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123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>
        <f>'FY-09, FEB-09 - JAN-10, w TANs'!FX39</f>
        <v>0</v>
      </c>
      <c r="FY39" s="32"/>
      <c r="FZ39" s="32"/>
      <c r="GA39" s="123"/>
      <c r="GB39" s="32">
        <f>'FY-09, FEB-09 - JAN-10, w TANs'!GB39</f>
        <v>0</v>
      </c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123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123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123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4">
        <f t="shared" si="15"/>
        <v>0</v>
      </c>
      <c r="IX39" s="7"/>
      <c r="IY39" s="7"/>
      <c r="IZ39" s="7"/>
      <c r="JA39" s="7"/>
      <c r="JB39" s="7"/>
      <c r="JC39" s="7"/>
      <c r="JD39" s="7"/>
      <c r="JE39" s="7"/>
      <c r="JF39" s="7"/>
      <c r="JH39" s="4"/>
      <c r="JI39" s="4">
        <f t="shared" si="14"/>
        <v>0</v>
      </c>
    </row>
    <row r="40" spans="1:269" ht="14.1" customHeight="1">
      <c r="A40" s="32" t="s">
        <v>55</v>
      </c>
      <c r="B40" s="32"/>
      <c r="C40" s="123">
        <v>3</v>
      </c>
      <c r="D40" s="32">
        <v>0</v>
      </c>
      <c r="E40" s="32">
        <v>0</v>
      </c>
      <c r="F40" s="32"/>
      <c r="G40" s="32"/>
      <c r="H40" s="32">
        <v>6</v>
      </c>
      <c r="I40" s="32"/>
      <c r="J40" s="32"/>
      <c r="K40" s="32"/>
      <c r="L40" s="32"/>
      <c r="M40" s="123"/>
      <c r="N40" s="32"/>
      <c r="O40" s="32"/>
      <c r="P40" s="32"/>
      <c r="Q40" s="32"/>
      <c r="R40" s="32"/>
      <c r="S40" s="32"/>
      <c r="T40" s="32">
        <v>742.24</v>
      </c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>
        <v>3</v>
      </c>
      <c r="AG40" s="123"/>
      <c r="AH40" s="32"/>
      <c r="AI40" s="32"/>
      <c r="AJ40" s="32"/>
      <c r="AK40" s="32"/>
      <c r="AL40" s="32"/>
      <c r="AM40" s="32"/>
      <c r="AN40" s="32"/>
      <c r="AO40" s="570"/>
      <c r="AP40" s="32"/>
      <c r="AQ40" s="32">
        <v>371.6</v>
      </c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>
        <v>3</v>
      </c>
      <c r="BC40" s="32"/>
      <c r="BD40" s="123"/>
      <c r="BE40" s="32"/>
      <c r="BF40" s="32"/>
      <c r="BG40" s="32">
        <v>3500</v>
      </c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>
        <v>515.79999999999995</v>
      </c>
      <c r="BT40" s="32"/>
      <c r="BU40" s="32"/>
      <c r="BV40" s="32"/>
      <c r="BW40" s="32"/>
      <c r="BX40" s="32">
        <v>56.45</v>
      </c>
      <c r="BY40" s="123">
        <v>100</v>
      </c>
      <c r="BZ40" s="32">
        <v>950</v>
      </c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>
        <v>3</v>
      </c>
      <c r="CL40" s="32">
        <v>9</v>
      </c>
      <c r="CM40" s="32">
        <v>3</v>
      </c>
      <c r="CN40" s="32"/>
      <c r="CO40" s="32"/>
      <c r="CP40" s="32"/>
      <c r="CQ40" s="32"/>
      <c r="CR40" s="32"/>
      <c r="CS40" s="32">
        <v>6</v>
      </c>
      <c r="CT40" s="123">
        <v>48.24</v>
      </c>
      <c r="CU40" s="32"/>
      <c r="CV40" s="32"/>
      <c r="CW40" s="32"/>
      <c r="CX40" s="32"/>
      <c r="CY40" s="32"/>
      <c r="CZ40" s="32"/>
      <c r="DA40" s="32"/>
      <c r="DB40" s="32">
        <v>75</v>
      </c>
      <c r="DC40" s="32"/>
      <c r="DD40" s="32"/>
      <c r="DE40" s="32">
        <v>21.94</v>
      </c>
      <c r="DF40" s="32"/>
      <c r="DG40" s="32"/>
      <c r="DH40" s="32"/>
      <c r="DI40" s="32"/>
      <c r="DJ40" s="32"/>
      <c r="DK40" s="32"/>
      <c r="DL40" s="32"/>
      <c r="DM40" s="32"/>
      <c r="DN40" s="32"/>
      <c r="DO40" s="123"/>
      <c r="DP40" s="32"/>
      <c r="DQ40" s="32"/>
      <c r="DR40" s="32"/>
      <c r="DS40" s="32">
        <v>1200</v>
      </c>
      <c r="DT40" s="32"/>
      <c r="DU40" s="32">
        <v>23</v>
      </c>
      <c r="DV40" s="32">
        <v>3</v>
      </c>
      <c r="DW40" s="32">
        <v>3</v>
      </c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>
        <v>300</v>
      </c>
      <c r="EJ40" s="123"/>
      <c r="EK40" s="32"/>
      <c r="EL40" s="32">
        <v>1540.56</v>
      </c>
      <c r="EM40" s="32">
        <v>345.71</v>
      </c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>
        <v>3</v>
      </c>
      <c r="FC40" s="32"/>
      <c r="FD40" s="32">
        <v>435</v>
      </c>
      <c r="FE40" s="32"/>
      <c r="FF40" s="123">
        <v>500</v>
      </c>
      <c r="FG40" s="32"/>
      <c r="FH40" s="32">
        <v>100</v>
      </c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>
        <v>3</v>
      </c>
      <c r="FT40" s="32"/>
      <c r="FU40" s="32">
        <v>13</v>
      </c>
      <c r="FV40" s="32"/>
      <c r="FW40" s="32"/>
      <c r="FX40" s="32"/>
      <c r="FY40" s="32"/>
      <c r="FZ40" s="32"/>
      <c r="GA40" s="123"/>
      <c r="GB40" s="32"/>
      <c r="GC40" s="32"/>
      <c r="GD40" s="32"/>
      <c r="GE40" s="32"/>
      <c r="GF40" s="32">
        <v>6</v>
      </c>
      <c r="GG40" s="32">
        <v>3270</v>
      </c>
      <c r="GH40" s="32">
        <v>3</v>
      </c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123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>
        <v>5</v>
      </c>
      <c r="HO40" s="32">
        <v>30</v>
      </c>
      <c r="HP40" s="123"/>
      <c r="HQ40" s="32">
        <v>5</v>
      </c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>
        <v>12</v>
      </c>
      <c r="IL40" s="123"/>
      <c r="IM40" s="32"/>
      <c r="IN40" s="32">
        <v>23</v>
      </c>
      <c r="IO40" s="32"/>
      <c r="IP40" s="32"/>
      <c r="IQ40" s="32"/>
      <c r="IR40" s="32"/>
      <c r="IS40" s="32">
        <v>19</v>
      </c>
      <c r="IT40" s="32">
        <v>3</v>
      </c>
      <c r="IU40" s="32"/>
      <c r="IV40" s="32"/>
      <c r="IW40" s="4">
        <f t="shared" si="15"/>
        <v>14259.539999999999</v>
      </c>
      <c r="IX40" s="7"/>
      <c r="IY40" s="7"/>
      <c r="IZ40" s="7"/>
      <c r="JA40" s="7"/>
      <c r="JB40" s="7"/>
      <c r="JC40" s="7"/>
      <c r="JD40" s="7"/>
      <c r="JE40" s="7"/>
      <c r="JF40" s="7"/>
      <c r="JH40" s="4"/>
      <c r="JI40" s="4">
        <f t="shared" si="14"/>
        <v>28522.079999999998</v>
      </c>
    </row>
    <row r="41" spans="1:269" ht="14.1" customHeight="1">
      <c r="A41" s="4" t="s">
        <v>11</v>
      </c>
      <c r="B41" s="4"/>
      <c r="C41" s="189">
        <v>0</v>
      </c>
      <c r="D41" s="4">
        <v>0</v>
      </c>
      <c r="E41" s="4">
        <v>0</v>
      </c>
      <c r="F41" s="4">
        <v>264475.03999999998</v>
      </c>
      <c r="G41" s="4"/>
      <c r="H41" s="4"/>
      <c r="I41" s="4"/>
      <c r="J41" s="4"/>
      <c r="K41" s="4"/>
      <c r="L41" s="4"/>
      <c r="M41" s="189"/>
      <c r="N41" s="4"/>
      <c r="O41" s="4"/>
      <c r="P41" s="4"/>
      <c r="Q41" s="4"/>
      <c r="R41" s="4"/>
      <c r="S41" s="4"/>
      <c r="T41" s="4"/>
      <c r="U41" s="4"/>
      <c r="V41" s="4"/>
      <c r="W41" s="4"/>
      <c r="X41" s="4">
        <v>263920.84000000003</v>
      </c>
      <c r="Y41" s="58"/>
      <c r="Z41" s="4"/>
      <c r="AA41" s="4"/>
      <c r="AB41" s="4"/>
      <c r="AC41" s="4"/>
      <c r="AD41" s="4"/>
      <c r="AE41" s="4"/>
      <c r="AF41" s="4"/>
      <c r="AG41" s="189"/>
      <c r="AH41" s="4"/>
      <c r="AI41" s="4"/>
      <c r="AJ41" s="4"/>
      <c r="AK41" s="4"/>
      <c r="AL41" s="4"/>
      <c r="AM41" s="4"/>
      <c r="AN41" s="4"/>
      <c r="AO41" s="577"/>
      <c r="AP41" s="4"/>
      <c r="AQ41" s="4"/>
      <c r="AR41" s="4"/>
      <c r="AS41" s="4"/>
      <c r="AT41" s="58"/>
      <c r="AU41" s="4">
        <v>264184.01</v>
      </c>
      <c r="AV41" s="4"/>
      <c r="AW41" s="4"/>
      <c r="AX41" s="4"/>
      <c r="AY41" s="4"/>
      <c r="AZ41" s="4"/>
      <c r="BA41" s="4"/>
      <c r="BB41" s="4"/>
      <c r="BC41" s="4"/>
      <c r="BD41" s="189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58"/>
      <c r="BQ41" s="58"/>
      <c r="BR41" s="4"/>
      <c r="BS41" s="4"/>
      <c r="BT41" s="4"/>
      <c r="BU41" s="4">
        <v>263832.07</v>
      </c>
      <c r="BV41" s="4"/>
      <c r="BW41" s="4"/>
      <c r="BX41" s="4"/>
      <c r="BY41" s="189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>
        <v>261841.79</v>
      </c>
      <c r="CL41" s="58"/>
      <c r="CM41" s="4"/>
      <c r="CN41" s="4"/>
      <c r="CO41" s="4"/>
      <c r="CP41" s="4"/>
      <c r="CQ41" s="4"/>
      <c r="CR41" s="4"/>
      <c r="CS41" s="4"/>
      <c r="CT41" s="189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673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>
        <v>523387.19</v>
      </c>
      <c r="EC41" s="58"/>
      <c r="ED41" s="4"/>
      <c r="EE41" s="4"/>
      <c r="EF41" s="4"/>
      <c r="EG41" s="4"/>
      <c r="EH41" s="4"/>
      <c r="EI41" s="4"/>
      <c r="EJ41" s="189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58">
        <v>259989.82</v>
      </c>
      <c r="FA41" s="4"/>
      <c r="FB41" s="4"/>
      <c r="FC41" s="4"/>
      <c r="FD41" s="4"/>
      <c r="FE41" s="4"/>
      <c r="FF41" s="189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58">
        <v>283943.82</v>
      </c>
      <c r="FS41" s="4"/>
      <c r="FT41" s="4"/>
      <c r="FU41" s="4"/>
      <c r="FV41" s="4"/>
      <c r="FW41" s="4"/>
      <c r="FX41" s="4"/>
      <c r="FY41" s="4"/>
      <c r="FZ41" s="4"/>
      <c r="GA41" s="189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>
        <v>298152.88</v>
      </c>
      <c r="GR41" s="4"/>
      <c r="GS41" s="4"/>
      <c r="GT41" s="4"/>
      <c r="GU41" s="189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58"/>
      <c r="HG41" s="4">
        <v>298030.21000000002</v>
      </c>
      <c r="HH41" s="4"/>
      <c r="HI41" s="4"/>
      <c r="HJ41" s="4"/>
      <c r="HK41" s="4"/>
      <c r="HL41" s="4"/>
      <c r="HM41" s="4"/>
      <c r="HN41" s="4"/>
      <c r="HO41" s="4"/>
      <c r="HP41" s="189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58"/>
      <c r="IF41" s="4"/>
      <c r="IG41" s="4">
        <v>299120.89</v>
      </c>
      <c r="IH41" s="4"/>
      <c r="II41" s="4"/>
      <c r="IJ41" s="4"/>
      <c r="IK41" s="4"/>
      <c r="IL41" s="189"/>
      <c r="IM41" s="4"/>
      <c r="IN41" s="4"/>
      <c r="IO41" s="4"/>
      <c r="IP41" s="4"/>
      <c r="IQ41" s="4"/>
      <c r="IR41" s="4"/>
      <c r="IS41" s="4"/>
      <c r="IT41" s="4"/>
      <c r="IU41" s="4"/>
      <c r="IV41" s="4">
        <v>300156.58</v>
      </c>
      <c r="IW41" s="4">
        <f t="shared" si="15"/>
        <v>3581035.1399999997</v>
      </c>
      <c r="IX41" s="7"/>
      <c r="IY41" s="7"/>
      <c r="IZ41" s="7"/>
      <c r="JA41" s="7"/>
      <c r="JB41" s="7"/>
      <c r="JC41" s="7"/>
      <c r="JD41" s="7"/>
      <c r="JE41" s="7"/>
      <c r="JF41" s="7"/>
      <c r="JH41" s="4"/>
      <c r="JI41" s="4">
        <f t="shared" si="14"/>
        <v>7162070.2799999993</v>
      </c>
    </row>
    <row r="42" spans="1:269" ht="14.1" customHeight="1">
      <c r="A42" s="4" t="s">
        <v>52</v>
      </c>
      <c r="B42" s="4"/>
      <c r="C42" s="189">
        <v>0</v>
      </c>
      <c r="D42" s="4">
        <v>0</v>
      </c>
      <c r="E42" s="4">
        <v>0</v>
      </c>
      <c r="F42" s="4"/>
      <c r="G42" s="4"/>
      <c r="H42" s="4"/>
      <c r="I42" s="4">
        <v>500</v>
      </c>
      <c r="J42" s="4"/>
      <c r="K42" s="4"/>
      <c r="L42" s="4"/>
      <c r="M42" s="189"/>
      <c r="N42" s="4"/>
      <c r="O42" s="4"/>
      <c r="P42" s="4"/>
      <c r="Q42" s="4">
        <v>150</v>
      </c>
      <c r="R42" s="4"/>
      <c r="S42" s="4"/>
      <c r="T42" s="4"/>
      <c r="U42" s="4"/>
      <c r="V42" s="4"/>
      <c r="W42" s="4"/>
      <c r="X42" s="4"/>
      <c r="Y42" s="4"/>
      <c r="Z42" s="4"/>
      <c r="AA42" s="4">
        <v>19920</v>
      </c>
      <c r="AB42" s="4"/>
      <c r="AC42" s="4"/>
      <c r="AD42" s="4"/>
      <c r="AE42" s="4"/>
      <c r="AF42" s="4"/>
      <c r="AG42" s="189"/>
      <c r="AH42" s="4"/>
      <c r="AI42" s="4"/>
      <c r="AJ42" s="4"/>
      <c r="AK42" s="4"/>
      <c r="AL42" s="4"/>
      <c r="AM42" s="4"/>
      <c r="AN42" s="4">
        <v>53002.64</v>
      </c>
      <c r="AO42" s="577"/>
      <c r="AP42" s="4"/>
      <c r="AQ42" s="4"/>
      <c r="AR42" s="4"/>
      <c r="AS42" s="4">
        <v>385815.34</v>
      </c>
      <c r="AT42" s="4">
        <v>1362.35</v>
      </c>
      <c r="AU42" s="4"/>
      <c r="AV42" s="4"/>
      <c r="AW42" s="4"/>
      <c r="AX42" s="4">
        <v>106.5</v>
      </c>
      <c r="AY42" s="4"/>
      <c r="AZ42" s="4"/>
      <c r="BA42" s="4"/>
      <c r="BB42" s="4"/>
      <c r="BC42" s="4"/>
      <c r="BD42" s="189"/>
      <c r="BE42" s="4"/>
      <c r="BF42" s="4"/>
      <c r="BG42" s="4"/>
      <c r="BH42" s="4"/>
      <c r="BI42" s="4"/>
      <c r="BJ42" s="4"/>
      <c r="BK42" s="4"/>
      <c r="BL42" s="4"/>
      <c r="BM42" s="4"/>
      <c r="BN42" s="4">
        <v>249517.12</v>
      </c>
      <c r="BO42" s="4"/>
      <c r="BP42" s="4"/>
      <c r="BQ42" s="4"/>
      <c r="BR42" s="4"/>
      <c r="BS42" s="4"/>
      <c r="BT42" s="4">
        <v>23818.89</v>
      </c>
      <c r="BU42" s="4">
        <v>3611.3699999999953</v>
      </c>
      <c r="BV42" s="4">
        <v>100</v>
      </c>
      <c r="BW42" s="4">
        <v>1250</v>
      </c>
      <c r="BX42" s="4"/>
      <c r="BY42" s="189"/>
      <c r="BZ42" s="4"/>
      <c r="CA42" s="4"/>
      <c r="CB42" s="4"/>
      <c r="CC42" s="4"/>
      <c r="CD42" s="4"/>
      <c r="CE42" s="4"/>
      <c r="CF42" s="4"/>
      <c r="CG42" s="4"/>
      <c r="CH42" s="4">
        <v>693</v>
      </c>
      <c r="CI42" s="4"/>
      <c r="CJ42" s="4"/>
      <c r="CK42" s="4"/>
      <c r="CL42" s="4"/>
      <c r="CM42" s="4">
        <v>1365.5</v>
      </c>
      <c r="CN42" s="4"/>
      <c r="CO42" s="4">
        <v>6973.13</v>
      </c>
      <c r="CP42" s="4">
        <v>3500</v>
      </c>
      <c r="CQ42" s="4">
        <v>1353.05</v>
      </c>
      <c r="CR42" s="4"/>
      <c r="CS42" s="4"/>
      <c r="CT42" s="189"/>
      <c r="CU42" s="4">
        <v>70489.52</v>
      </c>
      <c r="CV42" s="4"/>
      <c r="CW42" s="4"/>
      <c r="CX42" s="4"/>
      <c r="CY42" s="4">
        <v>141745.42000000001</v>
      </c>
      <c r="CZ42" s="4"/>
      <c r="DA42" s="4">
        <v>368</v>
      </c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>
        <v>14099.69</v>
      </c>
      <c r="DO42" s="189"/>
      <c r="DP42" s="4"/>
      <c r="DQ42" s="4">
        <v>0.3</v>
      </c>
      <c r="DR42" s="4">
        <v>152781.38</v>
      </c>
      <c r="DS42" s="4"/>
      <c r="DT42" s="4">
        <v>1124.8900000000001</v>
      </c>
      <c r="DU42" s="4">
        <v>102681.03</v>
      </c>
      <c r="DV42" s="4"/>
      <c r="DW42" s="4">
        <v>2798.07</v>
      </c>
      <c r="DX42" s="4">
        <v>197.5</v>
      </c>
      <c r="DY42" s="4"/>
      <c r="DZ42" s="4"/>
      <c r="EA42" s="4"/>
      <c r="EB42" s="4">
        <v>674.1</v>
      </c>
      <c r="EC42" s="4"/>
      <c r="ED42" s="4"/>
      <c r="EE42" s="4"/>
      <c r="EF42" s="4"/>
      <c r="EG42" s="4"/>
      <c r="EH42" s="4"/>
      <c r="EI42" s="4"/>
      <c r="EJ42" s="189"/>
      <c r="EK42" s="4"/>
      <c r="EL42" s="4"/>
      <c r="EM42" s="4"/>
      <c r="EN42" s="4"/>
      <c r="EO42" s="4">
        <v>344.71</v>
      </c>
      <c r="EP42" s="4"/>
      <c r="EQ42" s="4"/>
      <c r="ER42" s="4">
        <v>651991.97</v>
      </c>
      <c r="ES42" s="4">
        <v>1250</v>
      </c>
      <c r="ET42" s="4"/>
      <c r="EU42" s="4">
        <v>453</v>
      </c>
      <c r="EV42" s="4">
        <v>531</v>
      </c>
      <c r="EW42" s="4"/>
      <c r="EX42" s="4"/>
      <c r="EY42" s="4"/>
      <c r="EZ42" s="4"/>
      <c r="FA42" s="4"/>
      <c r="FB42" s="4">
        <v>1056.3599999999999</v>
      </c>
      <c r="FC42" s="4"/>
      <c r="FD42" s="4"/>
      <c r="FE42" s="4"/>
      <c r="FF42" s="189">
        <v>743.15</v>
      </c>
      <c r="FG42" s="4">
        <v>2988.15</v>
      </c>
      <c r="FH42" s="4"/>
      <c r="FI42" s="4">
        <v>2749.55</v>
      </c>
      <c r="FJ42" s="4"/>
      <c r="FK42" s="4">
        <v>132.02000000000001</v>
      </c>
      <c r="FL42" s="4"/>
      <c r="FM42" s="4">
        <v>8015.61</v>
      </c>
      <c r="FN42" s="4"/>
      <c r="FO42" s="4"/>
      <c r="FP42" s="4"/>
      <c r="FQ42" s="4">
        <v>565.20000000000005</v>
      </c>
      <c r="FR42" s="4"/>
      <c r="FS42" s="4"/>
      <c r="FT42" s="4"/>
      <c r="FU42" s="4"/>
      <c r="FV42" s="4">
        <v>1561.91</v>
      </c>
      <c r="FW42" s="4">
        <v>4133.1499999999996</v>
      </c>
      <c r="FX42" s="4"/>
      <c r="FY42" s="4"/>
      <c r="FZ42" s="4">
        <v>21.2</v>
      </c>
      <c r="GA42" s="189"/>
      <c r="GB42" s="4"/>
      <c r="GC42" s="4"/>
      <c r="GD42" s="4"/>
      <c r="GE42" s="4">
        <v>47.34</v>
      </c>
      <c r="GF42" s="4"/>
      <c r="GG42" s="4"/>
      <c r="GH42" s="4">
        <v>2784.28</v>
      </c>
      <c r="GI42" s="4">
        <v>784.02</v>
      </c>
      <c r="GJ42" s="4"/>
      <c r="GK42" s="4">
        <v>26.89</v>
      </c>
      <c r="GL42" s="4"/>
      <c r="GM42" s="4"/>
      <c r="GN42" s="4"/>
      <c r="GO42" s="4"/>
      <c r="GP42" s="4"/>
      <c r="GQ42" s="4"/>
      <c r="GR42" s="4">
        <v>10486</v>
      </c>
      <c r="GS42" s="4"/>
      <c r="GT42" s="4"/>
      <c r="GU42" s="189">
        <v>2668.69</v>
      </c>
      <c r="GV42" s="4">
        <v>38.799999999999997</v>
      </c>
      <c r="GW42" s="4"/>
      <c r="GX42" s="4">
        <v>49.2</v>
      </c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>
        <v>13000</v>
      </c>
      <c r="HJ42" s="4"/>
      <c r="HK42" s="4">
        <v>57.6</v>
      </c>
      <c r="HL42" s="4"/>
      <c r="HM42" s="4"/>
      <c r="HN42" s="4"/>
      <c r="HO42" s="4">
        <v>137.29</v>
      </c>
      <c r="HP42" s="189"/>
      <c r="HQ42" s="4">
        <v>250.75</v>
      </c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>
        <v>2896</v>
      </c>
      <c r="IF42" s="4"/>
      <c r="IG42" s="4"/>
      <c r="IH42" s="4"/>
      <c r="II42" s="4"/>
      <c r="IJ42" s="4"/>
      <c r="IK42" s="4"/>
      <c r="IL42" s="189"/>
      <c r="IM42" s="4"/>
      <c r="IN42" s="4">
        <v>14.5</v>
      </c>
      <c r="IO42" s="4">
        <v>112.5</v>
      </c>
      <c r="IP42" s="4"/>
      <c r="IQ42" s="4">
        <v>1105.7</v>
      </c>
      <c r="IR42" s="4"/>
      <c r="IS42" s="4"/>
      <c r="IT42" s="4">
        <v>88.85</v>
      </c>
      <c r="IU42" s="4"/>
      <c r="IV42" s="4">
        <v>212.14</v>
      </c>
      <c r="IW42" s="4">
        <f t="shared" si="15"/>
        <v>1951296.32</v>
      </c>
      <c r="IX42" s="7"/>
      <c r="IY42" s="7"/>
      <c r="IZ42" s="7"/>
      <c r="JA42" s="7"/>
      <c r="JB42" s="7"/>
      <c r="JC42" s="7"/>
      <c r="JD42" s="7"/>
      <c r="JE42" s="7"/>
      <c r="JF42" s="7"/>
      <c r="JH42" s="4"/>
      <c r="JI42" s="4">
        <f t="shared" si="14"/>
        <v>3902592.64</v>
      </c>
    </row>
    <row r="43" spans="1:269" ht="14.1" customHeight="1">
      <c r="A43" s="4" t="s">
        <v>137</v>
      </c>
      <c r="B43" s="4"/>
      <c r="C43" s="189">
        <v>101416.47</v>
      </c>
      <c r="D43" s="4">
        <v>76325.94</v>
      </c>
      <c r="E43" s="4">
        <v>71065.97</v>
      </c>
      <c r="F43" s="4">
        <v>150381.04999999999</v>
      </c>
      <c r="G43" s="4">
        <v>59184.61</v>
      </c>
      <c r="H43" s="4">
        <v>36643.68</v>
      </c>
      <c r="I43" s="4">
        <v>53680.04</v>
      </c>
      <c r="J43" s="4">
        <v>37513.17</v>
      </c>
      <c r="K43" s="4">
        <v>88123.99</v>
      </c>
      <c r="L43" s="4">
        <v>46876.84</v>
      </c>
      <c r="M43" s="189">
        <v>44587.03</v>
      </c>
      <c r="N43" s="4">
        <v>38649.550000000003</v>
      </c>
      <c r="O43" s="4">
        <v>66141.83</v>
      </c>
      <c r="P43" s="4">
        <v>163894.53</v>
      </c>
      <c r="Q43" s="4">
        <v>7172.32</v>
      </c>
      <c r="R43" s="4">
        <v>18588.919999999998</v>
      </c>
      <c r="S43" s="4">
        <v>9095.01</v>
      </c>
      <c r="T43" s="4">
        <v>27574.53</v>
      </c>
      <c r="U43" s="4">
        <v>54512.84</v>
      </c>
      <c r="V43" s="4">
        <v>120263.22</v>
      </c>
      <c r="W43" s="4">
        <v>38364.46</v>
      </c>
      <c r="X43" s="4">
        <v>11579.81</v>
      </c>
      <c r="Y43" s="4">
        <v>825362.06</v>
      </c>
      <c r="Z43" s="4">
        <v>329665.28999999998</v>
      </c>
      <c r="AA43" s="4">
        <v>669550.04</v>
      </c>
      <c r="AB43" s="4">
        <v>285728.86</v>
      </c>
      <c r="AC43" s="4">
        <v>67440.37</v>
      </c>
      <c r="AD43" s="4">
        <v>363.96</v>
      </c>
      <c r="AE43" s="4">
        <v>99717.67</v>
      </c>
      <c r="AF43" s="4">
        <v>778868.48</v>
      </c>
      <c r="AG43" s="189">
        <v>57314.16</v>
      </c>
      <c r="AH43" s="4">
        <v>131721.85999999999</v>
      </c>
      <c r="AI43" s="4">
        <v>5126.37</v>
      </c>
      <c r="AJ43" s="4">
        <v>681805.21</v>
      </c>
      <c r="AK43" s="4">
        <v>205053.39</v>
      </c>
      <c r="AL43" s="4">
        <v>25173.87</v>
      </c>
      <c r="AM43" s="4">
        <v>8530.81</v>
      </c>
      <c r="AN43" s="4">
        <v>15599.77</v>
      </c>
      <c r="AO43" s="577">
        <v>8383.32</v>
      </c>
      <c r="AP43" s="4">
        <v>42722.79</v>
      </c>
      <c r="AQ43" s="4">
        <v>585356.64</v>
      </c>
      <c r="AR43" s="4">
        <v>84790.79</v>
      </c>
      <c r="AS43" s="4">
        <v>60079.49</v>
      </c>
      <c r="AT43" s="4">
        <v>65112.09</v>
      </c>
      <c r="AU43" s="4">
        <v>65819.58</v>
      </c>
      <c r="AV43" s="4">
        <v>29695.79</v>
      </c>
      <c r="AW43" s="4">
        <v>653677.06000000006</v>
      </c>
      <c r="AX43" s="4">
        <v>47179.73</v>
      </c>
      <c r="AY43" s="4">
        <v>29650.53</v>
      </c>
      <c r="AZ43" s="4">
        <v>53355.09</v>
      </c>
      <c r="BA43" s="4">
        <v>706885.81</v>
      </c>
      <c r="BB43" s="4">
        <v>40020.83</v>
      </c>
      <c r="BC43" s="4">
        <v>12836.29</v>
      </c>
      <c r="BD43" s="189">
        <v>37192.769999999997</v>
      </c>
      <c r="BE43" s="4">
        <v>692504.18</v>
      </c>
      <c r="BF43" s="4">
        <v>184864.36</v>
      </c>
      <c r="BG43" s="4">
        <v>5339.3</v>
      </c>
      <c r="BH43" s="4">
        <v>12463.49</v>
      </c>
      <c r="BI43" s="4">
        <v>6770.15</v>
      </c>
      <c r="BJ43" s="4">
        <v>4796.2299999999996</v>
      </c>
      <c r="BK43" s="4">
        <v>512375.67</v>
      </c>
      <c r="BL43" s="4">
        <v>77672.55</v>
      </c>
      <c r="BM43" s="4">
        <v>40139.39</v>
      </c>
      <c r="BN43" s="4">
        <v>37980.17</v>
      </c>
      <c r="BO43" s="4">
        <v>16991.98</v>
      </c>
      <c r="BP43" s="4">
        <v>573460.88</v>
      </c>
      <c r="BQ43" s="4">
        <v>43436.84</v>
      </c>
      <c r="BR43" s="4">
        <v>22411.5</v>
      </c>
      <c r="BS43" s="4">
        <v>55353.33</v>
      </c>
      <c r="BT43" s="4">
        <v>22924.89</v>
      </c>
      <c r="BU43" s="4">
        <v>44395.7</v>
      </c>
      <c r="BV43" s="4">
        <v>44921.85</v>
      </c>
      <c r="BW43" s="4">
        <v>613364.82999999996</v>
      </c>
      <c r="BX43" s="4">
        <v>31040.32</v>
      </c>
      <c r="BY43" s="189">
        <v>7961.58</v>
      </c>
      <c r="BZ43" s="4">
        <v>12167.78</v>
      </c>
      <c r="CA43" s="4">
        <v>6011.94</v>
      </c>
      <c r="CB43" s="4">
        <v>705583.64</v>
      </c>
      <c r="CC43" s="4">
        <v>3086.92</v>
      </c>
      <c r="CD43" s="4">
        <v>7125.63</v>
      </c>
      <c r="CE43" s="366">
        <v>16298.8</v>
      </c>
      <c r="CF43" s="4">
        <v>26956.05</v>
      </c>
      <c r="CG43" s="4">
        <v>45224.51</v>
      </c>
      <c r="CH43" s="4">
        <v>474472.78</v>
      </c>
      <c r="CI43" s="4">
        <v>3745.9</v>
      </c>
      <c r="CJ43" s="4">
        <v>114697.06</v>
      </c>
      <c r="CK43" s="4">
        <v>23271.89</v>
      </c>
      <c r="CL43" s="4">
        <v>632251.4</v>
      </c>
      <c r="CM43" s="4">
        <v>39897.72</v>
      </c>
      <c r="CN43" s="4">
        <v>33189.56</v>
      </c>
      <c r="CO43" s="4">
        <v>25010.78</v>
      </c>
      <c r="CP43" s="4">
        <v>59749.39</v>
      </c>
      <c r="CQ43" s="4">
        <v>750265.67</v>
      </c>
      <c r="CR43" s="4">
        <v>9602.56</v>
      </c>
      <c r="CS43" s="4">
        <v>4617.08</v>
      </c>
      <c r="CT43" s="189">
        <v>4612.71</v>
      </c>
      <c r="CU43" s="4">
        <v>659787.30000000005</v>
      </c>
      <c r="CV43" s="4">
        <v>268407.92</v>
      </c>
      <c r="CW43" s="4">
        <v>4680.79</v>
      </c>
      <c r="CX43" s="4">
        <v>13980.84</v>
      </c>
      <c r="CY43" s="4">
        <v>7606.18</v>
      </c>
      <c r="CZ43" s="4">
        <v>12673.91</v>
      </c>
      <c r="DA43" s="4">
        <v>2016.74</v>
      </c>
      <c r="DB43" s="4">
        <v>532790.47</v>
      </c>
      <c r="DC43" s="4">
        <v>55987.62</v>
      </c>
      <c r="DD43" s="4">
        <v>69327.34</v>
      </c>
      <c r="DE43" s="4">
        <v>19720.63</v>
      </c>
      <c r="DF43" s="4">
        <v>41313.370000000003</v>
      </c>
      <c r="DG43" s="4">
        <v>3568.09</v>
      </c>
      <c r="DH43" s="4">
        <v>752193.59</v>
      </c>
      <c r="DI43" s="4">
        <v>29411.59</v>
      </c>
      <c r="DJ43" s="4">
        <v>46115.31</v>
      </c>
      <c r="DK43" s="4">
        <v>22886.04</v>
      </c>
      <c r="DL43" s="4">
        <v>819061.78</v>
      </c>
      <c r="DM43" s="4">
        <v>9617.83</v>
      </c>
      <c r="DN43" s="4">
        <v>5298.22</v>
      </c>
      <c r="DO43" s="673">
        <v>2202.9299999999998</v>
      </c>
      <c r="DP43" s="4">
        <v>828759.72</v>
      </c>
      <c r="DQ43" s="4">
        <v>281098.88</v>
      </c>
      <c r="DR43" s="4">
        <v>1218.81</v>
      </c>
      <c r="DS43" s="4">
        <v>13079.15</v>
      </c>
      <c r="DT43" s="4">
        <v>8137.63</v>
      </c>
      <c r="DU43" s="4">
        <v>6513.22</v>
      </c>
      <c r="DV43" s="4">
        <v>611116.57999999996</v>
      </c>
      <c r="DW43" s="4">
        <v>25351.38</v>
      </c>
      <c r="DX43" s="4">
        <v>66813.33</v>
      </c>
      <c r="DY43" s="4">
        <v>41307.5</v>
      </c>
      <c r="DZ43" s="4">
        <v>58494.47</v>
      </c>
      <c r="EA43" s="4">
        <v>32369</v>
      </c>
      <c r="EB43" s="4">
        <v>11825.69</v>
      </c>
      <c r="EC43" s="4">
        <v>57084.81</v>
      </c>
      <c r="ED43" s="4">
        <v>785457.37</v>
      </c>
      <c r="EE43" s="4">
        <v>10721.15</v>
      </c>
      <c r="EF43" s="4">
        <v>26696.47</v>
      </c>
      <c r="EG43" s="4">
        <v>85275.37</v>
      </c>
      <c r="EH43" s="4">
        <v>958655.93</v>
      </c>
      <c r="EI43" s="4">
        <v>7040.93</v>
      </c>
      <c r="EJ43" s="189">
        <v>20396.45</v>
      </c>
      <c r="EK43" s="4">
        <v>4310.07</v>
      </c>
      <c r="EL43" s="4">
        <v>7429.29</v>
      </c>
      <c r="EM43" s="4">
        <v>1079879.79</v>
      </c>
      <c r="EN43" s="4">
        <v>13145.87</v>
      </c>
      <c r="EO43" s="4">
        <v>12412.38</v>
      </c>
      <c r="EP43" s="4">
        <v>4198.18</v>
      </c>
      <c r="EQ43" s="4">
        <v>87618.53</v>
      </c>
      <c r="ER43" s="4">
        <v>62022</v>
      </c>
      <c r="ES43" s="4">
        <v>572583.81999999995</v>
      </c>
      <c r="ET43" s="4">
        <v>10421.67</v>
      </c>
      <c r="EU43" s="4">
        <v>34430.480000000003</v>
      </c>
      <c r="EV43" s="4">
        <v>28871.06</v>
      </c>
      <c r="EW43" s="4">
        <v>6165.45</v>
      </c>
      <c r="EX43" s="4">
        <v>728992.28</v>
      </c>
      <c r="EY43" s="4">
        <v>15829.38</v>
      </c>
      <c r="EZ43" s="4">
        <v>78715.56</v>
      </c>
      <c r="FA43" s="4">
        <v>17314.419999999998</v>
      </c>
      <c r="FB43" s="4">
        <v>879119.52</v>
      </c>
      <c r="FC43" s="4">
        <v>8836.34</v>
      </c>
      <c r="FD43" s="4">
        <v>8708.91</v>
      </c>
      <c r="FE43" s="4">
        <v>6472.65</v>
      </c>
      <c r="FF43" s="189">
        <v>733746.21</v>
      </c>
      <c r="FG43" s="4">
        <v>299055.61</v>
      </c>
      <c r="FH43" s="4">
        <v>4609.99</v>
      </c>
      <c r="FI43" s="4">
        <v>1423.46</v>
      </c>
      <c r="FJ43" s="4">
        <v>2130.42</v>
      </c>
      <c r="FK43" s="4">
        <v>717.06</v>
      </c>
      <c r="FL43" s="4">
        <v>57103.28</v>
      </c>
      <c r="FM43" s="4">
        <v>652369.12</v>
      </c>
      <c r="FN43" s="4">
        <v>41837.919999999998</v>
      </c>
      <c r="FO43" s="4">
        <v>105133.44</v>
      </c>
      <c r="FP43" s="4">
        <v>28978.799999999999</v>
      </c>
      <c r="FQ43" s="4">
        <v>7205.69</v>
      </c>
      <c r="FR43" s="4">
        <v>835310.53</v>
      </c>
      <c r="FS43" s="4">
        <v>43855.33</v>
      </c>
      <c r="FT43" s="4">
        <v>31871.34</v>
      </c>
      <c r="FU43" s="4">
        <v>37034.76</v>
      </c>
      <c r="FV43" s="4">
        <v>73050.64</v>
      </c>
      <c r="FW43" s="4">
        <v>24167.74</v>
      </c>
      <c r="FX43" s="4">
        <v>1057808.8400000001</v>
      </c>
      <c r="FY43" s="4">
        <v>19147.919999999998</v>
      </c>
      <c r="FZ43" s="4">
        <v>8720.2099999999991</v>
      </c>
      <c r="GA43" s="189">
        <v>980312.48</v>
      </c>
      <c r="GB43" s="4">
        <v>314996.03999999998</v>
      </c>
      <c r="GC43" s="4">
        <v>7790.76</v>
      </c>
      <c r="GD43" s="4">
        <v>21024.27</v>
      </c>
      <c r="GE43" s="4">
        <v>2122.9699999999998</v>
      </c>
      <c r="GF43" s="4">
        <v>22718.41</v>
      </c>
      <c r="GG43" s="4">
        <v>797510.8</v>
      </c>
      <c r="GH43" s="4">
        <v>61614.25</v>
      </c>
      <c r="GI43" s="4">
        <v>64109.440000000002</v>
      </c>
      <c r="GJ43" s="4">
        <v>43885</v>
      </c>
      <c r="GK43" s="4">
        <v>14124.26</v>
      </c>
      <c r="GL43" s="4">
        <v>1110983.53</v>
      </c>
      <c r="GM43" s="4">
        <v>24630.89</v>
      </c>
      <c r="GN43" s="4">
        <v>25907.54</v>
      </c>
      <c r="GO43" s="4">
        <v>19650.07</v>
      </c>
      <c r="GP43" s="4">
        <v>63775.7</v>
      </c>
      <c r="GQ43" s="4">
        <v>1185479.94</v>
      </c>
      <c r="GR43" s="4">
        <v>20863.830000000002</v>
      </c>
      <c r="GS43" s="4">
        <v>18086.169999999998</v>
      </c>
      <c r="GT43" s="4">
        <v>16262.03</v>
      </c>
      <c r="GU43" s="189">
        <v>1294143.1499999999</v>
      </c>
      <c r="GV43" s="4">
        <v>27686.43</v>
      </c>
      <c r="GW43" s="4">
        <v>3157.76</v>
      </c>
      <c r="GX43" s="4">
        <v>8450.1299999999992</v>
      </c>
      <c r="GY43" s="4">
        <v>14732.48</v>
      </c>
      <c r="GZ43" s="4">
        <v>4523.76</v>
      </c>
      <c r="HA43" s="4">
        <v>21717.85</v>
      </c>
      <c r="HB43" s="4">
        <v>690466.26</v>
      </c>
      <c r="HC43" s="4">
        <v>8229.69</v>
      </c>
      <c r="HD43" s="4">
        <v>261332.03</v>
      </c>
      <c r="HE43" s="4">
        <v>67229.149999999994</v>
      </c>
      <c r="HF43" s="4">
        <v>847672.44</v>
      </c>
      <c r="HG43" s="4">
        <v>37615.879999999997</v>
      </c>
      <c r="HH43" s="4">
        <v>42862.400000000001</v>
      </c>
      <c r="HI43" s="4">
        <v>40002.06</v>
      </c>
      <c r="HJ43" s="4">
        <v>21717.09</v>
      </c>
      <c r="HK43" s="4">
        <v>923628.23</v>
      </c>
      <c r="HL43" s="4">
        <v>3805.05</v>
      </c>
      <c r="HM43" s="4">
        <v>11645.31</v>
      </c>
      <c r="HN43" s="4">
        <v>969535</v>
      </c>
      <c r="HO43" s="4">
        <v>11903.86</v>
      </c>
      <c r="HP43" s="189">
        <v>4911.8999999999996</v>
      </c>
      <c r="HQ43" s="4">
        <v>18166.82</v>
      </c>
      <c r="HR43" s="4">
        <v>4578.7700000000004</v>
      </c>
      <c r="HS43" s="4">
        <v>11714.5</v>
      </c>
      <c r="HT43" s="4">
        <v>10528.66</v>
      </c>
      <c r="HU43" s="4">
        <v>21170.74</v>
      </c>
      <c r="HV43" s="4">
        <v>26727.46</v>
      </c>
      <c r="HW43" s="4"/>
      <c r="HX43" s="4">
        <v>636497.47</v>
      </c>
      <c r="HY43" s="4">
        <v>41217.71</v>
      </c>
      <c r="HZ43" s="4">
        <v>106186.17</v>
      </c>
      <c r="IA43" s="4">
        <v>20501.02</v>
      </c>
      <c r="IB43" s="4">
        <v>0</v>
      </c>
      <c r="IC43" s="4">
        <v>124834.18</v>
      </c>
      <c r="ID43" s="4">
        <v>54646.78</v>
      </c>
      <c r="IE43" s="4">
        <v>753265.12</v>
      </c>
      <c r="IF43" s="4">
        <v>17096.96</v>
      </c>
      <c r="IG43" s="4">
        <v>39304.28</v>
      </c>
      <c r="IH43" s="4">
        <v>780312.32</v>
      </c>
      <c r="II43" s="4">
        <v>16485.34</v>
      </c>
      <c r="IJ43" s="4">
        <v>15583.42</v>
      </c>
      <c r="IK43" s="4">
        <v>30995.98</v>
      </c>
      <c r="IL43" s="189">
        <v>790421.3</v>
      </c>
      <c r="IM43" s="4">
        <v>34585.96</v>
      </c>
      <c r="IN43" s="4">
        <v>6679.72</v>
      </c>
      <c r="IO43" s="4">
        <v>16995.919999999998</v>
      </c>
      <c r="IP43" s="4">
        <v>15793.18</v>
      </c>
      <c r="IQ43" s="4">
        <v>9715.2999999999993</v>
      </c>
      <c r="IR43" s="4">
        <v>4525.92</v>
      </c>
      <c r="IS43" s="4">
        <v>29994.560000000001</v>
      </c>
      <c r="IT43" s="4">
        <v>556383.9</v>
      </c>
      <c r="IU43" s="4">
        <v>88362.97</v>
      </c>
      <c r="IV43" s="4">
        <v>71383.23</v>
      </c>
      <c r="IW43" s="4">
        <f t="shared" si="15"/>
        <v>43515299.309999995</v>
      </c>
      <c r="IX43" s="7"/>
      <c r="IY43" s="7"/>
      <c r="IZ43" s="7"/>
      <c r="JA43" s="7"/>
      <c r="JB43" s="7"/>
      <c r="JC43" s="7"/>
      <c r="JD43" s="7"/>
      <c r="JE43" s="7"/>
      <c r="JF43" s="7"/>
      <c r="JH43" s="4"/>
      <c r="JI43" s="4"/>
    </row>
    <row r="44" spans="1:269" ht="14.1" customHeight="1">
      <c r="A44" s="4" t="s">
        <v>12</v>
      </c>
      <c r="B44" s="4"/>
      <c r="C44" s="189">
        <v>0</v>
      </c>
      <c r="D44" s="4">
        <v>1615.4</v>
      </c>
      <c r="E44" s="4">
        <v>0</v>
      </c>
      <c r="F44" s="4"/>
      <c r="G44" s="4"/>
      <c r="H44" s="4"/>
      <c r="I44" s="4"/>
      <c r="J44" s="4"/>
      <c r="K44" s="4">
        <f>'FY-09, FEB-09 - JAN-10, w TANs'!K44</f>
        <v>0</v>
      </c>
      <c r="L44" s="4"/>
      <c r="M44" s="228"/>
      <c r="N44" s="4"/>
      <c r="O44" s="4"/>
      <c r="P44" s="4"/>
      <c r="Q44" s="4"/>
      <c r="R44" s="4"/>
      <c r="S44" s="4"/>
      <c r="T44" s="4"/>
      <c r="U44" s="4"/>
      <c r="V44" s="58">
        <v>879792.09</v>
      </c>
      <c r="W44" s="4"/>
      <c r="X44" s="4"/>
      <c r="Y44" s="4"/>
      <c r="Z44" s="4"/>
      <c r="AA44" s="4"/>
      <c r="AB44" s="4"/>
      <c r="AC44" s="4"/>
      <c r="AD44" s="4"/>
      <c r="AE44" s="4"/>
      <c r="AF44" s="4"/>
      <c r="AG44" s="189"/>
      <c r="AH44" s="4"/>
      <c r="AI44" s="4"/>
      <c r="AJ44" s="4"/>
      <c r="AK44" s="4"/>
      <c r="AL44" s="4"/>
      <c r="AM44" s="4"/>
      <c r="AN44" s="4"/>
      <c r="AO44" s="577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D44" s="189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189"/>
      <c r="BZ44" s="4"/>
      <c r="CA44" s="4"/>
      <c r="CB44" s="4"/>
      <c r="CC44" s="4"/>
      <c r="CD44" s="4"/>
      <c r="CE44" s="4"/>
      <c r="CF44" s="4"/>
      <c r="CG44" s="4"/>
      <c r="CH44" s="58"/>
      <c r="CI44" s="4">
        <v>604769.91</v>
      </c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189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189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189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688">
        <v>480420.79</v>
      </c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189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189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189"/>
      <c r="GV44" s="4"/>
      <c r="GW44" s="4"/>
      <c r="GX44" s="4"/>
      <c r="GY44" s="4"/>
      <c r="GZ44" s="4"/>
      <c r="HA44" s="4"/>
      <c r="HB44" s="4"/>
      <c r="HC44" s="4"/>
      <c r="HD44" s="4"/>
      <c r="HE44" s="4">
        <v>700570.32</v>
      </c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189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189"/>
      <c r="IM44" s="4"/>
      <c r="IN44" s="4"/>
      <c r="IO44" s="4"/>
      <c r="IP44" s="4"/>
      <c r="IQ44" s="4"/>
      <c r="IR44" s="4"/>
      <c r="IS44" s="4"/>
      <c r="IT44" s="4"/>
      <c r="IU44" s="4" t="s">
        <v>50</v>
      </c>
      <c r="IV44" s="4"/>
      <c r="IW44" s="4">
        <f t="shared" si="15"/>
        <v>2667168.5099999998</v>
      </c>
      <c r="IX44" s="7"/>
      <c r="IY44" s="7"/>
      <c r="IZ44" s="7"/>
      <c r="JA44" s="7"/>
      <c r="JB44" s="7"/>
      <c r="JC44" s="7"/>
      <c r="JD44" s="7"/>
      <c r="JE44" s="7"/>
      <c r="JF44" s="7"/>
      <c r="JH44" s="4"/>
      <c r="JI44" s="4">
        <f>SUM(C44:JH44)</f>
        <v>5334337.0199999996</v>
      </c>
    </row>
    <row r="45" spans="1:269" ht="14.1" customHeight="1">
      <c r="A45" s="32" t="s">
        <v>41</v>
      </c>
      <c r="B45" s="32"/>
      <c r="C45" s="123">
        <v>0</v>
      </c>
      <c r="D45" s="32">
        <v>0</v>
      </c>
      <c r="E45" s="32">
        <v>0</v>
      </c>
      <c r="F45" s="32">
        <f>43.4+1200</f>
        <v>1243.4000000000001</v>
      </c>
      <c r="G45" s="32">
        <v>6000</v>
      </c>
      <c r="H45" s="32"/>
      <c r="I45" s="32"/>
      <c r="J45" s="32">
        <v>631.42999999999995</v>
      </c>
      <c r="K45" s="32">
        <f>'FY-09, FEB-09 - JAN-10, w TANs'!K45</f>
        <v>0</v>
      </c>
      <c r="L45" s="406">
        <v>666573.63</v>
      </c>
      <c r="M45" s="436">
        <v>5917.59</v>
      </c>
      <c r="N45" s="32"/>
      <c r="O45" s="32"/>
      <c r="P45" s="32"/>
      <c r="Q45" s="32"/>
      <c r="R45" s="32"/>
      <c r="S45" s="32">
        <v>0.15</v>
      </c>
      <c r="T45" s="32"/>
      <c r="U45" s="32">
        <f>79652.76+1000</f>
        <v>80652.759999999995</v>
      </c>
      <c r="V45" s="32">
        <v>660.2</v>
      </c>
      <c r="W45" s="32"/>
      <c r="X45" s="32"/>
      <c r="Y45" s="32">
        <v>101.46</v>
      </c>
      <c r="Z45" s="32"/>
      <c r="AA45" s="32">
        <v>10000</v>
      </c>
      <c r="AB45" s="32"/>
      <c r="AC45" s="32">
        <v>1000</v>
      </c>
      <c r="AD45" s="32"/>
      <c r="AE45" s="32">
        <v>740243.8</v>
      </c>
      <c r="AF45" s="32"/>
      <c r="AG45" s="123"/>
      <c r="AH45" s="32"/>
      <c r="AI45" s="32"/>
      <c r="AJ45" s="32"/>
      <c r="AK45" s="32"/>
      <c r="AL45" s="32"/>
      <c r="AM45" s="32">
        <f>81734.67+190000</f>
        <v>271734.67</v>
      </c>
      <c r="AN45" s="32"/>
      <c r="AO45" s="570">
        <v>426743.88</v>
      </c>
      <c r="AP45" s="32"/>
      <c r="AQ45" s="32">
        <v>213349.62</v>
      </c>
      <c r="AR45" s="32">
        <v>17332</v>
      </c>
      <c r="AS45" s="32">
        <v>1298947.45</v>
      </c>
      <c r="AT45" s="32"/>
      <c r="AU45" s="32"/>
      <c r="AV45" s="32">
        <v>120.13</v>
      </c>
      <c r="AW45" s="32"/>
      <c r="AX45" s="32">
        <v>15391.6</v>
      </c>
      <c r="AY45" s="32"/>
      <c r="AZ45" s="32">
        <v>700</v>
      </c>
      <c r="BA45" s="32">
        <f>1494532.15</f>
        <v>1494532.15</v>
      </c>
      <c r="BB45" s="32"/>
      <c r="BC45" s="32">
        <v>100</v>
      </c>
      <c r="BD45" s="123">
        <v>128199.08</v>
      </c>
      <c r="BE45" s="32"/>
      <c r="BF45" s="32"/>
      <c r="BG45" s="32">
        <v>594</v>
      </c>
      <c r="BH45" s="32">
        <v>24800.28</v>
      </c>
      <c r="BI45" s="32"/>
      <c r="BJ45" s="32"/>
      <c r="BK45" s="32"/>
      <c r="BL45" s="32"/>
      <c r="BM45" s="32"/>
      <c r="BN45" s="32">
        <v>4465966.53</v>
      </c>
      <c r="BO45" s="32"/>
      <c r="BP45" s="32">
        <v>65.84</v>
      </c>
      <c r="BQ45" s="32"/>
      <c r="BR45" s="32"/>
      <c r="BS45" s="32"/>
      <c r="BT45" s="32"/>
      <c r="BU45" s="32">
        <v>160000</v>
      </c>
      <c r="BV45" s="32"/>
      <c r="BW45" s="32"/>
      <c r="BX45" s="32">
        <v>145112.82</v>
      </c>
      <c r="BY45" s="123"/>
      <c r="BZ45" s="32">
        <f>8349.28+91500</f>
        <v>99849.279999999999</v>
      </c>
      <c r="CA45" s="32"/>
      <c r="CB45" s="32"/>
      <c r="CC45" s="32">
        <v>0.4</v>
      </c>
      <c r="CD45" s="32"/>
      <c r="CE45" s="32"/>
      <c r="CF45" s="32"/>
      <c r="CG45" s="32"/>
      <c r="CH45" s="32"/>
      <c r="CI45" s="32">
        <v>7000</v>
      </c>
      <c r="CJ45" s="32"/>
      <c r="CK45" s="32">
        <v>237150.96</v>
      </c>
      <c r="CL45" s="32">
        <v>286087.59999999998</v>
      </c>
      <c r="CM45" s="32"/>
      <c r="CN45" s="32"/>
      <c r="CO45" s="32">
        <v>163910.23000000001</v>
      </c>
      <c r="CP45" s="32"/>
      <c r="CQ45" s="32"/>
      <c r="CR45" s="32">
        <v>575</v>
      </c>
      <c r="CS45" s="32"/>
      <c r="CT45" s="123">
        <f>346993.33+513.92+2252.41</f>
        <v>349759.66</v>
      </c>
      <c r="CU45" s="32"/>
      <c r="CV45" s="32"/>
      <c r="CW45" s="32"/>
      <c r="CX45" s="32">
        <v>412</v>
      </c>
      <c r="CY45" s="32"/>
      <c r="CZ45" s="32">
        <f>507736.52+9995</f>
        <v>517731.52</v>
      </c>
      <c r="DA45" s="32"/>
      <c r="DB45" s="32"/>
      <c r="DC45" s="32"/>
      <c r="DD45" s="32"/>
      <c r="DE45" s="32"/>
      <c r="DF45" s="32"/>
      <c r="DG45" s="32">
        <v>10</v>
      </c>
      <c r="DH45" s="32">
        <v>43.4</v>
      </c>
      <c r="DI45" s="32"/>
      <c r="DJ45" s="32"/>
      <c r="DK45" s="32"/>
      <c r="DL45" s="32">
        <v>11000</v>
      </c>
      <c r="DM45" s="32">
        <v>300</v>
      </c>
      <c r="DN45" s="379"/>
      <c r="DO45" s="123">
        <v>117678.98</v>
      </c>
      <c r="DP45" s="32"/>
      <c r="DQ45" s="32">
        <v>9576.94</v>
      </c>
      <c r="DR45" s="32">
        <v>1028.72</v>
      </c>
      <c r="DS45" s="32">
        <v>75</v>
      </c>
      <c r="DT45" s="32">
        <f>240368.19+85590.63</f>
        <v>325958.82</v>
      </c>
      <c r="DU45" s="32">
        <v>294523.33</v>
      </c>
      <c r="DV45" s="32"/>
      <c r="DW45" s="32">
        <f>128299.08+636</f>
        <v>128935.08</v>
      </c>
      <c r="DX45" s="32"/>
      <c r="DY45" s="32">
        <f>897.5+69546.33</f>
        <v>70443.83</v>
      </c>
      <c r="DZ45" s="32"/>
      <c r="EA45" s="32">
        <v>35.25</v>
      </c>
      <c r="EB45" s="32">
        <v>250800</v>
      </c>
      <c r="EC45" s="32">
        <v>43.4</v>
      </c>
      <c r="ED45" s="32">
        <v>156785.99</v>
      </c>
      <c r="EE45" s="32"/>
      <c r="EF45" s="32"/>
      <c r="EG45" s="32"/>
      <c r="EH45" s="32">
        <v>150</v>
      </c>
      <c r="EI45" s="32">
        <v>332208.08</v>
      </c>
      <c r="EJ45" s="123">
        <f>1100+6565.56</f>
        <v>7665.56</v>
      </c>
      <c r="EK45" s="32">
        <f>1000+1013.1</f>
        <v>2013.1</v>
      </c>
      <c r="EL45" s="32"/>
      <c r="EM45" s="32"/>
      <c r="EN45" s="32"/>
      <c r="EO45" s="32">
        <v>2300</v>
      </c>
      <c r="EP45" s="32"/>
      <c r="EQ45" s="32"/>
      <c r="ER45" s="32"/>
      <c r="ES45" s="32">
        <v>171185.97</v>
      </c>
      <c r="ET45" s="32"/>
      <c r="EU45" s="32">
        <v>881.63</v>
      </c>
      <c r="EV45" s="32">
        <v>3500</v>
      </c>
      <c r="EW45" s="32"/>
      <c r="EX45" s="32">
        <v>35</v>
      </c>
      <c r="EY45" s="32">
        <v>1871.27</v>
      </c>
      <c r="EZ45" s="32">
        <v>43.4</v>
      </c>
      <c r="FA45" s="32"/>
      <c r="FB45" s="32">
        <v>221895.63</v>
      </c>
      <c r="FC45" s="32">
        <v>1000</v>
      </c>
      <c r="FD45" s="32"/>
      <c r="FE45" s="32"/>
      <c r="FF45" s="123">
        <v>6458.34</v>
      </c>
      <c r="FG45" s="32">
        <v>149636.13</v>
      </c>
      <c r="FH45" s="32">
        <v>209310.43</v>
      </c>
      <c r="FI45" s="32"/>
      <c r="FJ45" s="32"/>
      <c r="FK45" s="32">
        <v>1000</v>
      </c>
      <c r="FL45" s="32">
        <v>431104.36</v>
      </c>
      <c r="FM45" s="32"/>
      <c r="FN45" s="32"/>
      <c r="FO45" s="32">
        <v>43413.61</v>
      </c>
      <c r="FP45" s="32">
        <v>3953.45</v>
      </c>
      <c r="FQ45" s="32">
        <v>5474.93</v>
      </c>
      <c r="FR45" s="32"/>
      <c r="FS45" s="32">
        <v>78.400000000000006</v>
      </c>
      <c r="FT45" s="32"/>
      <c r="FU45" s="32">
        <v>3000</v>
      </c>
      <c r="FV45" s="32"/>
      <c r="FW45" s="32"/>
      <c r="FX45" s="32"/>
      <c r="FY45" s="32"/>
      <c r="FZ45" s="32">
        <v>30351.919999999998</v>
      </c>
      <c r="GA45" s="123">
        <v>250</v>
      </c>
      <c r="GB45" s="32"/>
      <c r="GC45" s="32"/>
      <c r="GD45" s="32">
        <v>1594.14</v>
      </c>
      <c r="GE45" s="32">
        <v>225815.01</v>
      </c>
      <c r="GF45" s="32"/>
      <c r="GG45" s="32"/>
      <c r="GH45" s="32"/>
      <c r="GI45" s="32"/>
      <c r="GJ45" s="32"/>
      <c r="GK45" s="32"/>
      <c r="GL45" s="32">
        <v>18355.68</v>
      </c>
      <c r="GM45" s="32">
        <v>35</v>
      </c>
      <c r="GN45" s="32">
        <v>1043.4000000000001</v>
      </c>
      <c r="GO45" s="32">
        <v>2000</v>
      </c>
      <c r="GP45" s="32"/>
      <c r="GQ45" s="32"/>
      <c r="GR45" s="32"/>
      <c r="GS45" s="32"/>
      <c r="GT45" s="32"/>
      <c r="GU45" s="436">
        <v>6808.72</v>
      </c>
      <c r="GV45" s="32">
        <v>358881.76</v>
      </c>
      <c r="GW45" s="32">
        <v>242137.66</v>
      </c>
      <c r="GX45" s="32"/>
      <c r="GY45" s="32">
        <v>76119.539999999994</v>
      </c>
      <c r="GZ45" s="32"/>
      <c r="HA45" s="32">
        <v>261606.31</v>
      </c>
      <c r="HB45" s="32"/>
      <c r="HC45" s="32"/>
      <c r="HD45" s="32">
        <v>1000</v>
      </c>
      <c r="HE45" s="32"/>
      <c r="HF45" s="32">
        <f>159434.69+1000</f>
        <v>160434.69</v>
      </c>
      <c r="HG45" s="32">
        <v>35</v>
      </c>
      <c r="HH45" s="32">
        <v>43.4</v>
      </c>
      <c r="HI45" s="32"/>
      <c r="HJ45" s="32"/>
      <c r="HK45" s="32">
        <v>1000</v>
      </c>
      <c r="HL45" s="32"/>
      <c r="HM45" s="32">
        <v>29061.43</v>
      </c>
      <c r="HN45" s="32"/>
      <c r="HO45" s="32"/>
      <c r="HP45" s="123"/>
      <c r="HQ45" s="32"/>
      <c r="HR45" s="32">
        <v>2000</v>
      </c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>
        <v>78.400000000000006</v>
      </c>
      <c r="ID45" s="32"/>
      <c r="IE45" s="32"/>
      <c r="IF45" s="32"/>
      <c r="IG45" s="32">
        <v>33845.870000000003</v>
      </c>
      <c r="IH45" s="32"/>
      <c r="II45" s="32"/>
      <c r="IJ45" s="32"/>
      <c r="IK45" s="32"/>
      <c r="IL45" s="123"/>
      <c r="IM45" s="32"/>
      <c r="IN45" s="32"/>
      <c r="IO45" s="32">
        <v>2298.46</v>
      </c>
      <c r="IP45" s="32"/>
      <c r="IQ45" s="32"/>
      <c r="IR45" s="32"/>
      <c r="IS45" s="32"/>
      <c r="IT45" s="32">
        <v>117577.58</v>
      </c>
      <c r="IU45" s="32"/>
      <c r="IV45" s="32"/>
      <c r="IW45" s="4">
        <f t="shared" si="15"/>
        <v>16376983.120000005</v>
      </c>
      <c r="IX45" s="7"/>
      <c r="IY45" s="7"/>
      <c r="IZ45" s="7"/>
      <c r="JA45" s="7"/>
      <c r="JB45" s="7"/>
      <c r="JC45" s="7"/>
      <c r="JD45" s="7"/>
      <c r="JE45" s="7"/>
      <c r="JF45" s="7"/>
      <c r="JH45" s="4"/>
      <c r="JI45" s="4">
        <f>SUM(C45:JH45)</f>
        <v>32753966.24000001</v>
      </c>
    </row>
    <row r="46" spans="1:269" ht="14.1" customHeight="1">
      <c r="A46" s="58" t="s">
        <v>44</v>
      </c>
      <c r="B46" s="58"/>
      <c r="C46" s="225">
        <v>3163492.63</v>
      </c>
      <c r="D46" s="58">
        <v>2716852.55</v>
      </c>
      <c r="E46" s="58">
        <v>1500218.37</v>
      </c>
      <c r="F46" s="58">
        <v>1211003.22</v>
      </c>
      <c r="G46" s="58">
        <v>1180965.02</v>
      </c>
      <c r="H46" s="58">
        <v>1459788.5</v>
      </c>
      <c r="I46" s="58">
        <v>2759690.47</v>
      </c>
      <c r="J46" s="58">
        <v>317828.03000000003</v>
      </c>
      <c r="K46" s="58">
        <v>1994811.03</v>
      </c>
      <c r="L46" s="407">
        <v>1305193.6499999999</v>
      </c>
      <c r="M46" s="400">
        <v>1027493.69</v>
      </c>
      <c r="N46" s="58">
        <v>2023185.68</v>
      </c>
      <c r="O46" s="58">
        <v>1716415.02</v>
      </c>
      <c r="P46" s="58">
        <f>433171.06+65</f>
        <v>433236.06</v>
      </c>
      <c r="Q46" s="58">
        <v>813838</v>
      </c>
      <c r="R46" s="58">
        <v>3711702.84</v>
      </c>
      <c r="S46" s="58">
        <v>161890.14000000001</v>
      </c>
      <c r="T46" s="58">
        <v>1511496.2400000002</v>
      </c>
      <c r="U46" s="58">
        <v>769299.23</v>
      </c>
      <c r="V46" s="58">
        <v>528783.80000000005</v>
      </c>
      <c r="W46" s="58">
        <v>4614901.58</v>
      </c>
      <c r="X46" s="58">
        <v>557631.7300000001</v>
      </c>
      <c r="Y46" s="58">
        <v>3493170.1300000004</v>
      </c>
      <c r="Z46" s="58">
        <v>648664.06999999995</v>
      </c>
      <c r="AA46" s="58">
        <v>735620.12</v>
      </c>
      <c r="AB46" s="58">
        <v>2505115.5499999998</v>
      </c>
      <c r="AC46" s="58">
        <v>2344859.1800000002</v>
      </c>
      <c r="AD46" s="58">
        <v>4369680.42</v>
      </c>
      <c r="AE46" s="58">
        <v>707614.2</v>
      </c>
      <c r="AF46" s="58">
        <v>1512315.46</v>
      </c>
      <c r="AG46" s="225">
        <f>4776435.09+143831.77</f>
        <v>4920266.8599999994</v>
      </c>
      <c r="AH46" s="58">
        <v>1264675.31</v>
      </c>
      <c r="AI46" s="58">
        <v>467974.24</v>
      </c>
      <c r="AJ46" s="58">
        <v>1096848.43</v>
      </c>
      <c r="AK46" s="58">
        <v>504799.6</v>
      </c>
      <c r="AL46" s="58">
        <v>452391.87</v>
      </c>
      <c r="AM46" s="58">
        <v>245134.97</v>
      </c>
      <c r="AN46" s="58">
        <v>875603.55</v>
      </c>
      <c r="AO46" s="569">
        <v>621637.30000000005</v>
      </c>
      <c r="AP46" s="58">
        <v>358720.15</v>
      </c>
      <c r="AQ46" s="58">
        <f>807512.65+2284908.49</f>
        <v>3092421.14</v>
      </c>
      <c r="AR46" s="58">
        <v>4979290.5999999996</v>
      </c>
      <c r="AS46" s="58">
        <v>2108313.9000000004</v>
      </c>
      <c r="AT46" s="58">
        <v>1475312.52</v>
      </c>
      <c r="AU46" s="58">
        <v>722805.06</v>
      </c>
      <c r="AV46" s="58">
        <v>2092823.5799999998</v>
      </c>
      <c r="AW46" s="58">
        <v>603018.18000000005</v>
      </c>
      <c r="AX46" s="58">
        <v>1120572.6499999999</v>
      </c>
      <c r="AY46" s="58">
        <v>594682.12</v>
      </c>
      <c r="AZ46" s="58">
        <v>1107846.44</v>
      </c>
      <c r="BA46" s="58">
        <v>4448905.4000000004</v>
      </c>
      <c r="BB46" s="58">
        <v>-1637684.99</v>
      </c>
      <c r="BC46" s="58">
        <v>4762751.04</v>
      </c>
      <c r="BD46" s="225">
        <v>632899.55000000005</v>
      </c>
      <c r="BE46" s="58">
        <v>1219081.73</v>
      </c>
      <c r="BF46" s="58">
        <v>3340243.94</v>
      </c>
      <c r="BG46" s="58">
        <v>520260.80000000005</v>
      </c>
      <c r="BH46" s="58">
        <v>4203093.26</v>
      </c>
      <c r="BI46" s="58">
        <v>852648.55</v>
      </c>
      <c r="BJ46" s="58">
        <v>423932.83</v>
      </c>
      <c r="BK46" s="58">
        <v>3808034.59</v>
      </c>
      <c r="BL46" s="58">
        <v>1153036.2</v>
      </c>
      <c r="BM46" s="58">
        <f>646812.16+146197.22</f>
        <v>793009.38</v>
      </c>
      <c r="BN46" s="58">
        <v>2232319.9900000002</v>
      </c>
      <c r="BO46" s="58">
        <v>416857.2</v>
      </c>
      <c r="BP46" s="58">
        <v>1754144.79</v>
      </c>
      <c r="BQ46" s="58">
        <v>782134.24</v>
      </c>
      <c r="BR46" s="58">
        <v>1645391.71</v>
      </c>
      <c r="BS46" s="58">
        <v>234928.67</v>
      </c>
      <c r="BT46" s="58">
        <v>466798.33</v>
      </c>
      <c r="BU46" s="58">
        <v>3238451.1199999996</v>
      </c>
      <c r="BV46" s="58">
        <v>840512.69</v>
      </c>
      <c r="BW46" s="58">
        <v>2201165.67</v>
      </c>
      <c r="BX46" s="58">
        <f>1546332.06+7393.5</f>
        <v>1553725.56</v>
      </c>
      <c r="BY46" s="225">
        <v>1920895.31</v>
      </c>
      <c r="BZ46" s="58">
        <v>3971279.66</v>
      </c>
      <c r="CA46" s="58">
        <v>615270.18000000005</v>
      </c>
      <c r="CB46" s="58">
        <v>4354784.25</v>
      </c>
      <c r="CC46" s="58">
        <v>5780335.1399999997</v>
      </c>
      <c r="CD46" s="58">
        <v>1542771.37</v>
      </c>
      <c r="CE46" s="58">
        <v>7971082.1399999987</v>
      </c>
      <c r="CF46" s="58">
        <v>1244651.43</v>
      </c>
      <c r="CG46" s="58">
        <v>34303.4</v>
      </c>
      <c r="CH46" s="58">
        <v>805763.03</v>
      </c>
      <c r="CI46" s="58">
        <v>551841.14</v>
      </c>
      <c r="CJ46" s="58">
        <v>3188282.8800000004</v>
      </c>
      <c r="CK46" s="58">
        <v>1087645.55</v>
      </c>
      <c r="CL46" s="58">
        <v>2980343.38</v>
      </c>
      <c r="CM46" s="58">
        <v>121245.27</v>
      </c>
      <c r="CN46" s="58">
        <v>2245698.48</v>
      </c>
      <c r="CO46" s="58">
        <v>1778623.12</v>
      </c>
      <c r="CP46" s="58">
        <v>3538290.0200000005</v>
      </c>
      <c r="CQ46" s="58">
        <v>1281924.2</v>
      </c>
      <c r="CR46" s="58">
        <v>2658771.71</v>
      </c>
      <c r="CS46" s="58">
        <v>2173689.4</v>
      </c>
      <c r="CT46" s="225">
        <v>1561154.38</v>
      </c>
      <c r="CU46" s="58">
        <v>6679428.3500000006</v>
      </c>
      <c r="CV46" s="58">
        <v>528625.39</v>
      </c>
      <c r="CW46" s="58">
        <v>6013928.3700000001</v>
      </c>
      <c r="CX46" s="58">
        <v>625162.07999999996</v>
      </c>
      <c r="CY46" s="58">
        <v>3488679.01</v>
      </c>
      <c r="CZ46" s="58">
        <v>4392963.62</v>
      </c>
      <c r="DA46" s="58">
        <v>4999325.3100000005</v>
      </c>
      <c r="DB46" s="58">
        <v>2256570.38</v>
      </c>
      <c r="DC46" s="58">
        <v>3089541.79</v>
      </c>
      <c r="DD46" s="58">
        <v>972462.43</v>
      </c>
      <c r="DE46" s="58">
        <v>470523.05</v>
      </c>
      <c r="DF46" s="58">
        <v>1067128.78</v>
      </c>
      <c r="DG46" s="58">
        <v>1859689.43</v>
      </c>
      <c r="DH46" s="58">
        <v>1679828.21</v>
      </c>
      <c r="DI46" s="58">
        <v>922866.17</v>
      </c>
      <c r="DJ46" s="58">
        <v>972658.05</v>
      </c>
      <c r="DK46" s="58">
        <v>34057.879999999997</v>
      </c>
      <c r="DL46" s="58">
        <v>58891.040000000001</v>
      </c>
      <c r="DM46" s="58">
        <f>59708.38+90411.82</f>
        <v>150120.20000000001</v>
      </c>
      <c r="DN46" s="58">
        <f>453994.36+811603.36</f>
        <v>1265597.72</v>
      </c>
      <c r="DO46" s="225">
        <v>5703866.5700000003</v>
      </c>
      <c r="DP46" s="58">
        <v>18496757.93</v>
      </c>
      <c r="DQ46" s="58">
        <v>1175118.06</v>
      </c>
      <c r="DR46" s="58">
        <v>582202.76</v>
      </c>
      <c r="DS46" s="58">
        <v>3912001.46</v>
      </c>
      <c r="DT46" s="58">
        <v>1234603.76</v>
      </c>
      <c r="DU46" s="58">
        <v>6513629.96</v>
      </c>
      <c r="DV46" s="58">
        <v>6883761.2999999998</v>
      </c>
      <c r="DW46" s="58">
        <v>1130474.82</v>
      </c>
      <c r="DX46" s="58">
        <v>3888729.3600000003</v>
      </c>
      <c r="DY46" s="58">
        <v>935033.22000000009</v>
      </c>
      <c r="DZ46" s="58">
        <v>3397830.51</v>
      </c>
      <c r="EA46" s="58">
        <f>2016527.54+192375.92</f>
        <v>2208903.46</v>
      </c>
      <c r="EB46" s="58">
        <v>1248338.8499999999</v>
      </c>
      <c r="EC46" s="58">
        <v>644626.69000000006</v>
      </c>
      <c r="ED46" s="58">
        <v>88094.92</v>
      </c>
      <c r="EE46" s="58">
        <v>2448718.29</v>
      </c>
      <c r="EF46" s="58">
        <v>290863.44</v>
      </c>
      <c r="EG46" s="58">
        <v>95198.45</v>
      </c>
      <c r="EH46" s="58">
        <v>2257081.86</v>
      </c>
      <c r="EI46" s="58">
        <v>60568.95</v>
      </c>
      <c r="EJ46" s="225">
        <v>18601419.460000001</v>
      </c>
      <c r="EK46" s="58">
        <v>962091.54</v>
      </c>
      <c r="EL46" s="58">
        <v>531876.47</v>
      </c>
      <c r="EM46" s="58">
        <v>11005444.26</v>
      </c>
      <c r="EN46" s="58">
        <v>64211.33</v>
      </c>
      <c r="EO46" s="58">
        <v>129934.94</v>
      </c>
      <c r="EP46" s="58">
        <v>12633634.84</v>
      </c>
      <c r="EQ46" s="58">
        <v>3069083.07</v>
      </c>
      <c r="ER46" s="58">
        <v>450374.93000000005</v>
      </c>
      <c r="ES46" s="58">
        <v>1550043.06</v>
      </c>
      <c r="ET46" s="58">
        <v>392285.51</v>
      </c>
      <c r="EU46" s="58">
        <v>4293220.08</v>
      </c>
      <c r="EV46" s="58">
        <v>244530.86</v>
      </c>
      <c r="EW46" s="58">
        <v>2592650.9300000002</v>
      </c>
      <c r="EX46" s="58">
        <v>822898.5</v>
      </c>
      <c r="EY46" s="58">
        <v>361418.39</v>
      </c>
      <c r="EZ46" s="58">
        <v>3432671.24</v>
      </c>
      <c r="FA46" s="58">
        <v>291590.69999999995</v>
      </c>
      <c r="FB46" s="58">
        <v>3285886.38</v>
      </c>
      <c r="FC46" s="58">
        <v>339706.97</v>
      </c>
      <c r="FD46" s="58">
        <v>6162917.75</v>
      </c>
      <c r="FE46" s="58">
        <v>423013.34</v>
      </c>
      <c r="FF46" s="225">
        <v>5810421.3099999996</v>
      </c>
      <c r="FG46" s="58">
        <v>294644.62</v>
      </c>
      <c r="FH46" s="58">
        <v>119096.23</v>
      </c>
      <c r="FI46" s="58">
        <v>10534970.370000001</v>
      </c>
      <c r="FJ46" s="58">
        <v>1567043.1</v>
      </c>
      <c r="FK46" s="58">
        <v>8781093.9299999997</v>
      </c>
      <c r="FL46" s="58">
        <v>449040.46</v>
      </c>
      <c r="FM46" s="58">
        <v>306848.01</v>
      </c>
      <c r="FN46" s="58">
        <v>14424792.1</v>
      </c>
      <c r="FO46" s="58">
        <v>768791.8</v>
      </c>
      <c r="FP46" s="58">
        <v>8778686.8600000013</v>
      </c>
      <c r="FQ46" s="58">
        <v>921177.64</v>
      </c>
      <c r="FR46" s="58">
        <v>1661892.53</v>
      </c>
      <c r="FS46" s="58">
        <v>4010130.87</v>
      </c>
      <c r="FT46" s="58">
        <v>657376.02999999991</v>
      </c>
      <c r="FU46" s="58">
        <v>3457415.7600000002</v>
      </c>
      <c r="FV46" s="58">
        <v>1201752.22</v>
      </c>
      <c r="FW46" s="58">
        <v>4783775.5199999996</v>
      </c>
      <c r="FX46" s="58">
        <v>4634421.45</v>
      </c>
      <c r="FY46" s="58">
        <v>2188043.5300000003</v>
      </c>
      <c r="FZ46" s="58">
        <v>494879.9</v>
      </c>
      <c r="GA46" s="225">
        <v>989377.91</v>
      </c>
      <c r="GB46" s="58">
        <v>10073300.119999999</v>
      </c>
      <c r="GC46" s="58">
        <v>1709136.13</v>
      </c>
      <c r="GD46" s="58">
        <v>440819.18</v>
      </c>
      <c r="GE46" s="58">
        <v>7602693.8999999994</v>
      </c>
      <c r="GF46" s="58">
        <v>688627.57</v>
      </c>
      <c r="GG46" s="58">
        <v>3651768.11</v>
      </c>
      <c r="GH46" s="58">
        <v>437463.1</v>
      </c>
      <c r="GI46" s="58">
        <v>1954713.3</v>
      </c>
      <c r="GJ46" s="58">
        <v>830909.55</v>
      </c>
      <c r="GK46" s="58">
        <v>1714049.36</v>
      </c>
      <c r="GL46" s="58">
        <v>6022460.1900000004</v>
      </c>
      <c r="GM46" s="58">
        <v>1295594.6100000001</v>
      </c>
      <c r="GN46" s="58">
        <v>3304895.46</v>
      </c>
      <c r="GO46" s="58">
        <v>331110.12</v>
      </c>
      <c r="GP46" s="58">
        <v>280187.84000000003</v>
      </c>
      <c r="GQ46" s="58">
        <f>418349.52+1565692.82</f>
        <v>1984042.34</v>
      </c>
      <c r="GR46" s="58">
        <v>5316160.21</v>
      </c>
      <c r="GS46" s="58">
        <v>6793305.2300000004</v>
      </c>
      <c r="GT46" s="58">
        <v>1144533.8999999999</v>
      </c>
      <c r="GU46" s="225">
        <v>8695374.7699999996</v>
      </c>
      <c r="GV46" s="58">
        <v>1336751.18</v>
      </c>
      <c r="GW46" s="58">
        <v>5213657.49</v>
      </c>
      <c r="GX46" s="58">
        <v>821749.88</v>
      </c>
      <c r="GY46" s="58">
        <v>427344.51</v>
      </c>
      <c r="GZ46" s="58">
        <v>13353096.790000001</v>
      </c>
      <c r="HA46" s="58">
        <v>4101016.8</v>
      </c>
      <c r="HB46" s="58">
        <v>323317.02</v>
      </c>
      <c r="HC46" s="58">
        <v>672611.81</v>
      </c>
      <c r="HD46" s="58">
        <v>2071302.84</v>
      </c>
      <c r="HE46" s="58">
        <v>374770.28</v>
      </c>
      <c r="HF46" s="58">
        <v>3637448.7</v>
      </c>
      <c r="HG46" s="58">
        <v>3205797.64</v>
      </c>
      <c r="HH46" s="58">
        <v>627381.31000000006</v>
      </c>
      <c r="HI46" s="58">
        <v>3154558.6799999997</v>
      </c>
      <c r="HJ46" s="58">
        <v>637840.95000000007</v>
      </c>
      <c r="HK46" s="58">
        <v>3846264.25</v>
      </c>
      <c r="HL46" s="58">
        <v>502841.45</v>
      </c>
      <c r="HM46" s="58">
        <v>358548.06</v>
      </c>
      <c r="HN46" s="58">
        <v>7093964.6600000001</v>
      </c>
      <c r="HO46" s="58">
        <v>1216018.6399999999</v>
      </c>
      <c r="HP46" s="58">
        <v>3036619.9</v>
      </c>
      <c r="HQ46" s="58">
        <v>1258744.3700000001</v>
      </c>
      <c r="HR46" s="58">
        <v>1418236.24</v>
      </c>
      <c r="HS46" s="58">
        <v>22444475.489999998</v>
      </c>
      <c r="HT46" s="58">
        <v>1433777.26</v>
      </c>
      <c r="HU46" s="58">
        <v>1038754.25</v>
      </c>
      <c r="HV46" s="58">
        <v>864504.34</v>
      </c>
      <c r="HW46" s="58">
        <v>1127350.27</v>
      </c>
      <c r="HX46" s="58">
        <v>379187.53</v>
      </c>
      <c r="HY46" s="58">
        <v>116182.37</v>
      </c>
      <c r="HZ46" s="58">
        <v>3750139.89</v>
      </c>
      <c r="IA46" s="58">
        <v>280419</v>
      </c>
      <c r="IB46" s="58">
        <v>67978.34</v>
      </c>
      <c r="IC46" s="58">
        <v>103315.25</v>
      </c>
      <c r="ID46" s="58">
        <v>943792.36</v>
      </c>
      <c r="IE46" s="58">
        <v>1304386.8999999999</v>
      </c>
      <c r="IF46" s="58">
        <v>87247.78</v>
      </c>
      <c r="IG46" s="58">
        <v>203876.09</v>
      </c>
      <c r="IH46" s="58">
        <v>1938637.1999999997</v>
      </c>
      <c r="II46" s="58">
        <f>451541.48+45255.57</f>
        <v>496797.05</v>
      </c>
      <c r="IJ46" s="58">
        <f>1116004.55+857.52</f>
        <v>1116862.07</v>
      </c>
      <c r="IK46" s="58">
        <v>930570.5</v>
      </c>
      <c r="IL46" s="427">
        <v>1019316.47</v>
      </c>
      <c r="IM46" s="58">
        <v>8472423.2599999998</v>
      </c>
      <c r="IN46" s="58">
        <v>484578.03</v>
      </c>
      <c r="IO46" s="58">
        <v>537627.61</v>
      </c>
      <c r="IP46" s="58">
        <v>745844.74</v>
      </c>
      <c r="IQ46" s="58">
        <v>8120586.4399999995</v>
      </c>
      <c r="IR46" s="58">
        <v>318925.66000000003</v>
      </c>
      <c r="IS46" s="58">
        <v>1605705.01</v>
      </c>
      <c r="IT46" s="58">
        <v>756468.08</v>
      </c>
      <c r="IU46" s="58">
        <v>942455.71</v>
      </c>
      <c r="IV46" s="58">
        <v>5355250.4799999995</v>
      </c>
      <c r="IW46" s="4">
        <f t="shared" si="15"/>
        <v>611783182.58999991</v>
      </c>
      <c r="IX46" s="7"/>
      <c r="IY46" s="7"/>
      <c r="IZ46" s="7"/>
      <c r="JA46" s="7"/>
      <c r="JB46" s="7"/>
      <c r="JC46" s="7"/>
      <c r="JD46" s="7"/>
      <c r="JE46" s="7"/>
      <c r="JF46" s="7"/>
      <c r="JH46" s="4"/>
      <c r="JI46" s="4">
        <f>SUM(C46:JH46)</f>
        <v>1226729857.8099999</v>
      </c>
    </row>
    <row r="47" spans="1:269" ht="14.1" customHeight="1">
      <c r="A47" s="4" t="s">
        <v>45</v>
      </c>
      <c r="B47" s="4"/>
      <c r="C47" s="189">
        <v>23422.13</v>
      </c>
      <c r="D47" s="4">
        <v>11087.4</v>
      </c>
      <c r="E47" s="4">
        <v>13610.15</v>
      </c>
      <c r="F47" s="4">
        <v>5075.66</v>
      </c>
      <c r="G47" s="4">
        <v>13185.34</v>
      </c>
      <c r="H47" s="401">
        <v>2743141.8899999997</v>
      </c>
      <c r="I47" s="4">
        <v>58194.45</v>
      </c>
      <c r="J47" s="4">
        <v>5271.37</v>
      </c>
      <c r="K47" s="4">
        <v>9247.64</v>
      </c>
      <c r="L47" s="4">
        <v>6589.15</v>
      </c>
      <c r="M47" s="238">
        <v>57643260.780000001</v>
      </c>
      <c r="N47" s="4">
        <v>29457.649999999998</v>
      </c>
      <c r="O47" s="4">
        <v>384194.88</v>
      </c>
      <c r="P47" s="4">
        <v>90295.2</v>
      </c>
      <c r="Q47" s="401">
        <v>3126985.45</v>
      </c>
      <c r="R47" s="4">
        <v>20524.379999999997</v>
      </c>
      <c r="S47" s="4">
        <v>70683.39</v>
      </c>
      <c r="T47" s="4">
        <v>87257.63</v>
      </c>
      <c r="U47" s="4">
        <v>30308.300000000003</v>
      </c>
      <c r="V47" s="4">
        <f>2900347.95+4573.53</f>
        <v>2904921.48</v>
      </c>
      <c r="W47" s="4">
        <v>27443.81</v>
      </c>
      <c r="X47" s="4">
        <v>10785.89</v>
      </c>
      <c r="Y47" s="4">
        <v>8710.9000000000015</v>
      </c>
      <c r="Z47" s="4">
        <v>3287.79</v>
      </c>
      <c r="AA47" s="401">
        <v>2896622.73</v>
      </c>
      <c r="AB47" s="4">
        <v>11881.859999999999</v>
      </c>
      <c r="AC47" s="4">
        <v>64255.46</v>
      </c>
      <c r="AD47" s="4">
        <v>11965.68</v>
      </c>
      <c r="AE47" s="4">
        <v>23492.32</v>
      </c>
      <c r="AF47" s="4">
        <v>63558.540000000008</v>
      </c>
      <c r="AG47" s="413">
        <v>55449056.049999997</v>
      </c>
      <c r="AH47" s="4">
        <v>107296.51</v>
      </c>
      <c r="AI47" s="4">
        <v>10441.900000000001</v>
      </c>
      <c r="AJ47" s="4">
        <v>114394.72</v>
      </c>
      <c r="AK47" s="416">
        <v>3107181.39</v>
      </c>
      <c r="AL47" s="4">
        <v>249345.71</v>
      </c>
      <c r="AM47" s="4">
        <v>50842.2</v>
      </c>
      <c r="AN47" s="4">
        <v>86915.44</v>
      </c>
      <c r="AO47" s="577">
        <v>44702.09</v>
      </c>
      <c r="AP47" s="4">
        <v>22748.97</v>
      </c>
      <c r="AQ47" s="4">
        <v>13036.710000000001</v>
      </c>
      <c r="AR47" s="4">
        <v>10499.23</v>
      </c>
      <c r="AS47" s="4">
        <v>40628.89</v>
      </c>
      <c r="AT47" s="4">
        <v>-4917.5200000000004</v>
      </c>
      <c r="AU47" s="401">
        <v>2284195.9899999998</v>
      </c>
      <c r="AV47" s="4">
        <v>4753.72</v>
      </c>
      <c r="AW47" s="4">
        <v>53119.48</v>
      </c>
      <c r="AX47" s="4">
        <v>15176.09</v>
      </c>
      <c r="AY47" s="4">
        <v>1987.29</v>
      </c>
      <c r="AZ47" s="4">
        <v>13126.22</v>
      </c>
      <c r="BA47" s="4">
        <v>3580.52</v>
      </c>
      <c r="BB47" s="4">
        <v>0</v>
      </c>
      <c r="BC47" s="4">
        <v>58.28</v>
      </c>
      <c r="BD47" s="402">
        <v>55352797.789999999</v>
      </c>
      <c r="BE47" s="627">
        <v>3068205.2800000003</v>
      </c>
      <c r="BF47" s="4">
        <v>50519.88</v>
      </c>
      <c r="BG47" s="4">
        <v>473657.61</v>
      </c>
      <c r="BH47" s="4">
        <v>94072.18</v>
      </c>
      <c r="BI47" s="4">
        <v>21356.22</v>
      </c>
      <c r="BJ47" s="4">
        <v>31759.47</v>
      </c>
      <c r="BK47" s="4">
        <v>12906.63</v>
      </c>
      <c r="BL47" s="4">
        <v>4164.78</v>
      </c>
      <c r="BM47" s="4">
        <v>56998.420000000006</v>
      </c>
      <c r="BN47" s="4">
        <v>2054.34</v>
      </c>
      <c r="BO47" s="401">
        <v>3368020.1300000004</v>
      </c>
      <c r="BP47" s="4">
        <v>59715.74</v>
      </c>
      <c r="BQ47" s="4">
        <v>22019.119999999999</v>
      </c>
      <c r="BR47" s="4">
        <v>5936.55</v>
      </c>
      <c r="BS47" s="4">
        <v>12872.59</v>
      </c>
      <c r="BT47" s="4">
        <v>3519.35</v>
      </c>
      <c r="BU47" s="4">
        <v>296.58999999999997</v>
      </c>
      <c r="BV47" s="4">
        <v>664.81</v>
      </c>
      <c r="BW47" s="4">
        <v>1260.23</v>
      </c>
      <c r="BX47" s="492">
        <v>68.28</v>
      </c>
      <c r="BY47" s="415">
        <v>60379489.789999999</v>
      </c>
      <c r="BZ47" s="4">
        <v>81684.36</v>
      </c>
      <c r="CA47" s="4">
        <v>441072.07</v>
      </c>
      <c r="CB47" s="4">
        <v>139667.63</v>
      </c>
      <c r="CC47" s="4">
        <v>39785.9</v>
      </c>
      <c r="CD47" s="4">
        <v>39766.36</v>
      </c>
      <c r="CE47" s="4">
        <v>15575.530000000002</v>
      </c>
      <c r="CF47" s="4">
        <v>2600.5100000000002</v>
      </c>
      <c r="CG47" s="4">
        <v>1564882.48</v>
      </c>
      <c r="CH47" s="4">
        <v>22169.59</v>
      </c>
      <c r="CI47" s="401">
        <v>3075492.22</v>
      </c>
      <c r="CJ47" s="4">
        <v>24899.25</v>
      </c>
      <c r="CK47" s="4">
        <v>84882.48</v>
      </c>
      <c r="CL47" s="4">
        <v>6057.6319999999996</v>
      </c>
      <c r="CM47" s="4">
        <v>18662.509999999998</v>
      </c>
      <c r="CN47" s="4">
        <v>3031.68</v>
      </c>
      <c r="CO47" s="4">
        <v>536.88</v>
      </c>
      <c r="CP47" s="4">
        <v>9657.58</v>
      </c>
      <c r="CQ47" s="4">
        <v>3791.17</v>
      </c>
      <c r="CR47" s="401">
        <v>2662447.35</v>
      </c>
      <c r="CS47" s="4">
        <v>61489.799999999996</v>
      </c>
      <c r="CT47" s="402">
        <v>54834242.25</v>
      </c>
      <c r="CU47" s="4">
        <v>116726.59</v>
      </c>
      <c r="CV47" s="4">
        <v>271221.95</v>
      </c>
      <c r="CW47" s="4">
        <v>7829.66</v>
      </c>
      <c r="CX47" s="4">
        <v>70411.64</v>
      </c>
      <c r="CY47" s="4">
        <v>154002.67000000001</v>
      </c>
      <c r="CZ47" s="4">
        <v>36824.519999999997</v>
      </c>
      <c r="DA47" s="4">
        <v>23586.1</v>
      </c>
      <c r="DB47" s="401">
        <v>1781547.35</v>
      </c>
      <c r="DC47" s="4">
        <v>270686.36</v>
      </c>
      <c r="DD47" s="4">
        <v>81388.67</v>
      </c>
      <c r="DE47" s="4">
        <v>9684.4</v>
      </c>
      <c r="DF47" s="4">
        <v>4761.84</v>
      </c>
      <c r="DG47" s="4">
        <v>9773.7999999999993</v>
      </c>
      <c r="DH47" s="4">
        <v>9847.5499999999993</v>
      </c>
      <c r="DI47" s="4">
        <v>753.96</v>
      </c>
      <c r="DJ47" s="4">
        <v>37.36</v>
      </c>
      <c r="DK47" s="401">
        <v>1605888.17</v>
      </c>
      <c r="DL47" s="4">
        <v>41997.13</v>
      </c>
      <c r="DM47" s="4">
        <v>21309.52</v>
      </c>
      <c r="DN47" s="4">
        <v>24515.17</v>
      </c>
      <c r="DO47" s="402">
        <v>56780764.920000002</v>
      </c>
      <c r="DP47" s="4">
        <v>117408.89</v>
      </c>
      <c r="DQ47" s="4">
        <v>253709.6</v>
      </c>
      <c r="DR47" s="4">
        <v>17451.79</v>
      </c>
      <c r="DS47" s="4">
        <v>34342.17</v>
      </c>
      <c r="DT47" s="4">
        <v>148400.44999999998</v>
      </c>
      <c r="DU47" s="401">
        <v>1906025.54</v>
      </c>
      <c r="DV47" s="4">
        <v>106398.62</v>
      </c>
      <c r="DW47" s="4">
        <v>59137.3</v>
      </c>
      <c r="DX47" s="4">
        <v>23812.86</v>
      </c>
      <c r="DY47" s="4">
        <v>25338.21</v>
      </c>
      <c r="DZ47" s="4">
        <v>97717.55</v>
      </c>
      <c r="EA47" s="4">
        <v>7417.05</v>
      </c>
      <c r="EB47" s="4">
        <v>7125.93</v>
      </c>
      <c r="EC47" s="4">
        <v>8994.61</v>
      </c>
      <c r="ED47" s="4">
        <v>14059.35</v>
      </c>
      <c r="EE47" s="416">
        <v>1669818.61</v>
      </c>
      <c r="EF47" s="4">
        <v>48594.45</v>
      </c>
      <c r="EG47" s="4">
        <v>16556.16</v>
      </c>
      <c r="EH47" s="4">
        <v>4311.9399999999996</v>
      </c>
      <c r="EI47" s="4">
        <v>17969.39</v>
      </c>
      <c r="EJ47" s="402">
        <v>56620442.710000001</v>
      </c>
      <c r="EK47" s="4">
        <v>264828.40999999997</v>
      </c>
      <c r="EL47" s="4">
        <v>200185.12</v>
      </c>
      <c r="EM47" s="4">
        <v>132615.56</v>
      </c>
      <c r="EN47" s="4">
        <v>26575.31</v>
      </c>
      <c r="EO47" s="416">
        <v>1771859.0899999999</v>
      </c>
      <c r="EP47" s="4">
        <v>14649.669999999998</v>
      </c>
      <c r="EQ47" s="4">
        <v>45181.84</v>
      </c>
      <c r="ER47" s="4">
        <v>275319.14</v>
      </c>
      <c r="ES47" s="4">
        <v>169917.91</v>
      </c>
      <c r="ET47" s="4">
        <v>142027.16</v>
      </c>
      <c r="EU47" s="4">
        <v>131435.21</v>
      </c>
      <c r="EV47" s="4">
        <v>108357.51</v>
      </c>
      <c r="EW47" s="4">
        <v>79398.709999999992</v>
      </c>
      <c r="EX47" s="4">
        <v>99706.150000000009</v>
      </c>
      <c r="EY47" s="401">
        <v>2563826.2800000003</v>
      </c>
      <c r="EZ47" s="4">
        <v>25095.759999999998</v>
      </c>
      <c r="FA47" s="4">
        <v>66597.52</v>
      </c>
      <c r="FB47" s="4">
        <v>7116.0300000000007</v>
      </c>
      <c r="FC47" s="4">
        <v>19490.760000000002</v>
      </c>
      <c r="FD47" s="4">
        <v>12006.84</v>
      </c>
      <c r="FE47" s="4">
        <v>13215.07</v>
      </c>
      <c r="FF47" s="402">
        <v>56609470.280000001</v>
      </c>
      <c r="FG47" s="4">
        <v>94631.42</v>
      </c>
      <c r="FH47" s="401">
        <v>2722246.9699999997</v>
      </c>
      <c r="FI47" s="4">
        <v>338987.11000000004</v>
      </c>
      <c r="FJ47" s="4">
        <v>275671.45</v>
      </c>
      <c r="FK47" s="4">
        <v>269871</v>
      </c>
      <c r="FL47" s="4">
        <v>159232.21000000002</v>
      </c>
      <c r="FM47" s="4">
        <v>43822.229999999996</v>
      </c>
      <c r="FN47" s="4">
        <v>53388.639999999999</v>
      </c>
      <c r="FO47" s="4">
        <v>32154.99</v>
      </c>
      <c r="FP47" s="4">
        <v>24246.95</v>
      </c>
      <c r="FQ47" s="4">
        <v>13963.78</v>
      </c>
      <c r="FR47" s="416">
        <v>2914000.8099999996</v>
      </c>
      <c r="FS47" s="4">
        <v>25511.81</v>
      </c>
      <c r="FT47" s="4">
        <v>109534.5</v>
      </c>
      <c r="FU47" s="4">
        <v>10488.33</v>
      </c>
      <c r="FV47" s="4">
        <v>9810.2999999999993</v>
      </c>
      <c r="FW47" s="4">
        <v>10456.11</v>
      </c>
      <c r="FX47" s="4">
        <v>2022.02</v>
      </c>
      <c r="FY47" s="4">
        <v>3478.67</v>
      </c>
      <c r="FZ47" s="4">
        <v>1588.43</v>
      </c>
      <c r="GA47" s="491">
        <v>56944641.719999999</v>
      </c>
      <c r="GB47" s="4">
        <v>89013.11</v>
      </c>
      <c r="GC47" s="4">
        <v>219139.5</v>
      </c>
      <c r="GD47" s="4">
        <v>438268.32</v>
      </c>
      <c r="GE47" s="4">
        <v>47328.31</v>
      </c>
      <c r="GF47" s="4">
        <v>23725.18</v>
      </c>
      <c r="GG47" s="4">
        <v>13326.41</v>
      </c>
      <c r="GH47" s="4">
        <v>11691.47</v>
      </c>
      <c r="GI47" s="4">
        <v>31772.43</v>
      </c>
      <c r="GJ47" s="4">
        <v>23245.19</v>
      </c>
      <c r="GK47" s="416">
        <v>3299641.87</v>
      </c>
      <c r="GL47" s="4">
        <v>24110.16</v>
      </c>
      <c r="GM47" s="4">
        <v>28267.4</v>
      </c>
      <c r="GN47" s="4">
        <v>8820.4599999999991</v>
      </c>
      <c r="GO47" s="4">
        <v>5529.23</v>
      </c>
      <c r="GP47" s="4">
        <v>8509.33</v>
      </c>
      <c r="GQ47" s="4">
        <v>10661.61</v>
      </c>
      <c r="GR47" s="4">
        <v>3603.21</v>
      </c>
      <c r="GS47" s="4">
        <v>3539.68</v>
      </c>
      <c r="GT47" s="492">
        <v>3020585.76</v>
      </c>
      <c r="GU47" s="491">
        <v>55872140.599999994</v>
      </c>
      <c r="GV47" s="4">
        <v>140032.26</v>
      </c>
      <c r="GW47" s="4">
        <v>124914.26</v>
      </c>
      <c r="GX47" s="4">
        <v>133835.06</v>
      </c>
      <c r="GY47" s="4">
        <v>26346.47</v>
      </c>
      <c r="GZ47" s="4">
        <v>207440.64000000001</v>
      </c>
      <c r="HA47" s="414">
        <v>94156.800000000003</v>
      </c>
      <c r="HB47" s="4">
        <v>141759.01</v>
      </c>
      <c r="HC47" s="416">
        <v>3125569.79</v>
      </c>
      <c r="HD47" s="4">
        <v>24763.64</v>
      </c>
      <c r="HE47" s="4">
        <v>26766.93</v>
      </c>
      <c r="HF47" s="4">
        <v>15897.64</v>
      </c>
      <c r="HG47" s="4">
        <v>0</v>
      </c>
      <c r="HH47" s="4">
        <v>3495.52</v>
      </c>
      <c r="HI47" s="4">
        <v>2352.5700000000002</v>
      </c>
      <c r="HJ47" s="4">
        <v>3975.44</v>
      </c>
      <c r="HK47" s="4">
        <v>8501.82</v>
      </c>
      <c r="HL47" s="4">
        <v>20037.87</v>
      </c>
      <c r="HM47" s="401">
        <v>2338742.06</v>
      </c>
      <c r="HN47" s="4">
        <v>11242.009999999998</v>
      </c>
      <c r="HO47" s="4">
        <v>11212.880000000001</v>
      </c>
      <c r="HP47" s="238">
        <v>61641710.329999998</v>
      </c>
      <c r="HQ47" s="4">
        <v>115578.11</v>
      </c>
      <c r="HR47" s="4">
        <v>121088.11</v>
      </c>
      <c r="HS47" s="4">
        <v>236189.06</v>
      </c>
      <c r="HT47" s="4">
        <v>102375.52</v>
      </c>
      <c r="HU47" s="4">
        <v>2139709.33</v>
      </c>
      <c r="HV47" s="416">
        <v>3087711.32</v>
      </c>
      <c r="HW47" s="4">
        <v>10847.89</v>
      </c>
      <c r="HX47" s="4">
        <v>14596.27</v>
      </c>
      <c r="HY47" s="4">
        <v>16505.189999999999</v>
      </c>
      <c r="HZ47" s="4">
        <v>10259.950000000001</v>
      </c>
      <c r="IA47" s="4">
        <v>7765.28</v>
      </c>
      <c r="IB47" s="4">
        <v>7515.93</v>
      </c>
      <c r="IC47" s="4">
        <v>2423.91</v>
      </c>
      <c r="ID47" s="4">
        <v>8430.06</v>
      </c>
      <c r="IE47" s="4">
        <v>3912.58</v>
      </c>
      <c r="IF47" s="4">
        <v>0</v>
      </c>
      <c r="IG47" s="416">
        <v>1706847.07</v>
      </c>
      <c r="IH47" s="4">
        <v>11740.019999999999</v>
      </c>
      <c r="II47" s="4">
        <v>11054.78</v>
      </c>
      <c r="IJ47" s="4">
        <v>2423.5500000000002</v>
      </c>
      <c r="IK47" s="4">
        <v>9035.0400000000009</v>
      </c>
      <c r="IL47" s="402">
        <v>55027409.409999996</v>
      </c>
      <c r="IM47" s="4">
        <v>108243.35</v>
      </c>
      <c r="IN47" s="4">
        <v>134287.13</v>
      </c>
      <c r="IO47" s="4">
        <v>12694.03</v>
      </c>
      <c r="IP47" s="416">
        <v>2920174.52</v>
      </c>
      <c r="IQ47" s="4">
        <v>65110.23</v>
      </c>
      <c r="IR47" s="4">
        <v>38358.6</v>
      </c>
      <c r="IS47" s="4">
        <v>185062.44</v>
      </c>
      <c r="IT47" s="4">
        <v>20397.84</v>
      </c>
      <c r="IU47" s="4">
        <v>9330.14</v>
      </c>
      <c r="IV47" s="4">
        <v>12587.21</v>
      </c>
      <c r="IW47" s="4">
        <f t="shared" si="15"/>
        <v>765020771.45200002</v>
      </c>
      <c r="IX47" s="7"/>
      <c r="IY47" s="7"/>
      <c r="IZ47" s="7"/>
      <c r="JA47" s="7"/>
      <c r="JB47" s="7"/>
      <c r="JC47" s="7"/>
      <c r="JD47" s="7"/>
      <c r="JE47" s="7"/>
      <c r="JF47" s="7"/>
      <c r="JH47" s="4"/>
      <c r="JI47" s="4">
        <f>SUM(C47:JH47)</f>
        <v>1530064965.0339999</v>
      </c>
    </row>
    <row r="48" spans="1:269" ht="14.1" customHeight="1">
      <c r="A48" s="59" t="s">
        <v>43</v>
      </c>
      <c r="B48" s="59"/>
      <c r="C48" s="255">
        <v>38945.18</v>
      </c>
      <c r="D48" s="59">
        <v>32485.29</v>
      </c>
      <c r="E48" s="59">
        <v>9604.48</v>
      </c>
      <c r="F48" s="59">
        <v>6618.97</v>
      </c>
      <c r="G48" s="59">
        <v>12358.26</v>
      </c>
      <c r="H48" s="59">
        <v>17278.990000000002</v>
      </c>
      <c r="I48" s="59">
        <v>33635.67</v>
      </c>
      <c r="J48" s="59">
        <v>28288.04</v>
      </c>
      <c r="K48" s="59">
        <v>24389.57</v>
      </c>
      <c r="L48" s="59">
        <v>10654.28</v>
      </c>
      <c r="M48" s="255">
        <v>9145.2800000000007</v>
      </c>
      <c r="N48" s="59">
        <v>26811.93</v>
      </c>
      <c r="O48" s="59">
        <v>31908.09</v>
      </c>
      <c r="P48" s="59">
        <v>5635.46</v>
      </c>
      <c r="Q48" s="59">
        <v>3823.54</v>
      </c>
      <c r="R48" s="59">
        <v>13527.65</v>
      </c>
      <c r="S48" s="59">
        <v>22909.58</v>
      </c>
      <c r="T48" s="58">
        <v>14370.8</v>
      </c>
      <c r="U48" s="58">
        <v>26323.119999999999</v>
      </c>
      <c r="V48" s="58">
        <v>19338.36</v>
      </c>
      <c r="W48" s="58">
        <v>20655.89</v>
      </c>
      <c r="X48" s="58">
        <v>11194.56</v>
      </c>
      <c r="Y48" s="58">
        <v>37630.28</v>
      </c>
      <c r="Z48" s="58">
        <v>2247.2600000000002</v>
      </c>
      <c r="AA48" s="58">
        <v>235.59</v>
      </c>
      <c r="AB48" s="58">
        <v>2739.38</v>
      </c>
      <c r="AC48" s="58">
        <v>17152.88</v>
      </c>
      <c r="AD48" s="58">
        <v>4896.21</v>
      </c>
      <c r="AE48" s="58">
        <v>11639.51</v>
      </c>
      <c r="AF48" s="58">
        <v>19922.509999999998</v>
      </c>
      <c r="AG48" s="412">
        <v>19888.8</v>
      </c>
      <c r="AH48" s="58">
        <v>15252.64</v>
      </c>
      <c r="AI48" s="58">
        <v>8027.46</v>
      </c>
      <c r="AJ48" s="58">
        <v>6744.35</v>
      </c>
      <c r="AK48" s="58">
        <v>7695.45</v>
      </c>
      <c r="AL48" s="58">
        <v>24862.12</v>
      </c>
      <c r="AM48" s="58">
        <v>5955.5</v>
      </c>
      <c r="AN48" s="58">
        <v>8332.4500000000007</v>
      </c>
      <c r="AO48" s="569">
        <v>9702.5400000000009</v>
      </c>
      <c r="AP48" s="58">
        <v>10125.6</v>
      </c>
      <c r="AQ48" s="58">
        <v>3131.4</v>
      </c>
      <c r="AR48" s="58">
        <v>8387.4699999999993</v>
      </c>
      <c r="AS48" s="58">
        <v>15580.36</v>
      </c>
      <c r="AT48" s="58">
        <v>2733.83</v>
      </c>
      <c r="AU48" s="58">
        <v>11561.51</v>
      </c>
      <c r="AV48" s="58">
        <v>4376.03</v>
      </c>
      <c r="AW48" s="58">
        <v>10490.52</v>
      </c>
      <c r="AX48" s="58">
        <v>1682.59</v>
      </c>
      <c r="AY48" s="58">
        <v>89.56</v>
      </c>
      <c r="AZ48" s="58">
        <v>336</v>
      </c>
      <c r="BA48" s="58">
        <v>10940.34</v>
      </c>
      <c r="BB48" s="58">
        <v>6460.79</v>
      </c>
      <c r="BC48" s="58">
        <v>11598.19</v>
      </c>
      <c r="BD48" s="225">
        <v>11138.51</v>
      </c>
      <c r="BE48" s="58">
        <v>22869.759999999998</v>
      </c>
      <c r="BF48" s="58">
        <v>30990.98</v>
      </c>
      <c r="BG48" s="58">
        <v>48982.92</v>
      </c>
      <c r="BH48" s="58">
        <v>41288.36</v>
      </c>
      <c r="BI48" s="58">
        <v>21230.6</v>
      </c>
      <c r="BJ48" s="58">
        <v>9151.7800000000007</v>
      </c>
      <c r="BK48" s="58">
        <v>20649.98</v>
      </c>
      <c r="BL48" s="58">
        <v>20946.419999999998</v>
      </c>
      <c r="BM48" s="58">
        <v>6232.61</v>
      </c>
      <c r="BN48" s="58">
        <v>7041.54</v>
      </c>
      <c r="BO48" s="58">
        <v>12716.81</v>
      </c>
      <c r="BP48" s="58">
        <v>16735.75</v>
      </c>
      <c r="BQ48" s="58">
        <v>3184.42</v>
      </c>
      <c r="BR48" s="58">
        <v>19760.75</v>
      </c>
      <c r="BS48" s="58">
        <v>4072.18</v>
      </c>
      <c r="BT48" s="58">
        <v>22912.51</v>
      </c>
      <c r="BU48" s="58">
        <v>18656.97</v>
      </c>
      <c r="BV48" s="58">
        <v>11850.44</v>
      </c>
      <c r="BW48" s="58">
        <v>26742.5</v>
      </c>
      <c r="BX48" s="58">
        <v>4161.75</v>
      </c>
      <c r="BY48" s="225">
        <v>8567.31</v>
      </c>
      <c r="BZ48" s="58">
        <v>6285.69</v>
      </c>
      <c r="CA48" s="58">
        <v>10856.46</v>
      </c>
      <c r="CB48" s="58">
        <v>2205.38</v>
      </c>
      <c r="CC48" s="58">
        <v>3412.81</v>
      </c>
      <c r="CD48" s="58">
        <v>4850.37</v>
      </c>
      <c r="CE48" s="58">
        <v>27389.579999999998</v>
      </c>
      <c r="CF48" s="58">
        <v>8542.25</v>
      </c>
      <c r="CG48" s="58">
        <v>9105.76</v>
      </c>
      <c r="CH48" s="58">
        <v>5682.7</v>
      </c>
      <c r="CI48" s="58">
        <v>12625.95</v>
      </c>
      <c r="CJ48" s="58">
        <v>33422.82</v>
      </c>
      <c r="CK48" s="58">
        <v>6828.36</v>
      </c>
      <c r="CL48" s="58">
        <v>10016.11</v>
      </c>
      <c r="CM48" s="58">
        <v>1953.43</v>
      </c>
      <c r="CN48" s="58">
        <v>6015.35</v>
      </c>
      <c r="CO48" s="58">
        <v>27905.9</v>
      </c>
      <c r="CP48" s="58">
        <v>9469.2000000000007</v>
      </c>
      <c r="CQ48" s="58">
        <v>3764.75</v>
      </c>
      <c r="CR48" s="58">
        <v>4863.55</v>
      </c>
      <c r="CS48" s="58">
        <v>52505.67</v>
      </c>
      <c r="CT48" s="412">
        <v>36487.019999999997</v>
      </c>
      <c r="CU48" s="58">
        <v>15210.81</v>
      </c>
      <c r="CV48" s="58">
        <v>10107.370000000001</v>
      </c>
      <c r="CW48" s="58">
        <v>11675.21</v>
      </c>
      <c r="CX48" s="58">
        <v>15303.46</v>
      </c>
      <c r="CY48" s="58">
        <v>1926.32</v>
      </c>
      <c r="CZ48" s="58">
        <v>1873.38</v>
      </c>
      <c r="DA48" s="58">
        <v>4151.8999999999996</v>
      </c>
      <c r="DB48" s="58">
        <v>2442.39</v>
      </c>
      <c r="DC48" s="58">
        <v>19697.91</v>
      </c>
      <c r="DD48" s="58">
        <v>15260.18</v>
      </c>
      <c r="DE48" s="58">
        <v>3634.81</v>
      </c>
      <c r="DF48" s="58">
        <v>508.25</v>
      </c>
      <c r="DG48" s="58">
        <v>24254.85</v>
      </c>
      <c r="DH48" s="58">
        <v>7951.01</v>
      </c>
      <c r="DI48" s="58">
        <v>6247.65</v>
      </c>
      <c r="DJ48" s="58">
        <v>3444.2</v>
      </c>
      <c r="DK48" s="58">
        <v>4296.22</v>
      </c>
      <c r="DL48" s="58">
        <v>10634.56</v>
      </c>
      <c r="DM48" s="58">
        <v>17790.490000000002</v>
      </c>
      <c r="DN48" s="58">
        <v>9515.7099999999991</v>
      </c>
      <c r="DO48" s="225">
        <v>44552.51</v>
      </c>
      <c r="DP48" s="58">
        <v>4915.12</v>
      </c>
      <c r="DQ48" s="58">
        <v>54477.46</v>
      </c>
      <c r="DR48" s="58">
        <v>9450.61</v>
      </c>
      <c r="DS48" s="58">
        <v>13961.97</v>
      </c>
      <c r="DT48" s="58">
        <v>18420.53</v>
      </c>
      <c r="DU48" s="58">
        <v>8066.23</v>
      </c>
      <c r="DV48" s="58">
        <v>22099.360000000001</v>
      </c>
      <c r="DW48" s="58">
        <v>20580.3</v>
      </c>
      <c r="DX48" s="58">
        <v>23195.95</v>
      </c>
      <c r="DY48" s="58">
        <v>4512.1899999999996</v>
      </c>
      <c r="DZ48" s="58">
        <v>995.39</v>
      </c>
      <c r="EA48" s="58">
        <v>736.07</v>
      </c>
      <c r="EB48" s="58">
        <v>466</v>
      </c>
      <c r="EC48" s="58">
        <v>30360.66</v>
      </c>
      <c r="ED48" s="58">
        <v>31658.77</v>
      </c>
      <c r="EE48" s="58">
        <v>29994.45</v>
      </c>
      <c r="EF48" s="58">
        <v>6873.94</v>
      </c>
      <c r="EG48" s="58">
        <v>2342.39</v>
      </c>
      <c r="EH48" s="58">
        <v>11667.4</v>
      </c>
      <c r="EI48" s="58">
        <v>1201.8</v>
      </c>
      <c r="EJ48" s="225">
        <v>3957.02</v>
      </c>
      <c r="EK48" s="59">
        <v>24515.09</v>
      </c>
      <c r="EL48" s="58">
        <v>9612.7999999999993</v>
      </c>
      <c r="EM48" s="58">
        <v>2194</v>
      </c>
      <c r="EN48" s="58">
        <v>4356.1499999999996</v>
      </c>
      <c r="EO48" s="58">
        <v>17022.63</v>
      </c>
      <c r="EP48" s="58">
        <v>31608.83</v>
      </c>
      <c r="EQ48" s="58">
        <v>17831.599999999999</v>
      </c>
      <c r="ER48" s="58">
        <v>4102.2</v>
      </c>
      <c r="ES48" s="58">
        <v>4985.8599999999997</v>
      </c>
      <c r="ET48" s="58">
        <v>5137.3500000000004</v>
      </c>
      <c r="EU48" s="58">
        <v>33430.19</v>
      </c>
      <c r="EV48" s="58">
        <v>12435.22</v>
      </c>
      <c r="EW48" s="58">
        <v>27529.14</v>
      </c>
      <c r="EX48" s="58">
        <v>11703.89</v>
      </c>
      <c r="EY48" s="58">
        <v>15558.06</v>
      </c>
      <c r="EZ48" s="58">
        <v>66229.78</v>
      </c>
      <c r="FA48" s="58">
        <v>22080.25</v>
      </c>
      <c r="FB48" s="58">
        <v>20898.16</v>
      </c>
      <c r="FC48" s="58">
        <v>22324.51</v>
      </c>
      <c r="FD48" s="58">
        <v>19378.62</v>
      </c>
      <c r="FE48" s="58">
        <v>15123.48</v>
      </c>
      <c r="FF48" s="225">
        <v>2878.08</v>
      </c>
      <c r="FG48" s="58">
        <v>862.31</v>
      </c>
      <c r="FH48" s="58">
        <v>5936.45</v>
      </c>
      <c r="FI48" s="58">
        <v>58505.95</v>
      </c>
      <c r="FJ48" s="485">
        <v>9080.1</v>
      </c>
      <c r="FK48" s="58">
        <v>13395.76</v>
      </c>
      <c r="FL48" s="58">
        <v>10483.59</v>
      </c>
      <c r="FM48" s="58">
        <v>10675.16</v>
      </c>
      <c r="FN48" s="58">
        <v>11696.49</v>
      </c>
      <c r="FO48" s="58">
        <v>20366.45</v>
      </c>
      <c r="FP48" s="58">
        <v>12005.83</v>
      </c>
      <c r="FQ48" s="58">
        <v>3875.15</v>
      </c>
      <c r="FR48" s="58">
        <v>3834.72</v>
      </c>
      <c r="FS48" s="58">
        <v>12466.11</v>
      </c>
      <c r="FT48" s="58">
        <v>15157.65</v>
      </c>
      <c r="FU48" s="58">
        <v>27133.71</v>
      </c>
      <c r="FV48" s="58">
        <v>6999.26</v>
      </c>
      <c r="FW48" s="58">
        <v>10177.030000000001</v>
      </c>
      <c r="FX48" s="58">
        <v>24339.02</v>
      </c>
      <c r="FY48" s="58">
        <v>28211.23</v>
      </c>
      <c r="FZ48" s="58">
        <v>8020.46</v>
      </c>
      <c r="GA48" s="412">
        <v>6104.97</v>
      </c>
      <c r="GB48" s="58">
        <v>26461.38</v>
      </c>
      <c r="GC48" s="58">
        <v>12757.88</v>
      </c>
      <c r="GD48" s="58">
        <v>3645.48</v>
      </c>
      <c r="GE48" s="58">
        <v>950.07</v>
      </c>
      <c r="GF48" s="58">
        <v>3861.17</v>
      </c>
      <c r="GG48" s="58">
        <v>27903.55</v>
      </c>
      <c r="GH48" s="58">
        <v>24109.21</v>
      </c>
      <c r="GI48" s="58">
        <v>11693.050000000001</v>
      </c>
      <c r="GJ48" s="58">
        <v>13368.49</v>
      </c>
      <c r="GK48" s="58">
        <v>9106.67</v>
      </c>
      <c r="GL48" s="58">
        <v>27251.439999999999</v>
      </c>
      <c r="GM48" s="58">
        <v>6092.52</v>
      </c>
      <c r="GN48" s="58">
        <v>5950.43</v>
      </c>
      <c r="GO48" s="58">
        <v>329.38</v>
      </c>
      <c r="GP48" s="58">
        <v>7119.9</v>
      </c>
      <c r="GQ48" s="58">
        <v>20885.96</v>
      </c>
      <c r="GR48" s="58">
        <v>6645.71</v>
      </c>
      <c r="GS48" s="58">
        <v>14135.15</v>
      </c>
      <c r="GT48" s="58">
        <v>12805.13</v>
      </c>
      <c r="GU48" s="225">
        <v>23056.02</v>
      </c>
      <c r="GV48" s="58">
        <v>1882.81</v>
      </c>
      <c r="GW48" s="58">
        <v>6479.41</v>
      </c>
      <c r="GX48" s="58">
        <v>7900.98</v>
      </c>
      <c r="GY48" s="58">
        <v>14223.52</v>
      </c>
      <c r="GZ48" s="58">
        <v>9380.24</v>
      </c>
      <c r="HA48" s="58">
        <v>6250.81</v>
      </c>
      <c r="HB48" s="58">
        <v>287.06</v>
      </c>
      <c r="HC48" s="58">
        <v>30719.200000000001</v>
      </c>
      <c r="HD48" s="58">
        <v>30445.74</v>
      </c>
      <c r="HE48" s="58">
        <v>9754.84</v>
      </c>
      <c r="HF48" s="58">
        <v>6497.95</v>
      </c>
      <c r="HG48" s="58">
        <v>826.42</v>
      </c>
      <c r="HH48" s="58">
        <v>4747.3</v>
      </c>
      <c r="HI48" s="58">
        <v>24802.05</v>
      </c>
      <c r="HJ48" s="58">
        <v>5647.91</v>
      </c>
      <c r="HK48" s="58">
        <v>7266.06</v>
      </c>
      <c r="HL48" s="58">
        <v>6894.41</v>
      </c>
      <c r="HM48" s="58">
        <v>4864.7</v>
      </c>
      <c r="HN48" s="58">
        <v>3823.86</v>
      </c>
      <c r="HO48" s="58">
        <v>8973.7199999999993</v>
      </c>
      <c r="HP48" s="225">
        <v>7475.69</v>
      </c>
      <c r="HQ48" s="58">
        <v>19896.84</v>
      </c>
      <c r="HR48" s="58">
        <v>15035.22</v>
      </c>
      <c r="HS48" s="58">
        <v>4289.97</v>
      </c>
      <c r="HT48" s="58">
        <v>25659.55</v>
      </c>
      <c r="HU48" s="58">
        <v>4990.82</v>
      </c>
      <c r="HV48" s="58">
        <v>4497.68</v>
      </c>
      <c r="HW48" s="58">
        <v>27144.48</v>
      </c>
      <c r="HX48" s="58">
        <v>325.12</v>
      </c>
      <c r="HY48" s="58">
        <v>5669.92</v>
      </c>
      <c r="HZ48" s="58">
        <v>58341.77</v>
      </c>
      <c r="IA48" s="58">
        <v>14842.35</v>
      </c>
      <c r="IB48" s="58">
        <v>10909.54</v>
      </c>
      <c r="IC48" s="58">
        <v>7294.39</v>
      </c>
      <c r="ID48" s="58">
        <v>2547.52</v>
      </c>
      <c r="IE48" s="58">
        <v>1011.05</v>
      </c>
      <c r="IF48" s="58">
        <v>4002.26</v>
      </c>
      <c r="IG48" s="58">
        <v>16273.42</v>
      </c>
      <c r="IH48" s="58">
        <v>46441.77</v>
      </c>
      <c r="II48" s="58">
        <v>24231.94</v>
      </c>
      <c r="IJ48" s="58">
        <v>613.94000000000005</v>
      </c>
      <c r="IK48" s="58">
        <v>7840.86</v>
      </c>
      <c r="IL48" s="225">
        <v>48724.26</v>
      </c>
      <c r="IM48" s="58">
        <v>13573.86</v>
      </c>
      <c r="IN48" s="58">
        <v>17984.009999999998</v>
      </c>
      <c r="IO48" s="58">
        <v>10211.51</v>
      </c>
      <c r="IP48" s="58">
        <v>12180.26</v>
      </c>
      <c r="IQ48" s="58">
        <v>27903.85</v>
      </c>
      <c r="IR48" s="58">
        <v>30143.41</v>
      </c>
      <c r="IS48" s="58">
        <v>10539.16</v>
      </c>
      <c r="IT48" s="58">
        <v>1968.22</v>
      </c>
      <c r="IU48" s="58">
        <v>17067.13</v>
      </c>
      <c r="IV48" s="58">
        <v>3238.54</v>
      </c>
      <c r="IW48" s="4">
        <f t="shared" si="15"/>
        <v>3528794.8699999992</v>
      </c>
      <c r="IX48" s="7"/>
      <c r="IY48" s="7"/>
      <c r="IZ48" s="7"/>
      <c r="JA48" s="7"/>
      <c r="JB48" s="7"/>
      <c r="JC48" s="7"/>
      <c r="JD48" s="7"/>
      <c r="JE48" s="7"/>
      <c r="JF48" s="7"/>
      <c r="JH48" s="5"/>
      <c r="JI48" s="4">
        <f>SUM(C48:JH48)</f>
        <v>7096534.919999999</v>
      </c>
    </row>
    <row r="49" spans="1:269" ht="14.1" customHeight="1" thickBot="1">
      <c r="A49" s="44" t="s">
        <v>24</v>
      </c>
      <c r="B49" s="45"/>
      <c r="C49" s="66">
        <v>3332279.41</v>
      </c>
      <c r="D49" s="46">
        <f t="shared" ref="D49:BN49" si="16">SUM(D30:D48)</f>
        <v>2838366.5799999996</v>
      </c>
      <c r="E49" s="46">
        <f t="shared" si="16"/>
        <v>101594498.97000001</v>
      </c>
      <c r="F49" s="46">
        <f t="shared" si="16"/>
        <v>1640436.3399999999</v>
      </c>
      <c r="G49" s="46">
        <f t="shared" si="16"/>
        <v>111271693.23</v>
      </c>
      <c r="H49" s="46">
        <f t="shared" si="16"/>
        <v>20123200.639999997</v>
      </c>
      <c r="I49" s="46">
        <f t="shared" si="16"/>
        <v>2905785.0500000003</v>
      </c>
      <c r="J49" s="46">
        <f t="shared" si="16"/>
        <v>395208.68</v>
      </c>
      <c r="K49" s="46">
        <f t="shared" si="16"/>
        <v>2116836.23</v>
      </c>
      <c r="L49" s="46">
        <f t="shared" si="16"/>
        <v>2042788.8499999999</v>
      </c>
      <c r="M49" s="66">
        <f t="shared" si="16"/>
        <v>158550924.89000002</v>
      </c>
      <c r="N49" s="46">
        <f t="shared" si="16"/>
        <v>2145806.29</v>
      </c>
      <c r="O49" s="46">
        <f t="shared" si="16"/>
        <v>2201947.54</v>
      </c>
      <c r="P49" s="46">
        <f t="shared" si="16"/>
        <v>693061.24999999988</v>
      </c>
      <c r="Q49" s="46">
        <f t="shared" si="16"/>
        <v>4413556.22</v>
      </c>
      <c r="R49" s="46">
        <f t="shared" si="16"/>
        <v>3764343.7899999996</v>
      </c>
      <c r="S49" s="46">
        <f t="shared" si="16"/>
        <v>264578.27</v>
      </c>
      <c r="T49" s="46">
        <f t="shared" si="16"/>
        <v>1657292.5800000003</v>
      </c>
      <c r="U49" s="46">
        <f t="shared" si="16"/>
        <v>961096.25</v>
      </c>
      <c r="V49" s="46">
        <f t="shared" si="16"/>
        <v>5631861.4400000004</v>
      </c>
      <c r="W49" s="46">
        <f t="shared" si="16"/>
        <v>4701365.7399999993</v>
      </c>
      <c r="X49" s="46">
        <f t="shared" si="16"/>
        <v>856586.83000000019</v>
      </c>
      <c r="Y49" s="46">
        <f t="shared" si="16"/>
        <v>4365430.2100000009</v>
      </c>
      <c r="Z49" s="46">
        <f t="shared" si="16"/>
        <v>1120246.72</v>
      </c>
      <c r="AA49" s="46">
        <f t="shared" si="16"/>
        <v>20204311.350000001</v>
      </c>
      <c r="AB49" s="46">
        <f t="shared" si="16"/>
        <v>2806323.2099999995</v>
      </c>
      <c r="AC49" s="46">
        <f t="shared" si="16"/>
        <v>2514649.6</v>
      </c>
      <c r="AD49" s="46">
        <f t="shared" si="16"/>
        <v>4386906.2699999996</v>
      </c>
      <c r="AE49" s="46">
        <f t="shared" si="16"/>
        <v>1584281.5</v>
      </c>
      <c r="AF49" s="46">
        <f t="shared" si="16"/>
        <v>11328261.439999999</v>
      </c>
      <c r="AG49" s="66">
        <f t="shared" si="16"/>
        <v>61967980.059999995</v>
      </c>
      <c r="AH49" s="46">
        <f t="shared" si="16"/>
        <v>1518946.3199999998</v>
      </c>
      <c r="AI49" s="46">
        <f t="shared" si="16"/>
        <v>491569.97000000003</v>
      </c>
      <c r="AJ49" s="46">
        <f t="shared" si="16"/>
        <v>1899792.71</v>
      </c>
      <c r="AK49" s="46">
        <f t="shared" si="16"/>
        <v>4283637.04</v>
      </c>
      <c r="AL49" s="46">
        <f t="shared" si="16"/>
        <v>751773.57</v>
      </c>
      <c r="AM49" s="46">
        <f t="shared" si="16"/>
        <v>591320.71</v>
      </c>
      <c r="AN49" s="46">
        <f t="shared" si="16"/>
        <v>1040953.8500000001</v>
      </c>
      <c r="AO49" s="579">
        <f t="shared" si="16"/>
        <v>1119422.9000000001</v>
      </c>
      <c r="AP49" s="46">
        <f t="shared" si="16"/>
        <v>435891.51</v>
      </c>
      <c r="AQ49" s="46">
        <f t="shared" si="16"/>
        <v>3907667.11</v>
      </c>
      <c r="AR49" s="46">
        <f t="shared" si="16"/>
        <v>5100300.09</v>
      </c>
      <c r="AS49" s="46">
        <f t="shared" si="16"/>
        <v>3926930.62</v>
      </c>
      <c r="AT49" s="46">
        <f t="shared" si="16"/>
        <v>1539603.27</v>
      </c>
      <c r="AU49" s="46">
        <f t="shared" si="16"/>
        <v>3665942.4099999997</v>
      </c>
      <c r="AV49" s="46">
        <f t="shared" si="16"/>
        <v>2136117.8899999997</v>
      </c>
      <c r="AW49" s="46">
        <f t="shared" si="16"/>
        <v>16607215.709999999</v>
      </c>
      <c r="AX49" s="46">
        <f t="shared" si="16"/>
        <v>1200109.1600000001</v>
      </c>
      <c r="AY49" s="46">
        <f t="shared" si="16"/>
        <v>626409.50000000012</v>
      </c>
      <c r="AZ49" s="46">
        <f t="shared" si="16"/>
        <v>1176427.3699999999</v>
      </c>
      <c r="BA49" s="46">
        <f t="shared" si="16"/>
        <v>6799015.5299999993</v>
      </c>
      <c r="BB49" s="46">
        <f t="shared" si="16"/>
        <v>-1341200.3699999999</v>
      </c>
      <c r="BC49" s="46">
        <f t="shared" si="16"/>
        <v>4795184.1400000006</v>
      </c>
      <c r="BD49" s="66">
        <f t="shared" si="16"/>
        <v>66627274.689999998</v>
      </c>
      <c r="BE49" s="46">
        <f t="shared" si="16"/>
        <v>5463011.7000000002</v>
      </c>
      <c r="BF49" s="46">
        <f t="shared" si="16"/>
        <v>3606619.1599999997</v>
      </c>
      <c r="BG49" s="46">
        <f t="shared" si="16"/>
        <v>1053034.6300000001</v>
      </c>
      <c r="BH49" s="46">
        <f t="shared" si="16"/>
        <v>4392431.16</v>
      </c>
      <c r="BI49" s="46">
        <f t="shared" si="16"/>
        <v>905764.49</v>
      </c>
      <c r="BJ49" s="46">
        <f t="shared" si="16"/>
        <v>469640.31000000006</v>
      </c>
      <c r="BK49" s="46">
        <f t="shared" si="16"/>
        <v>4357695.4000000004</v>
      </c>
      <c r="BL49" s="46">
        <f t="shared" si="16"/>
        <v>1255819.95</v>
      </c>
      <c r="BM49" s="46">
        <f t="shared" si="16"/>
        <v>896379.8</v>
      </c>
      <c r="BN49" s="46">
        <f t="shared" si="16"/>
        <v>6994879.6900000004</v>
      </c>
      <c r="BO49" s="46">
        <f t="shared" ref="BO49:DZ49" si="17">SUM(BO30:BO48)</f>
        <v>4170375.5600000005</v>
      </c>
      <c r="BP49" s="46">
        <f t="shared" si="17"/>
        <v>2795581.3000000003</v>
      </c>
      <c r="BQ49" s="46">
        <f t="shared" si="17"/>
        <v>850774.62</v>
      </c>
      <c r="BR49" s="46">
        <f t="shared" si="17"/>
        <v>1695094.39</v>
      </c>
      <c r="BS49" s="46">
        <f t="shared" si="17"/>
        <v>15804132.290000001</v>
      </c>
      <c r="BT49" s="46">
        <f t="shared" si="17"/>
        <v>539973.97</v>
      </c>
      <c r="BU49" s="46">
        <f t="shared" si="17"/>
        <v>3729767.1799999997</v>
      </c>
      <c r="BV49" s="46">
        <f t="shared" si="17"/>
        <v>905825.75</v>
      </c>
      <c r="BW49" s="46">
        <f t="shared" si="17"/>
        <v>2836007.27</v>
      </c>
      <c r="BX49" s="46">
        <f t="shared" si="17"/>
        <v>1735901.07</v>
      </c>
      <c r="BY49" s="66">
        <f t="shared" si="17"/>
        <v>73770506.200000003</v>
      </c>
      <c r="BZ49" s="46">
        <f t="shared" si="17"/>
        <v>4194951.91</v>
      </c>
      <c r="CA49" s="46">
        <f t="shared" si="17"/>
        <v>1073210.6499999999</v>
      </c>
      <c r="CB49" s="46">
        <f t="shared" si="17"/>
        <v>5248654.67</v>
      </c>
      <c r="CC49" s="46">
        <f t="shared" si="17"/>
        <v>5826621.1699999999</v>
      </c>
      <c r="CD49" s="46">
        <f t="shared" si="17"/>
        <v>1594513.7300000002</v>
      </c>
      <c r="CE49" s="46">
        <f t="shared" si="17"/>
        <v>8037058.1399999987</v>
      </c>
      <c r="CF49" s="46">
        <f t="shared" si="17"/>
        <v>1282750.24</v>
      </c>
      <c r="CG49" s="46">
        <f t="shared" si="17"/>
        <v>1657880.93</v>
      </c>
      <c r="CH49" s="46">
        <f t="shared" si="17"/>
        <v>1308781.1000000001</v>
      </c>
      <c r="CI49" s="46">
        <f t="shared" si="17"/>
        <v>4363705.3500000006</v>
      </c>
      <c r="CJ49" s="46">
        <f t="shared" si="17"/>
        <v>3724743.9000000004</v>
      </c>
      <c r="CK49" s="46">
        <f t="shared" si="17"/>
        <v>1705194.6600000001</v>
      </c>
      <c r="CL49" s="46">
        <f t="shared" si="17"/>
        <v>3914765.122</v>
      </c>
      <c r="CM49" s="46">
        <f t="shared" si="17"/>
        <v>15528348.91</v>
      </c>
      <c r="CN49" s="46">
        <f t="shared" si="17"/>
        <v>2420678.5700000003</v>
      </c>
      <c r="CO49" s="46">
        <f t="shared" si="17"/>
        <v>2002960.04</v>
      </c>
      <c r="CP49" s="46">
        <f t="shared" si="17"/>
        <v>3624327.9500000007</v>
      </c>
      <c r="CQ49" s="46">
        <f t="shared" si="17"/>
        <v>2041098.8399999999</v>
      </c>
      <c r="CR49" s="46">
        <f t="shared" si="17"/>
        <v>5437430.9500000002</v>
      </c>
      <c r="CS49" s="46">
        <f t="shared" si="17"/>
        <v>2588533.6699999995</v>
      </c>
      <c r="CT49" s="66">
        <f t="shared" si="17"/>
        <v>58305270</v>
      </c>
      <c r="CU49" s="46">
        <f t="shared" si="17"/>
        <v>16356962.1</v>
      </c>
      <c r="CV49" s="46">
        <f t="shared" si="17"/>
        <v>1078731.05</v>
      </c>
      <c r="CW49" s="46">
        <f t="shared" si="17"/>
        <v>6038114.0300000003</v>
      </c>
      <c r="CX49" s="46">
        <f t="shared" si="17"/>
        <v>746614.03999999992</v>
      </c>
      <c r="CY49" s="46">
        <f t="shared" si="17"/>
        <v>3793959.5999999996</v>
      </c>
      <c r="CZ49" s="46">
        <f t="shared" si="17"/>
        <v>4963908.1999999993</v>
      </c>
      <c r="DA49" s="46">
        <f t="shared" si="17"/>
        <v>5029448.0500000007</v>
      </c>
      <c r="DB49" s="46">
        <f t="shared" si="17"/>
        <v>4709539.0699999994</v>
      </c>
      <c r="DC49" s="46">
        <f t="shared" si="17"/>
        <v>3664424.98</v>
      </c>
      <c r="DD49" s="46">
        <f t="shared" si="17"/>
        <v>1138438.6199999999</v>
      </c>
      <c r="DE49" s="46">
        <f t="shared" si="17"/>
        <v>15496997.020000001</v>
      </c>
      <c r="DF49" s="46">
        <f t="shared" si="17"/>
        <v>1879213.9100000001</v>
      </c>
      <c r="DG49" s="46">
        <f t="shared" si="17"/>
        <v>1897296.1700000002</v>
      </c>
      <c r="DH49" s="46">
        <f t="shared" si="17"/>
        <v>2449863.7599999998</v>
      </c>
      <c r="DI49" s="46">
        <f t="shared" si="17"/>
        <v>959279.37</v>
      </c>
      <c r="DJ49" s="46">
        <f t="shared" si="17"/>
        <v>1022254.92</v>
      </c>
      <c r="DK49" s="46">
        <f t="shared" si="17"/>
        <v>1751225.98</v>
      </c>
      <c r="DL49" s="46">
        <f t="shared" si="17"/>
        <v>1152540.3799999999</v>
      </c>
      <c r="DM49" s="46">
        <f t="shared" si="17"/>
        <v>199138.03999999998</v>
      </c>
      <c r="DN49" s="46">
        <f t="shared" si="17"/>
        <v>1324286.44</v>
      </c>
      <c r="DO49" s="66">
        <f t="shared" si="17"/>
        <v>64304897.490000002</v>
      </c>
      <c r="DP49" s="46">
        <f t="shared" si="17"/>
        <v>28752699.120000001</v>
      </c>
      <c r="DQ49" s="46">
        <f t="shared" si="17"/>
        <v>1794351.1500000001</v>
      </c>
      <c r="DR49" s="46">
        <f t="shared" si="17"/>
        <v>764134.07000000007</v>
      </c>
      <c r="DS49" s="46">
        <f t="shared" si="17"/>
        <v>3991330.47</v>
      </c>
      <c r="DT49" s="46">
        <f t="shared" si="17"/>
        <v>1737919.08</v>
      </c>
      <c r="DU49" s="46">
        <f t="shared" si="17"/>
        <v>8988165.5100000016</v>
      </c>
      <c r="DV49" s="46">
        <f t="shared" si="17"/>
        <v>7837770.6799999997</v>
      </c>
      <c r="DW49" s="46">
        <f t="shared" si="17"/>
        <v>1368531.4400000002</v>
      </c>
      <c r="DX49" s="46">
        <f t="shared" si="17"/>
        <v>4012121.5300000003</v>
      </c>
      <c r="DY49" s="46">
        <f t="shared" si="17"/>
        <v>1076634.95</v>
      </c>
      <c r="DZ49" s="46">
        <f t="shared" si="17"/>
        <v>4225183.629999999</v>
      </c>
      <c r="EA49" s="46">
        <f t="shared" ref="EA49:GL49" si="18">SUM(EA30:EA48)</f>
        <v>2282892.9399999995</v>
      </c>
      <c r="EB49" s="46">
        <f t="shared" si="18"/>
        <v>2042617.7599999998</v>
      </c>
      <c r="EC49" s="46">
        <f t="shared" si="18"/>
        <v>748147.7300000001</v>
      </c>
      <c r="ED49" s="46">
        <f t="shared" si="18"/>
        <v>1208977.8900000001</v>
      </c>
      <c r="EE49" s="46">
        <f t="shared" si="18"/>
        <v>19247383.699999999</v>
      </c>
      <c r="EF49" s="46">
        <f t="shared" si="18"/>
        <v>599766.72</v>
      </c>
      <c r="EG49" s="46">
        <f t="shared" si="18"/>
        <v>199372.37000000002</v>
      </c>
      <c r="EH49" s="46">
        <f t="shared" si="18"/>
        <v>3235794.4899999998</v>
      </c>
      <c r="EI49" s="46">
        <f t="shared" si="18"/>
        <v>426255.19000000006</v>
      </c>
      <c r="EJ49" s="66">
        <f t="shared" si="18"/>
        <v>77105997.069999993</v>
      </c>
      <c r="EK49" s="46">
        <f t="shared" si="18"/>
        <v>10542948.939999998</v>
      </c>
      <c r="EL49" s="46">
        <f t="shared" si="18"/>
        <v>750644.24</v>
      </c>
      <c r="EM49" s="46">
        <f t="shared" si="18"/>
        <v>14760830.84</v>
      </c>
      <c r="EN49" s="46">
        <f t="shared" si="18"/>
        <v>108288.65999999999</v>
      </c>
      <c r="EO49" s="46">
        <f t="shared" si="18"/>
        <v>2022300.7299999997</v>
      </c>
      <c r="EP49" s="46">
        <f t="shared" si="18"/>
        <v>12929530.560000001</v>
      </c>
      <c r="EQ49" s="46">
        <f t="shared" si="18"/>
        <v>3219715.0399999996</v>
      </c>
      <c r="ER49" s="46">
        <f t="shared" si="18"/>
        <v>1443810.24</v>
      </c>
      <c r="ES49" s="46">
        <f t="shared" si="18"/>
        <v>2613546.56</v>
      </c>
      <c r="ET49" s="46">
        <f t="shared" si="18"/>
        <v>586670.84</v>
      </c>
      <c r="EU49" s="46">
        <f t="shared" si="18"/>
        <v>4974271.3800000008</v>
      </c>
      <c r="EV49" s="46">
        <f t="shared" si="18"/>
        <v>416381.64999999997</v>
      </c>
      <c r="EW49" s="46">
        <f t="shared" si="18"/>
        <v>2707201.16</v>
      </c>
      <c r="EX49" s="46">
        <f t="shared" si="18"/>
        <v>1663335.8199999998</v>
      </c>
      <c r="EY49" s="46">
        <f t="shared" si="18"/>
        <v>15971684.180000002</v>
      </c>
      <c r="EZ49" s="46">
        <f t="shared" si="18"/>
        <v>4215916.6399999997</v>
      </c>
      <c r="FA49" s="46">
        <f t="shared" si="18"/>
        <v>398920.88999999996</v>
      </c>
      <c r="FB49" s="46">
        <f t="shared" si="18"/>
        <v>4552093.54</v>
      </c>
      <c r="FC49" s="46">
        <f t="shared" si="18"/>
        <v>391358.58</v>
      </c>
      <c r="FD49" s="46">
        <f t="shared" si="18"/>
        <v>6206880.8099999996</v>
      </c>
      <c r="FE49" s="46">
        <f t="shared" si="18"/>
        <v>457824.54000000004</v>
      </c>
      <c r="FF49" s="66">
        <f t="shared" si="18"/>
        <v>64628227.57</v>
      </c>
      <c r="FG49" s="46">
        <f t="shared" si="18"/>
        <v>10268296.02</v>
      </c>
      <c r="FH49" s="46">
        <f t="shared" si="18"/>
        <v>3208249.1799999997</v>
      </c>
      <c r="FI49" s="46">
        <f t="shared" si="18"/>
        <v>11237216.75</v>
      </c>
      <c r="FJ49" s="46">
        <f t="shared" si="18"/>
        <v>1853925.07</v>
      </c>
      <c r="FK49" s="46">
        <f t="shared" si="18"/>
        <v>9093786.7999999989</v>
      </c>
      <c r="FL49" s="46">
        <f t="shared" si="18"/>
        <v>1112100.3500000001</v>
      </c>
      <c r="FM49" s="46">
        <f t="shared" si="18"/>
        <v>1021730.13</v>
      </c>
      <c r="FN49" s="46">
        <f t="shared" si="18"/>
        <v>42585696.160000004</v>
      </c>
      <c r="FO49" s="46">
        <f t="shared" si="18"/>
        <v>46705425.289999999</v>
      </c>
      <c r="FP49" s="46">
        <f t="shared" si="18"/>
        <v>15332940.640000001</v>
      </c>
      <c r="FQ49" s="46">
        <f t="shared" si="18"/>
        <v>953725.39</v>
      </c>
      <c r="FR49" s="46">
        <f t="shared" si="18"/>
        <v>5814476.709999999</v>
      </c>
      <c r="FS49" s="46">
        <f t="shared" si="18"/>
        <v>4426730.12</v>
      </c>
      <c r="FT49" s="46">
        <f t="shared" si="18"/>
        <v>813939.5199999999</v>
      </c>
      <c r="FU49" s="46">
        <f t="shared" si="18"/>
        <v>19711270.559999999</v>
      </c>
      <c r="FV49" s="46">
        <f t="shared" si="18"/>
        <v>1438082.34</v>
      </c>
      <c r="FW49" s="46">
        <f t="shared" si="18"/>
        <v>4832709.55</v>
      </c>
      <c r="FX49" s="46">
        <f t="shared" si="18"/>
        <v>5739450.0099999998</v>
      </c>
      <c r="FY49" s="46">
        <f t="shared" si="18"/>
        <v>2240344.35</v>
      </c>
      <c r="FZ49" s="46">
        <f t="shared" si="18"/>
        <v>557502.51</v>
      </c>
      <c r="GA49" s="66">
        <f t="shared" si="18"/>
        <v>60474897.359999999</v>
      </c>
      <c r="GB49" s="46">
        <f t="shared" si="18"/>
        <v>19500310.369999997</v>
      </c>
      <c r="GC49" s="46">
        <f t="shared" si="18"/>
        <v>1949651.13</v>
      </c>
      <c r="GD49" s="46">
        <f t="shared" si="18"/>
        <v>926765.84</v>
      </c>
      <c r="GE49" s="46">
        <f t="shared" si="18"/>
        <v>7878957.5999999996</v>
      </c>
      <c r="GF49" s="46">
        <f t="shared" si="18"/>
        <v>739963.33000000007</v>
      </c>
      <c r="GG49" s="46">
        <f t="shared" si="18"/>
        <v>4496478.3</v>
      </c>
      <c r="GH49" s="46">
        <f t="shared" si="18"/>
        <v>537665.30999999994</v>
      </c>
      <c r="GI49" s="46">
        <f t="shared" si="18"/>
        <v>2063072.24</v>
      </c>
      <c r="GJ49" s="46">
        <f t="shared" si="18"/>
        <v>911408.23</v>
      </c>
      <c r="GK49" s="46">
        <f t="shared" si="18"/>
        <v>5038402.05</v>
      </c>
      <c r="GL49" s="46">
        <f t="shared" si="18"/>
        <v>7582454.6700000009</v>
      </c>
      <c r="GM49" s="46">
        <f t="shared" ref="GM49:JH49" si="19">SUM(GM30:GM48)</f>
        <v>1354620.42</v>
      </c>
      <c r="GN49" s="46">
        <f t="shared" si="19"/>
        <v>3366613.67</v>
      </c>
      <c r="GO49" s="46">
        <f t="shared" si="19"/>
        <v>388618.8</v>
      </c>
      <c r="GP49" s="46">
        <f t="shared" si="19"/>
        <v>15944886.629999999</v>
      </c>
      <c r="GQ49" s="46">
        <f t="shared" si="19"/>
        <v>7868543.25</v>
      </c>
      <c r="GR49" s="46">
        <f t="shared" si="19"/>
        <v>5480756.2000000002</v>
      </c>
      <c r="GS49" s="46">
        <f t="shared" si="19"/>
        <v>6829066.2300000004</v>
      </c>
      <c r="GT49" s="46">
        <f t="shared" si="19"/>
        <v>4293996.9399999995</v>
      </c>
      <c r="GU49" s="66">
        <f t="shared" si="19"/>
        <v>67709794.699999988</v>
      </c>
      <c r="GV49" s="46">
        <f t="shared" si="19"/>
        <v>10954072.029999999</v>
      </c>
      <c r="GW49" s="46">
        <f t="shared" si="19"/>
        <v>5603873.1100000003</v>
      </c>
      <c r="GX49" s="46">
        <f t="shared" si="19"/>
        <v>971985.25</v>
      </c>
      <c r="GY49" s="46">
        <f t="shared" si="19"/>
        <v>558766.52</v>
      </c>
      <c r="GZ49" s="46">
        <f t="shared" si="19"/>
        <v>13597336.650000002</v>
      </c>
      <c r="HA49" s="46">
        <f t="shared" si="19"/>
        <v>4496256.5699999994</v>
      </c>
      <c r="HB49" s="46">
        <f t="shared" si="19"/>
        <v>1264470.47</v>
      </c>
      <c r="HC49" s="46">
        <f t="shared" si="19"/>
        <v>3837130.49</v>
      </c>
      <c r="HD49" s="46">
        <f t="shared" si="19"/>
        <v>2750873.9200000004</v>
      </c>
      <c r="HE49" s="46">
        <f t="shared" si="19"/>
        <v>1203884.8500000001</v>
      </c>
      <c r="HF49" s="46">
        <f t="shared" si="19"/>
        <v>4674274.8899999997</v>
      </c>
      <c r="HG49" s="46">
        <f t="shared" si="19"/>
        <v>3562008.17</v>
      </c>
      <c r="HH49" s="46">
        <f t="shared" si="19"/>
        <v>681834.51000000013</v>
      </c>
      <c r="HI49" s="46">
        <f t="shared" si="19"/>
        <v>18809928.800000001</v>
      </c>
      <c r="HJ49" s="46">
        <f t="shared" si="19"/>
        <v>669181.39</v>
      </c>
      <c r="HK49" s="46">
        <f t="shared" si="19"/>
        <v>4905618.66</v>
      </c>
      <c r="HL49" s="46">
        <f t="shared" si="19"/>
        <v>533578.78</v>
      </c>
      <c r="HM49" s="46">
        <f t="shared" si="19"/>
        <v>2840305.43</v>
      </c>
      <c r="HN49" s="46">
        <f t="shared" si="19"/>
        <v>8347518.0100000007</v>
      </c>
      <c r="HO49" s="46">
        <f t="shared" si="19"/>
        <v>1248276.3899999997</v>
      </c>
      <c r="HP49" s="66">
        <f>SUM(HP30:HP48)</f>
        <v>66159933.439999998</v>
      </c>
      <c r="HQ49" s="46">
        <f t="shared" si="19"/>
        <v>12469202.109999999</v>
      </c>
      <c r="HR49" s="46">
        <f t="shared" si="19"/>
        <v>1563837.26</v>
      </c>
      <c r="HS49" s="46">
        <f t="shared" si="19"/>
        <v>23385661.439999998</v>
      </c>
      <c r="HT49" s="46">
        <f t="shared" si="19"/>
        <v>1572340.99</v>
      </c>
      <c r="HU49" s="46">
        <f t="shared" si="19"/>
        <v>3204625.14</v>
      </c>
      <c r="HV49" s="46">
        <f t="shared" si="19"/>
        <v>4101135.05</v>
      </c>
      <c r="HW49" s="46">
        <f t="shared" si="19"/>
        <v>1165342.6399999999</v>
      </c>
      <c r="HX49" s="46">
        <f t="shared" si="19"/>
        <v>1391914.36</v>
      </c>
      <c r="HY49" s="46">
        <f t="shared" si="19"/>
        <v>179575.19</v>
      </c>
      <c r="HZ49" s="46">
        <f t="shared" si="19"/>
        <v>3924927.7800000003</v>
      </c>
      <c r="IA49" s="46">
        <f t="shared" si="19"/>
        <v>53323527.650000006</v>
      </c>
      <c r="IB49" s="46">
        <f t="shared" ref="IB49" si="20">SUM(IB30:IB48)</f>
        <v>86403.81</v>
      </c>
      <c r="IC49" s="46">
        <f t="shared" si="19"/>
        <v>53537946.129999995</v>
      </c>
      <c r="ID49" s="46">
        <f t="shared" si="19"/>
        <v>20528233.759999998</v>
      </c>
      <c r="IE49" s="46">
        <f t="shared" si="19"/>
        <v>2065471.6500000001</v>
      </c>
      <c r="IF49" s="46">
        <f t="shared" si="19"/>
        <v>16480883.549999999</v>
      </c>
      <c r="IG49" s="46">
        <f t="shared" si="19"/>
        <v>2504181.4900000002</v>
      </c>
      <c r="IH49" s="46">
        <f t="shared" si="19"/>
        <v>3500195.32</v>
      </c>
      <c r="II49" s="46">
        <f t="shared" si="19"/>
        <v>548569.11</v>
      </c>
      <c r="IJ49" s="46">
        <f t="shared" si="19"/>
        <v>1135482.98</v>
      </c>
      <c r="IK49" s="46">
        <f t="shared" si="19"/>
        <v>980204.38</v>
      </c>
      <c r="IL49" s="66">
        <f t="shared" si="19"/>
        <v>58337707.479999997</v>
      </c>
      <c r="IM49" s="46">
        <f t="shared" si="19"/>
        <v>22598790.32</v>
      </c>
      <c r="IN49" s="46">
        <f t="shared" si="19"/>
        <v>669707.57000000007</v>
      </c>
      <c r="IO49" s="46">
        <f t="shared" si="19"/>
        <v>16879940.030000005</v>
      </c>
      <c r="IP49" s="46">
        <f t="shared" si="19"/>
        <v>3792666.71</v>
      </c>
      <c r="IQ49" s="46">
        <f t="shared" si="19"/>
        <v>8601954.6500000004</v>
      </c>
      <c r="IR49" s="46">
        <f t="shared" si="19"/>
        <v>391953.58999999997</v>
      </c>
      <c r="IS49" s="46">
        <f t="shared" si="19"/>
        <v>1836557.0499999998</v>
      </c>
      <c r="IT49" s="46">
        <f t="shared" si="19"/>
        <v>1486451</v>
      </c>
      <c r="IU49" s="46">
        <f t="shared" si="19"/>
        <v>101057603.57999998</v>
      </c>
      <c r="IV49" s="46">
        <f t="shared" si="19"/>
        <v>5745547.4499999993</v>
      </c>
      <c r="IW49" s="46">
        <f>SUM(IW30:IW48)</f>
        <v>2412230362.5019999</v>
      </c>
      <c r="IX49" s="763"/>
      <c r="IY49" s="763"/>
      <c r="IZ49" s="763"/>
      <c r="JA49" s="763"/>
      <c r="JB49" s="763"/>
      <c r="JC49" s="763"/>
      <c r="JD49" s="763"/>
      <c r="JE49" s="763"/>
      <c r="JF49" s="763"/>
      <c r="JH49" s="764">
        <f t="shared" si="19"/>
        <v>0</v>
      </c>
      <c r="JI49" s="764">
        <f>SUM(JI30:JI48)</f>
        <v>4740660989.3239994</v>
      </c>
    </row>
    <row r="50" spans="1:269" s="161" customFormat="1" ht="14.1" customHeight="1" thickTop="1">
      <c r="A50" s="3" t="s">
        <v>14</v>
      </c>
      <c r="B50" s="3"/>
      <c r="C50" s="189">
        <v>231263.44</v>
      </c>
      <c r="D50" s="6">
        <v>55447.42</v>
      </c>
      <c r="E50" s="6">
        <v>0</v>
      </c>
      <c r="F50" s="6">
        <v>126269.65</v>
      </c>
      <c r="G50" s="6">
        <v>156526.04</v>
      </c>
      <c r="H50" s="6">
        <v>203523.46</v>
      </c>
      <c r="I50" s="6">
        <v>192379.2</v>
      </c>
      <c r="J50" s="6">
        <v>160028.64000000001</v>
      </c>
      <c r="K50" s="6">
        <v>148591.89000000001</v>
      </c>
      <c r="L50" s="6">
        <v>189869.9</v>
      </c>
      <c r="M50" s="226">
        <v>307819.28000000003</v>
      </c>
      <c r="N50" s="6">
        <v>159349.78</v>
      </c>
      <c r="O50" s="6">
        <v>189851.73</v>
      </c>
      <c r="P50" s="6">
        <v>202229.11</v>
      </c>
      <c r="Q50" s="6">
        <v>179394.68</v>
      </c>
      <c r="R50" s="6">
        <v>123517.59</v>
      </c>
      <c r="S50" s="6"/>
      <c r="T50" s="6"/>
      <c r="U50" s="6">
        <v>3066217.38</v>
      </c>
      <c r="V50" s="6">
        <v>92669.19</v>
      </c>
      <c r="W50" s="6">
        <v>76103.92</v>
      </c>
      <c r="X50" s="6">
        <v>3862538.54</v>
      </c>
      <c r="Y50" s="6">
        <v>219972.47</v>
      </c>
      <c r="Z50" s="6">
        <v>194307.42</v>
      </c>
      <c r="AA50" s="6">
        <v>3719484.71</v>
      </c>
      <c r="AB50" s="6">
        <v>153609.1</v>
      </c>
      <c r="AC50" s="6">
        <v>155999.60999999999</v>
      </c>
      <c r="AD50" s="6">
        <v>148170.21</v>
      </c>
      <c r="AE50" s="6">
        <v>170717.46</v>
      </c>
      <c r="AF50" s="6">
        <v>134398.41</v>
      </c>
      <c r="AG50" s="226">
        <v>153599.17000000001</v>
      </c>
      <c r="AH50" s="6">
        <v>165617.89000000001</v>
      </c>
      <c r="AI50" s="6">
        <v>186374.39999999999</v>
      </c>
      <c r="AJ50" s="6">
        <v>140849.81</v>
      </c>
      <c r="AK50" s="6">
        <v>120851.8</v>
      </c>
      <c r="AL50" s="6">
        <v>178111.87</v>
      </c>
      <c r="AM50" s="6">
        <v>202003.72</v>
      </c>
      <c r="AN50" s="6">
        <v>196071</v>
      </c>
      <c r="AO50" s="576">
        <v>229715.04</v>
      </c>
      <c r="AP50" s="6">
        <v>195670.16</v>
      </c>
      <c r="AQ50" s="6">
        <v>3844065.46</v>
      </c>
      <c r="AR50" s="6">
        <v>143695.44</v>
      </c>
      <c r="AS50" s="6"/>
      <c r="AT50" s="6">
        <v>225161.37</v>
      </c>
      <c r="AU50" s="6">
        <v>143175.56</v>
      </c>
      <c r="AV50" s="6">
        <v>211557.85</v>
      </c>
      <c r="AW50" s="6">
        <v>186550.81</v>
      </c>
      <c r="AX50" s="6">
        <v>177981.82</v>
      </c>
      <c r="AY50" s="6">
        <v>189426</v>
      </c>
      <c r="AZ50" s="6">
        <v>166996.92000000001</v>
      </c>
      <c r="BA50" s="6">
        <v>159600.20000000001</v>
      </c>
      <c r="BB50" s="6">
        <v>40897.769999999997</v>
      </c>
      <c r="BC50" s="6">
        <v>168760.06</v>
      </c>
      <c r="BD50" s="226">
        <v>183539.37</v>
      </c>
      <c r="BE50" s="6">
        <v>180075.79</v>
      </c>
      <c r="BF50" s="6">
        <v>198998.85</v>
      </c>
      <c r="BG50" s="6">
        <v>161758.39999999999</v>
      </c>
      <c r="BH50" s="6">
        <v>189752.23</v>
      </c>
      <c r="BI50" s="6">
        <v>182873.06</v>
      </c>
      <c r="BJ50" s="6">
        <v>156760</v>
      </c>
      <c r="BK50" s="6">
        <v>173412.7</v>
      </c>
      <c r="BL50" s="6">
        <v>184361.41</v>
      </c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226"/>
      <c r="BZ50" s="6"/>
      <c r="CA50" s="6"/>
      <c r="CB50" s="6"/>
      <c r="CC50" s="6"/>
      <c r="CD50" s="6"/>
      <c r="CE50" s="367"/>
      <c r="CF50" s="367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22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22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226"/>
      <c r="EK50" s="14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226"/>
      <c r="FG50" s="6"/>
      <c r="FH50" s="6"/>
      <c r="FI50" s="6"/>
      <c r="FJ50" s="14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22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22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22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22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4">
        <f>SUM(D49:IV49)-IW49</f>
        <v>0</v>
      </c>
      <c r="IX50" s="14" t="s">
        <v>177</v>
      </c>
      <c r="IY50" s="14"/>
      <c r="IZ50" s="14"/>
      <c r="JA50" s="14"/>
      <c r="JB50" s="14"/>
      <c r="JC50" s="14"/>
      <c r="JD50" s="14"/>
      <c r="JE50" s="14"/>
      <c r="JF50" s="14"/>
      <c r="JH50" s="6"/>
      <c r="JI50" s="6"/>
    </row>
    <row r="51" spans="1:269" ht="14.1" customHeight="1">
      <c r="A51" s="4" t="s">
        <v>15</v>
      </c>
      <c r="B51" s="4"/>
      <c r="C51" s="227"/>
      <c r="D51" s="1">
        <v>15800000</v>
      </c>
      <c r="E51" s="1"/>
      <c r="F51" s="1">
        <v>31850000</v>
      </c>
      <c r="G51" s="1"/>
      <c r="H51" s="1"/>
      <c r="I51" s="1"/>
      <c r="J51" s="1">
        <v>41650000</v>
      </c>
      <c r="K51" s="1">
        <v>18100000</v>
      </c>
      <c r="L51" s="1"/>
      <c r="M51" s="227"/>
      <c r="N51" s="1"/>
      <c r="O51" s="1"/>
      <c r="P51" s="1">
        <v>200000</v>
      </c>
      <c r="Q51" s="1"/>
      <c r="R51" s="1"/>
      <c r="S51" s="1">
        <v>11500000</v>
      </c>
      <c r="T51" s="1"/>
      <c r="U51" s="1"/>
      <c r="V51" s="1"/>
      <c r="W51" s="1"/>
      <c r="X51" s="1">
        <v>1000000</v>
      </c>
      <c r="Y51" s="1"/>
      <c r="Z51" s="1"/>
      <c r="AA51" s="1"/>
      <c r="AB51" s="1"/>
      <c r="AC51" s="1"/>
      <c r="AD51" s="1"/>
      <c r="AE51" s="1"/>
      <c r="AF51" s="1"/>
      <c r="AG51" s="227">
        <v>8700000</v>
      </c>
      <c r="AH51" s="1"/>
      <c r="AI51" s="1"/>
      <c r="AJ51" s="1"/>
      <c r="AK51" s="1"/>
      <c r="AL51" s="1"/>
      <c r="AM51" s="1">
        <v>2650000</v>
      </c>
      <c r="AN51" s="1"/>
      <c r="AO51" s="577">
        <v>1150000</v>
      </c>
      <c r="AP51" s="1"/>
      <c r="AQ51" s="1"/>
      <c r="AR51" s="1">
        <v>1000000</v>
      </c>
      <c r="AS51" s="1">
        <v>200000</v>
      </c>
      <c r="AT51" s="1">
        <v>16950000</v>
      </c>
      <c r="AU51" s="1"/>
      <c r="AV51" s="1"/>
      <c r="AW51" s="1"/>
      <c r="AX51" s="1">
        <v>900000</v>
      </c>
      <c r="AY51" s="1"/>
      <c r="AZ51" s="1"/>
      <c r="BA51" s="1"/>
      <c r="BB51" s="1">
        <v>3500000</v>
      </c>
      <c r="BC51" s="1"/>
      <c r="BD51" s="227">
        <v>3850000</v>
      </c>
      <c r="BE51" s="1"/>
      <c r="BF51" s="1">
        <v>3000000</v>
      </c>
      <c r="BG51" s="1">
        <v>2100000</v>
      </c>
      <c r="BH51" s="1"/>
      <c r="BI51" s="1"/>
      <c r="BJ51" s="1">
        <v>11450000</v>
      </c>
      <c r="BK51" s="1"/>
      <c r="BL51" s="1"/>
      <c r="BM51" s="1"/>
      <c r="BN51" s="1"/>
      <c r="BO51" s="1"/>
      <c r="BP51" s="1">
        <v>7050000</v>
      </c>
      <c r="BQ51" s="1">
        <v>10900000</v>
      </c>
      <c r="BR51" s="1"/>
      <c r="BS51" s="1"/>
      <c r="BT51" s="1">
        <v>300000</v>
      </c>
      <c r="BU51" s="1"/>
      <c r="BV51" s="1">
        <v>950000</v>
      </c>
      <c r="BW51" s="1"/>
      <c r="BX51" s="1"/>
      <c r="BY51" s="227"/>
      <c r="BZ51" s="1"/>
      <c r="CA51" s="1">
        <v>2650000</v>
      </c>
      <c r="CB51" s="1"/>
      <c r="CC51" s="1">
        <v>8300000</v>
      </c>
      <c r="CD51" s="1"/>
      <c r="CE51" s="1"/>
      <c r="CF51" s="1"/>
      <c r="CG51" s="1"/>
      <c r="CH51" s="1"/>
      <c r="CI51" s="1"/>
      <c r="CJ51" s="1">
        <v>5700000</v>
      </c>
      <c r="CK51" s="1">
        <v>550000</v>
      </c>
      <c r="CL51" s="1">
        <v>16200000</v>
      </c>
      <c r="CM51" s="1"/>
      <c r="CN51" s="1"/>
      <c r="CO51" s="1"/>
      <c r="CP51" s="1"/>
      <c r="CQ51" s="1"/>
      <c r="CR51" s="1"/>
      <c r="CS51" s="1"/>
      <c r="CT51" s="227">
        <v>21550000</v>
      </c>
      <c r="CU51" s="1"/>
      <c r="CV51" s="1">
        <v>400000</v>
      </c>
      <c r="CW51" s="1"/>
      <c r="CX51" s="1"/>
      <c r="CY51" s="1">
        <v>8300000</v>
      </c>
      <c r="CZ51" s="1"/>
      <c r="DA51" s="1"/>
      <c r="DB51" s="1">
        <v>2900000</v>
      </c>
      <c r="DC51" s="1"/>
      <c r="DD51" s="1">
        <v>3300000</v>
      </c>
      <c r="DE51" s="1"/>
      <c r="DF51" s="1"/>
      <c r="DG51" s="1"/>
      <c r="DH51" s="1"/>
      <c r="DI51" s="1">
        <v>550000</v>
      </c>
      <c r="DJ51" s="1"/>
      <c r="DK51" s="1"/>
      <c r="DL51" s="1"/>
      <c r="DM51" s="1">
        <v>5850000</v>
      </c>
      <c r="DN51" s="1">
        <v>59000000</v>
      </c>
      <c r="DO51" s="227"/>
      <c r="DP51" s="1"/>
      <c r="DQ51" s="1">
        <v>5500000</v>
      </c>
      <c r="DR51" s="1"/>
      <c r="DS51" s="1"/>
      <c r="DT51" s="1"/>
      <c r="DU51" s="1"/>
      <c r="DV51" s="1">
        <v>4800000</v>
      </c>
      <c r="DW51" s="1">
        <v>5550000</v>
      </c>
      <c r="DX51" s="1"/>
      <c r="DY51" s="1"/>
      <c r="DZ51" s="1"/>
      <c r="EA51" s="1"/>
      <c r="EB51" s="1"/>
      <c r="EC51" s="1"/>
      <c r="ED51" s="1"/>
      <c r="EE51" s="1"/>
      <c r="EF51" s="1"/>
      <c r="EG51" s="1">
        <v>2650000</v>
      </c>
      <c r="EH51" s="1"/>
      <c r="EI51" s="1"/>
      <c r="EJ51" s="227">
        <v>8500000</v>
      </c>
      <c r="EK51" s="1"/>
      <c r="EL51" s="1"/>
      <c r="EM51" s="1"/>
      <c r="EN51" s="1"/>
      <c r="EO51" s="1"/>
      <c r="EP51" s="1"/>
      <c r="EQ51" s="1"/>
      <c r="ER51" s="1">
        <v>13200000</v>
      </c>
      <c r="ES51" s="1"/>
      <c r="ET51" s="1"/>
      <c r="EU51" s="1"/>
      <c r="EV51" s="1">
        <v>3550000</v>
      </c>
      <c r="EW51" s="1"/>
      <c r="EX51" s="1"/>
      <c r="EY51" s="1"/>
      <c r="EZ51" s="1"/>
      <c r="FA51" s="1"/>
      <c r="FB51" s="1"/>
      <c r="FC51" s="1">
        <v>6000000</v>
      </c>
      <c r="FD51" s="1"/>
      <c r="FE51" s="1"/>
      <c r="FF51" s="227">
        <v>7100000</v>
      </c>
      <c r="FG51" s="1"/>
      <c r="FH51" s="1">
        <v>7100000</v>
      </c>
      <c r="FI51" s="1">
        <v>3700000</v>
      </c>
      <c r="FJ51" s="1"/>
      <c r="FK51" s="1"/>
      <c r="FL51" s="1"/>
      <c r="FM51" s="1"/>
      <c r="FN51" s="1">
        <v>18500000</v>
      </c>
      <c r="FO51" s="1"/>
      <c r="FP51" s="1"/>
      <c r="FQ51" s="1"/>
      <c r="FR51" s="1"/>
      <c r="FS51" s="1">
        <v>3000000</v>
      </c>
      <c r="FT51" s="1">
        <v>1250000</v>
      </c>
      <c r="FU51" s="1"/>
      <c r="FV51" s="1">
        <v>2700000</v>
      </c>
      <c r="FW51" s="1"/>
      <c r="FX51" s="1">
        <v>1500000</v>
      </c>
      <c r="FY51" s="1"/>
      <c r="FZ51" s="1"/>
      <c r="GA51" s="227"/>
      <c r="GB51" s="1"/>
      <c r="GC51" s="1">
        <v>12700000</v>
      </c>
      <c r="GD51" s="1"/>
      <c r="GE51" s="1"/>
      <c r="GF51" s="1"/>
      <c r="GG51" s="1">
        <v>9900000</v>
      </c>
      <c r="GH51" s="1"/>
      <c r="GI51" s="1"/>
      <c r="GJ51" s="1"/>
      <c r="GK51" s="1"/>
      <c r="GL51" s="1"/>
      <c r="GM51" s="1">
        <v>250000</v>
      </c>
      <c r="GN51" s="1"/>
      <c r="GO51" s="1">
        <v>1400000</v>
      </c>
      <c r="GP51" s="1">
        <v>23300000</v>
      </c>
      <c r="GQ51" s="1"/>
      <c r="GR51" s="1"/>
      <c r="GS51" s="1"/>
      <c r="GT51" s="1"/>
      <c r="GU51" s="227"/>
      <c r="GV51" s="1">
        <v>14850000</v>
      </c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>
        <v>1300000</v>
      </c>
      <c r="HI51" s="1"/>
      <c r="HJ51" s="1">
        <v>1800000</v>
      </c>
      <c r="HK51" s="1"/>
      <c r="HL51" s="1">
        <v>2300000</v>
      </c>
      <c r="HM51" s="1">
        <v>1200000</v>
      </c>
      <c r="HN51" s="1"/>
      <c r="HO51" s="1">
        <v>35000000</v>
      </c>
      <c r="HP51" s="227"/>
      <c r="HQ51" s="1"/>
      <c r="HR51" s="1"/>
      <c r="HS51" s="1"/>
      <c r="HT51" s="1">
        <v>9000000</v>
      </c>
      <c r="HU51" s="1"/>
      <c r="HV51" s="1"/>
      <c r="HW51" s="1"/>
      <c r="HX51" s="1"/>
      <c r="HY51" s="1"/>
      <c r="HZ51" s="1"/>
      <c r="IA51" s="1"/>
      <c r="IB51" s="1">
        <v>12200000</v>
      </c>
      <c r="IC51" s="1"/>
      <c r="ID51" s="1"/>
      <c r="IE51" s="1">
        <v>10700000</v>
      </c>
      <c r="IF51" s="1"/>
      <c r="IG51" s="1">
        <v>9000000</v>
      </c>
      <c r="IH51" s="1">
        <v>1900000</v>
      </c>
      <c r="II51" s="1">
        <v>12200000</v>
      </c>
      <c r="IJ51" s="1">
        <v>9100000</v>
      </c>
      <c r="IK51" s="1">
        <v>8000000</v>
      </c>
      <c r="IL51" s="227"/>
      <c r="IM51" s="1"/>
      <c r="IN51" s="1">
        <v>13300000</v>
      </c>
      <c r="IO51" s="1"/>
      <c r="IP51" s="1">
        <v>13800000</v>
      </c>
      <c r="IQ51" s="1">
        <v>11000000</v>
      </c>
      <c r="IR51" s="1">
        <v>18900000</v>
      </c>
      <c r="IS51" s="1">
        <v>15200000</v>
      </c>
      <c r="IT51" s="1">
        <v>18000000</v>
      </c>
      <c r="IU51" s="1"/>
      <c r="IV51" s="1">
        <v>35000000</v>
      </c>
      <c r="IW51" s="1"/>
      <c r="IX51" s="14"/>
      <c r="IY51" s="14"/>
      <c r="IZ51" s="14"/>
      <c r="JA51" s="14"/>
      <c r="JB51" s="14"/>
      <c r="JC51" s="14"/>
      <c r="JD51" s="14"/>
      <c r="JE51" s="14"/>
      <c r="JF51" s="14"/>
      <c r="JH51" s="1"/>
      <c r="JI51" s="4"/>
    </row>
    <row r="52" spans="1:269" ht="14.1" customHeight="1">
      <c r="A52" s="4" t="s">
        <v>139</v>
      </c>
      <c r="B52" s="5"/>
      <c r="C52" s="189">
        <v>26750000</v>
      </c>
      <c r="D52" s="11"/>
      <c r="E52" s="11"/>
      <c r="F52" s="11"/>
      <c r="G52" s="11"/>
      <c r="H52" s="11">
        <v>2750000</v>
      </c>
      <c r="I52" s="11">
        <v>4200000</v>
      </c>
      <c r="J52" s="11"/>
      <c r="K52" s="11"/>
      <c r="L52" s="11">
        <v>14200000</v>
      </c>
      <c r="M52" s="371"/>
      <c r="N52" s="11"/>
      <c r="O52" s="11"/>
      <c r="P52" s="11"/>
      <c r="Q52" s="11"/>
      <c r="R52" s="11"/>
      <c r="S52" s="11"/>
      <c r="T52" s="11"/>
      <c r="U52" s="11">
        <v>1900000</v>
      </c>
      <c r="V52" s="11"/>
      <c r="W52" s="11"/>
      <c r="X52" s="11"/>
      <c r="Y52" s="11">
        <v>5900000</v>
      </c>
      <c r="Z52" s="11">
        <v>11800000</v>
      </c>
      <c r="AA52" s="11"/>
      <c r="AB52" s="11">
        <v>2450000</v>
      </c>
      <c r="AC52" s="11">
        <v>5300000</v>
      </c>
      <c r="AD52" s="11"/>
      <c r="AE52" s="11"/>
      <c r="AF52" s="11"/>
      <c r="AG52" s="371"/>
      <c r="AH52" s="11"/>
      <c r="AI52" s="11">
        <v>7150000</v>
      </c>
      <c r="AJ52" s="11"/>
      <c r="AK52" s="11"/>
      <c r="AL52" s="11"/>
      <c r="AM52" s="11"/>
      <c r="AN52" s="11"/>
      <c r="AO52" s="580"/>
      <c r="AP52" s="6">
        <v>7500000</v>
      </c>
      <c r="AQ52" s="11"/>
      <c r="AR52" s="11"/>
      <c r="AS52" s="11"/>
      <c r="AT52" s="11">
        <v>10000000</v>
      </c>
      <c r="AU52" s="11">
        <v>14500000</v>
      </c>
      <c r="AV52" s="11">
        <v>1800000</v>
      </c>
      <c r="AW52" s="11"/>
      <c r="AX52" s="11"/>
      <c r="AY52" s="11"/>
      <c r="AZ52" s="11"/>
      <c r="BA52" s="11"/>
      <c r="BB52" s="11"/>
      <c r="BC52" s="11"/>
      <c r="BD52" s="371"/>
      <c r="BE52" s="11"/>
      <c r="BF52" s="11"/>
      <c r="BG52" s="11"/>
      <c r="BH52" s="11"/>
      <c r="BI52" s="11"/>
      <c r="BJ52" s="11"/>
      <c r="BK52" s="11"/>
      <c r="BL52" s="11">
        <v>1850000</v>
      </c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371"/>
      <c r="BZ52" s="11"/>
      <c r="CA52" s="11"/>
      <c r="CB52" s="11"/>
      <c r="CC52" s="11"/>
      <c r="CD52" s="11"/>
      <c r="CE52" s="11"/>
      <c r="CF52" s="11">
        <v>14500000</v>
      </c>
      <c r="CG52" s="11"/>
      <c r="CH52" s="11"/>
      <c r="CI52" s="11"/>
      <c r="CJ52" s="11"/>
      <c r="CK52" s="11"/>
      <c r="CL52" s="11">
        <v>20000000</v>
      </c>
      <c r="CM52" s="11"/>
      <c r="CN52" s="11"/>
      <c r="CO52" s="366">
        <v>6200000</v>
      </c>
      <c r="CP52" s="11"/>
      <c r="CQ52" s="11"/>
      <c r="CR52" s="11"/>
      <c r="CS52" s="11"/>
      <c r="CT52" s="37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371"/>
      <c r="DP52" s="11"/>
      <c r="DQ52" s="11">
        <v>15000000</v>
      </c>
      <c r="DR52" s="11">
        <v>500000</v>
      </c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>
        <v>9050000</v>
      </c>
      <c r="EG52" s="11">
        <v>30000000</v>
      </c>
      <c r="EH52" s="11"/>
      <c r="EI52" s="11"/>
      <c r="EJ52" s="371"/>
      <c r="EK52" s="11"/>
      <c r="EL52" s="11"/>
      <c r="EM52" s="11"/>
      <c r="EN52" s="11"/>
      <c r="EO52" s="11"/>
      <c r="EP52" s="11"/>
      <c r="EQ52" s="11"/>
      <c r="ER52" s="11">
        <v>35000000</v>
      </c>
      <c r="ES52" s="11">
        <v>200000</v>
      </c>
      <c r="ET52" s="11"/>
      <c r="EU52" s="11"/>
      <c r="EV52" s="11"/>
      <c r="EW52" s="11"/>
      <c r="EX52" s="11"/>
      <c r="EY52" s="11"/>
      <c r="EZ52" s="11"/>
      <c r="FA52" s="11">
        <v>6050000</v>
      </c>
      <c r="FB52" s="11"/>
      <c r="FC52" s="11">
        <v>66350000</v>
      </c>
      <c r="FD52" s="11"/>
      <c r="FE52" s="11">
        <v>4400000</v>
      </c>
      <c r="FF52" s="371"/>
      <c r="FG52" s="11"/>
      <c r="FH52" s="11"/>
      <c r="FI52" s="11"/>
      <c r="FJ52" s="1"/>
      <c r="FK52" s="11"/>
      <c r="FL52" s="11"/>
      <c r="FM52" s="11"/>
      <c r="FN52" s="11">
        <v>60000000</v>
      </c>
      <c r="FO52" s="11">
        <v>20000000</v>
      </c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>
        <v>300000</v>
      </c>
      <c r="GA52" s="371"/>
      <c r="GB52" s="11"/>
      <c r="GC52" s="11"/>
      <c r="GD52" s="11">
        <v>500000</v>
      </c>
      <c r="GE52" s="11"/>
      <c r="GF52" s="11">
        <v>650000</v>
      </c>
      <c r="GG52" s="11">
        <v>50000000</v>
      </c>
      <c r="GH52" s="11">
        <v>12600000</v>
      </c>
      <c r="GI52" s="11"/>
      <c r="GJ52" s="11">
        <v>6950000</v>
      </c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371"/>
      <c r="GV52" s="11"/>
      <c r="GW52" s="11"/>
      <c r="GX52" s="11">
        <v>1650000</v>
      </c>
      <c r="GY52" s="11">
        <v>1650000</v>
      </c>
      <c r="GZ52" s="11"/>
      <c r="HA52" s="11"/>
      <c r="HB52" s="11"/>
      <c r="HC52" s="11">
        <v>10600000</v>
      </c>
      <c r="HD52" s="11">
        <v>14800000</v>
      </c>
      <c r="HE52" s="11"/>
      <c r="HF52" s="11"/>
      <c r="HG52" s="11"/>
      <c r="HH52" s="11"/>
      <c r="HI52" s="11"/>
      <c r="HJ52" s="11"/>
      <c r="HK52" s="11"/>
      <c r="HL52" s="11"/>
      <c r="HM52" s="11"/>
      <c r="HN52" s="11">
        <v>3200000</v>
      </c>
      <c r="HO52" s="11">
        <v>22700000</v>
      </c>
      <c r="HP52" s="371"/>
      <c r="HQ52" s="11"/>
      <c r="HR52" s="11">
        <v>4100000</v>
      </c>
      <c r="HS52" s="11"/>
      <c r="HT52" s="11"/>
      <c r="HU52" s="11">
        <v>4900000</v>
      </c>
      <c r="HV52" s="11">
        <v>4700000</v>
      </c>
      <c r="HW52" s="11"/>
      <c r="HX52" s="11">
        <v>4900000</v>
      </c>
      <c r="HY52" s="11"/>
      <c r="HZ52" s="11">
        <v>1600000</v>
      </c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37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4"/>
      <c r="IY52" s="14"/>
      <c r="IZ52" s="14"/>
      <c r="JA52" s="14"/>
      <c r="JB52" s="14"/>
      <c r="JC52" s="14"/>
      <c r="JD52" s="14"/>
      <c r="JE52" s="14"/>
      <c r="JF52" s="14"/>
      <c r="JH52" s="11"/>
      <c r="JI52" s="4"/>
    </row>
    <row r="53" spans="1:269" ht="14.1" customHeight="1">
      <c r="A53" s="5" t="s">
        <v>39</v>
      </c>
      <c r="B53" s="13"/>
      <c r="C53" s="228">
        <v>30313542.850000001</v>
      </c>
      <c r="D53" s="5">
        <f t="shared" ref="D53:BO53" si="21">SUM(D49:D52)</f>
        <v>18693814</v>
      </c>
      <c r="E53" s="5">
        <f t="shared" si="21"/>
        <v>101594498.97000001</v>
      </c>
      <c r="F53" s="5">
        <f t="shared" si="21"/>
        <v>33616705.990000002</v>
      </c>
      <c r="G53" s="5">
        <f t="shared" si="21"/>
        <v>111428219.27000001</v>
      </c>
      <c r="H53" s="5">
        <f t="shared" si="21"/>
        <v>23076724.099999998</v>
      </c>
      <c r="I53" s="5">
        <f t="shared" si="21"/>
        <v>7298164.25</v>
      </c>
      <c r="J53" s="5">
        <f t="shared" si="21"/>
        <v>42205237.32</v>
      </c>
      <c r="K53" s="5">
        <f t="shared" si="21"/>
        <v>20365428.120000001</v>
      </c>
      <c r="L53" s="5">
        <f t="shared" si="21"/>
        <v>16432658.75</v>
      </c>
      <c r="M53" s="228">
        <f t="shared" si="21"/>
        <v>158858744.17000002</v>
      </c>
      <c r="N53" s="5">
        <f t="shared" si="21"/>
        <v>2305156.0699999998</v>
      </c>
      <c r="O53" s="5">
        <f t="shared" si="21"/>
        <v>2391799.27</v>
      </c>
      <c r="P53" s="5">
        <f t="shared" si="21"/>
        <v>1095290.3599999999</v>
      </c>
      <c r="Q53" s="5">
        <f t="shared" si="21"/>
        <v>4592950.8999999994</v>
      </c>
      <c r="R53" s="5">
        <f t="shared" si="21"/>
        <v>3887861.3799999994</v>
      </c>
      <c r="S53" s="5">
        <f t="shared" si="21"/>
        <v>11764578.27</v>
      </c>
      <c r="T53" s="5">
        <f t="shared" si="21"/>
        <v>1657292.5800000003</v>
      </c>
      <c r="U53" s="5">
        <f t="shared" si="21"/>
        <v>5927313.6299999999</v>
      </c>
      <c r="V53" s="5">
        <f t="shared" si="21"/>
        <v>5724530.6300000008</v>
      </c>
      <c r="W53" s="5">
        <f t="shared" si="21"/>
        <v>4777469.6599999992</v>
      </c>
      <c r="X53" s="5">
        <f t="shared" si="21"/>
        <v>5719125.3700000001</v>
      </c>
      <c r="Y53" s="5">
        <f t="shared" si="21"/>
        <v>10485402.68</v>
      </c>
      <c r="Z53" s="5">
        <f t="shared" si="21"/>
        <v>13114554.140000001</v>
      </c>
      <c r="AA53" s="5">
        <f t="shared" si="21"/>
        <v>23923796.060000002</v>
      </c>
      <c r="AB53" s="5">
        <f t="shared" si="21"/>
        <v>5409932.3099999996</v>
      </c>
      <c r="AC53" s="5">
        <f t="shared" si="21"/>
        <v>7970649.21</v>
      </c>
      <c r="AD53" s="5">
        <f t="shared" si="21"/>
        <v>4535076.4799999995</v>
      </c>
      <c r="AE53" s="5">
        <f t="shared" si="21"/>
        <v>1754998.96</v>
      </c>
      <c r="AF53" s="5">
        <f t="shared" si="21"/>
        <v>11462659.85</v>
      </c>
      <c r="AG53" s="228">
        <f t="shared" si="21"/>
        <v>70821579.229999989</v>
      </c>
      <c r="AH53" s="5">
        <f t="shared" si="21"/>
        <v>1684564.21</v>
      </c>
      <c r="AI53" s="5">
        <f t="shared" si="21"/>
        <v>7827944.3700000001</v>
      </c>
      <c r="AJ53" s="5">
        <f t="shared" si="21"/>
        <v>2040642.52</v>
      </c>
      <c r="AK53" s="5">
        <f t="shared" si="21"/>
        <v>4404488.84</v>
      </c>
      <c r="AL53" s="5">
        <f t="shared" si="21"/>
        <v>929885.44</v>
      </c>
      <c r="AM53" s="5">
        <f t="shared" si="21"/>
        <v>3443324.4299999997</v>
      </c>
      <c r="AN53" s="5">
        <f t="shared" si="21"/>
        <v>1237024.8500000001</v>
      </c>
      <c r="AO53" s="580">
        <f t="shared" si="21"/>
        <v>2499137.9400000004</v>
      </c>
      <c r="AP53" s="5">
        <f t="shared" si="21"/>
        <v>8131561.6699999999</v>
      </c>
      <c r="AQ53" s="5">
        <f t="shared" si="21"/>
        <v>7751732.5700000003</v>
      </c>
      <c r="AR53" s="5">
        <f t="shared" si="21"/>
        <v>6243995.5300000003</v>
      </c>
      <c r="AS53" s="5">
        <f t="shared" si="21"/>
        <v>4126930.62</v>
      </c>
      <c r="AT53" s="5">
        <f t="shared" si="21"/>
        <v>28714764.640000001</v>
      </c>
      <c r="AU53" s="5">
        <f t="shared" si="21"/>
        <v>18309117.969999999</v>
      </c>
      <c r="AV53" s="5">
        <f t="shared" si="21"/>
        <v>4147675.7399999998</v>
      </c>
      <c r="AW53" s="5">
        <f t="shared" si="21"/>
        <v>16793766.52</v>
      </c>
      <c r="AX53" s="5">
        <f t="shared" si="21"/>
        <v>2278090.9800000004</v>
      </c>
      <c r="AY53" s="5">
        <f t="shared" si="21"/>
        <v>815835.50000000012</v>
      </c>
      <c r="AZ53" s="5">
        <f t="shared" si="21"/>
        <v>1343424.2899999998</v>
      </c>
      <c r="BA53" s="5">
        <f t="shared" si="21"/>
        <v>6958615.7299999995</v>
      </c>
      <c r="BB53" s="5">
        <f t="shared" si="21"/>
        <v>2199697.4000000004</v>
      </c>
      <c r="BC53" s="5">
        <f t="shared" si="21"/>
        <v>4963944.2</v>
      </c>
      <c r="BD53" s="228">
        <f t="shared" si="21"/>
        <v>70660814.060000002</v>
      </c>
      <c r="BE53" s="5">
        <f t="shared" si="21"/>
        <v>5643087.4900000002</v>
      </c>
      <c r="BF53" s="5">
        <f t="shared" si="21"/>
        <v>6805618.0099999998</v>
      </c>
      <c r="BG53" s="5">
        <f t="shared" si="21"/>
        <v>3314793.0300000003</v>
      </c>
      <c r="BH53" s="5">
        <f t="shared" si="21"/>
        <v>4582183.3900000006</v>
      </c>
      <c r="BI53" s="5">
        <f t="shared" si="21"/>
        <v>1088637.55</v>
      </c>
      <c r="BJ53" s="5">
        <f t="shared" si="21"/>
        <v>12076400.310000001</v>
      </c>
      <c r="BK53" s="5">
        <f t="shared" si="21"/>
        <v>4531108.1000000006</v>
      </c>
      <c r="BL53" s="5">
        <f t="shared" si="21"/>
        <v>3290181.36</v>
      </c>
      <c r="BM53" s="5">
        <f t="shared" si="21"/>
        <v>896379.8</v>
      </c>
      <c r="BN53" s="5">
        <f t="shared" si="21"/>
        <v>6994879.6900000004</v>
      </c>
      <c r="BO53" s="5">
        <f t="shared" si="21"/>
        <v>4170375.5600000005</v>
      </c>
      <c r="BP53" s="5">
        <f t="shared" ref="BP53:EA53" si="22">SUM(BP49:BP52)</f>
        <v>9845581.3000000007</v>
      </c>
      <c r="BQ53" s="5">
        <f t="shared" si="22"/>
        <v>11750774.619999999</v>
      </c>
      <c r="BR53" s="5">
        <f t="shared" si="22"/>
        <v>1695094.39</v>
      </c>
      <c r="BS53" s="5">
        <f t="shared" si="22"/>
        <v>15804132.290000001</v>
      </c>
      <c r="BT53" s="5">
        <f t="shared" si="22"/>
        <v>839973.97</v>
      </c>
      <c r="BU53" s="5">
        <f t="shared" si="22"/>
        <v>3729767.1799999997</v>
      </c>
      <c r="BV53" s="5">
        <f t="shared" si="22"/>
        <v>1855825.75</v>
      </c>
      <c r="BW53" s="5">
        <f t="shared" si="22"/>
        <v>2836007.27</v>
      </c>
      <c r="BX53" s="5">
        <f t="shared" si="22"/>
        <v>1735901.07</v>
      </c>
      <c r="BY53" s="228">
        <f t="shared" si="22"/>
        <v>73770506.200000003</v>
      </c>
      <c r="BZ53" s="5">
        <f t="shared" si="22"/>
        <v>4194951.91</v>
      </c>
      <c r="CA53" s="5">
        <f t="shared" si="22"/>
        <v>3723210.65</v>
      </c>
      <c r="CB53" s="5">
        <f t="shared" si="22"/>
        <v>5248654.67</v>
      </c>
      <c r="CC53" s="5">
        <f t="shared" si="22"/>
        <v>14126621.17</v>
      </c>
      <c r="CD53" s="5">
        <f t="shared" si="22"/>
        <v>1594513.7300000002</v>
      </c>
      <c r="CE53" s="5">
        <f t="shared" si="22"/>
        <v>8037058.1399999987</v>
      </c>
      <c r="CF53" s="5">
        <f t="shared" si="22"/>
        <v>15782750.24</v>
      </c>
      <c r="CG53" s="5">
        <f t="shared" si="22"/>
        <v>1657880.93</v>
      </c>
      <c r="CH53" s="5">
        <f t="shared" si="22"/>
        <v>1308781.1000000001</v>
      </c>
      <c r="CI53" s="5">
        <f t="shared" si="22"/>
        <v>4363705.3500000006</v>
      </c>
      <c r="CJ53" s="5">
        <f t="shared" si="22"/>
        <v>9424743.9000000004</v>
      </c>
      <c r="CK53" s="5">
        <f t="shared" si="22"/>
        <v>2255194.66</v>
      </c>
      <c r="CL53" s="5">
        <f t="shared" si="22"/>
        <v>40114765.122000001</v>
      </c>
      <c r="CM53" s="5">
        <f t="shared" si="22"/>
        <v>15528348.91</v>
      </c>
      <c r="CN53" s="5">
        <f t="shared" si="22"/>
        <v>2420678.5700000003</v>
      </c>
      <c r="CO53" s="5">
        <f t="shared" si="22"/>
        <v>8202960.04</v>
      </c>
      <c r="CP53" s="5">
        <f t="shared" si="22"/>
        <v>3624327.9500000007</v>
      </c>
      <c r="CQ53" s="5">
        <f t="shared" si="22"/>
        <v>2041098.8399999999</v>
      </c>
      <c r="CR53" s="5">
        <f t="shared" si="22"/>
        <v>5437430.9500000002</v>
      </c>
      <c r="CS53" s="5">
        <f t="shared" si="22"/>
        <v>2588533.6699999995</v>
      </c>
      <c r="CT53" s="374">
        <f t="shared" si="22"/>
        <v>79855270</v>
      </c>
      <c r="CU53" s="5">
        <f t="shared" si="22"/>
        <v>16356962.1</v>
      </c>
      <c r="CV53" s="5">
        <f t="shared" si="22"/>
        <v>1478731.05</v>
      </c>
      <c r="CW53" s="5">
        <f t="shared" si="22"/>
        <v>6038114.0300000003</v>
      </c>
      <c r="CX53" s="5">
        <f t="shared" si="22"/>
        <v>746614.03999999992</v>
      </c>
      <c r="CY53" s="5">
        <f t="shared" si="22"/>
        <v>12093959.6</v>
      </c>
      <c r="CZ53" s="5">
        <f t="shared" si="22"/>
        <v>4963908.1999999993</v>
      </c>
      <c r="DA53" s="5">
        <f t="shared" si="22"/>
        <v>5029448.0500000007</v>
      </c>
      <c r="DB53" s="5">
        <f t="shared" si="22"/>
        <v>7609539.0699999994</v>
      </c>
      <c r="DC53" s="5">
        <f t="shared" si="22"/>
        <v>3664424.98</v>
      </c>
      <c r="DD53" s="5">
        <f t="shared" si="22"/>
        <v>4438438.62</v>
      </c>
      <c r="DE53" s="5">
        <f t="shared" si="22"/>
        <v>15496997.020000001</v>
      </c>
      <c r="DF53" s="5">
        <f t="shared" si="22"/>
        <v>1879213.9100000001</v>
      </c>
      <c r="DG53" s="5">
        <f t="shared" si="22"/>
        <v>1897296.1700000002</v>
      </c>
      <c r="DH53" s="5">
        <f t="shared" si="22"/>
        <v>2449863.7599999998</v>
      </c>
      <c r="DI53" s="5">
        <f t="shared" si="22"/>
        <v>1509279.37</v>
      </c>
      <c r="DJ53" s="5">
        <f t="shared" si="22"/>
        <v>1022254.92</v>
      </c>
      <c r="DK53" s="5">
        <f t="shared" si="22"/>
        <v>1751225.98</v>
      </c>
      <c r="DL53" s="5">
        <f t="shared" si="22"/>
        <v>1152540.3799999999</v>
      </c>
      <c r="DM53" s="5">
        <f t="shared" si="22"/>
        <v>6049138.04</v>
      </c>
      <c r="DN53" s="5">
        <f t="shared" si="22"/>
        <v>60324286.439999998</v>
      </c>
      <c r="DO53" s="374">
        <f t="shared" si="22"/>
        <v>64304897.490000002</v>
      </c>
      <c r="DP53" s="5">
        <f t="shared" si="22"/>
        <v>28752699.120000001</v>
      </c>
      <c r="DQ53" s="5">
        <f t="shared" si="22"/>
        <v>22294351.149999999</v>
      </c>
      <c r="DR53" s="5">
        <f t="shared" si="22"/>
        <v>1264134.07</v>
      </c>
      <c r="DS53" s="5">
        <f t="shared" si="22"/>
        <v>3991330.47</v>
      </c>
      <c r="DT53" s="5">
        <f t="shared" si="22"/>
        <v>1737919.08</v>
      </c>
      <c r="DU53" s="5">
        <f t="shared" si="22"/>
        <v>8988165.5100000016</v>
      </c>
      <c r="DV53" s="5">
        <f t="shared" si="22"/>
        <v>12637770.68</v>
      </c>
      <c r="DW53" s="5">
        <f t="shared" si="22"/>
        <v>6918531.4400000004</v>
      </c>
      <c r="DX53" s="5">
        <f t="shared" si="22"/>
        <v>4012121.5300000003</v>
      </c>
      <c r="DY53" s="5">
        <f t="shared" si="22"/>
        <v>1076634.95</v>
      </c>
      <c r="DZ53" s="5">
        <f t="shared" si="22"/>
        <v>4225183.629999999</v>
      </c>
      <c r="EA53" s="5">
        <f t="shared" si="22"/>
        <v>2282892.9399999995</v>
      </c>
      <c r="EB53" s="5">
        <f t="shared" ref="EB53:GM53" si="23">SUM(EB49:EB52)</f>
        <v>2042617.7599999998</v>
      </c>
      <c r="EC53" s="5">
        <f t="shared" si="23"/>
        <v>748147.7300000001</v>
      </c>
      <c r="ED53" s="5">
        <f t="shared" si="23"/>
        <v>1208977.8900000001</v>
      </c>
      <c r="EE53" s="5">
        <f t="shared" si="23"/>
        <v>19247383.699999999</v>
      </c>
      <c r="EF53" s="5">
        <f t="shared" si="23"/>
        <v>9649766.7200000007</v>
      </c>
      <c r="EG53" s="5">
        <f t="shared" si="23"/>
        <v>32849372.370000001</v>
      </c>
      <c r="EH53" s="5">
        <f t="shared" si="23"/>
        <v>3235794.4899999998</v>
      </c>
      <c r="EI53" s="5">
        <f t="shared" si="23"/>
        <v>426255.19000000006</v>
      </c>
      <c r="EJ53" s="374">
        <f t="shared" si="23"/>
        <v>85605997.069999993</v>
      </c>
      <c r="EK53" s="5">
        <f t="shared" si="23"/>
        <v>10542948.939999998</v>
      </c>
      <c r="EL53" s="5">
        <f t="shared" si="23"/>
        <v>750644.24</v>
      </c>
      <c r="EM53" s="5">
        <f t="shared" si="23"/>
        <v>14760830.84</v>
      </c>
      <c r="EN53" s="5">
        <f t="shared" si="23"/>
        <v>108288.65999999999</v>
      </c>
      <c r="EO53" s="5">
        <f t="shared" si="23"/>
        <v>2022300.7299999997</v>
      </c>
      <c r="EP53" s="5">
        <f t="shared" si="23"/>
        <v>12929530.560000001</v>
      </c>
      <c r="EQ53" s="5">
        <f t="shared" si="23"/>
        <v>3219715.0399999996</v>
      </c>
      <c r="ER53" s="5">
        <f t="shared" si="23"/>
        <v>49643810.240000002</v>
      </c>
      <c r="ES53" s="5">
        <f t="shared" si="23"/>
        <v>2813546.56</v>
      </c>
      <c r="ET53" s="5">
        <f t="shared" si="23"/>
        <v>586670.84</v>
      </c>
      <c r="EU53" s="5">
        <f t="shared" si="23"/>
        <v>4974271.3800000008</v>
      </c>
      <c r="EV53" s="5">
        <f t="shared" si="23"/>
        <v>3966381.65</v>
      </c>
      <c r="EW53" s="5">
        <f t="shared" si="23"/>
        <v>2707201.16</v>
      </c>
      <c r="EX53" s="5">
        <f t="shared" si="23"/>
        <v>1663335.8199999998</v>
      </c>
      <c r="EY53" s="5">
        <f t="shared" si="23"/>
        <v>15971684.180000002</v>
      </c>
      <c r="EZ53" s="5">
        <f t="shared" si="23"/>
        <v>4215916.6399999997</v>
      </c>
      <c r="FA53" s="5">
        <f t="shared" si="23"/>
        <v>6448920.8899999997</v>
      </c>
      <c r="FB53" s="5">
        <f t="shared" si="23"/>
        <v>4552093.54</v>
      </c>
      <c r="FC53" s="5">
        <f t="shared" si="23"/>
        <v>72741358.579999998</v>
      </c>
      <c r="FD53" s="5">
        <f t="shared" si="23"/>
        <v>6206880.8099999996</v>
      </c>
      <c r="FE53" s="5">
        <f t="shared" si="23"/>
        <v>4857824.54</v>
      </c>
      <c r="FF53" s="374">
        <f t="shared" si="23"/>
        <v>71728227.569999993</v>
      </c>
      <c r="FG53" s="5">
        <f t="shared" si="23"/>
        <v>10268296.02</v>
      </c>
      <c r="FH53" s="5">
        <f t="shared" si="23"/>
        <v>10308249.18</v>
      </c>
      <c r="FI53" s="5">
        <f t="shared" si="23"/>
        <v>14937216.75</v>
      </c>
      <c r="FJ53" s="486">
        <f t="shared" si="23"/>
        <v>1853925.07</v>
      </c>
      <c r="FK53" s="5">
        <f t="shared" si="23"/>
        <v>9093786.7999999989</v>
      </c>
      <c r="FL53" s="5">
        <f t="shared" si="23"/>
        <v>1112100.3500000001</v>
      </c>
      <c r="FM53" s="5">
        <f t="shared" si="23"/>
        <v>1021730.13</v>
      </c>
      <c r="FN53" s="5">
        <f t="shared" si="23"/>
        <v>121085696.16</v>
      </c>
      <c r="FO53" s="5">
        <f t="shared" si="23"/>
        <v>66705425.289999999</v>
      </c>
      <c r="FP53" s="5">
        <f t="shared" si="23"/>
        <v>15332940.640000001</v>
      </c>
      <c r="FQ53" s="5">
        <f t="shared" si="23"/>
        <v>953725.39</v>
      </c>
      <c r="FR53" s="5">
        <f t="shared" si="23"/>
        <v>5814476.709999999</v>
      </c>
      <c r="FS53" s="5">
        <f t="shared" si="23"/>
        <v>7426730.1200000001</v>
      </c>
      <c r="FT53" s="5">
        <f t="shared" si="23"/>
        <v>2063939.52</v>
      </c>
      <c r="FU53" s="5">
        <f t="shared" si="23"/>
        <v>19711270.559999999</v>
      </c>
      <c r="FV53" s="5">
        <f t="shared" si="23"/>
        <v>4138082.34</v>
      </c>
      <c r="FW53" s="5">
        <f t="shared" si="23"/>
        <v>4832709.55</v>
      </c>
      <c r="FX53" s="5">
        <f t="shared" si="23"/>
        <v>7239450.0099999998</v>
      </c>
      <c r="FY53" s="5">
        <f t="shared" si="23"/>
        <v>2240344.35</v>
      </c>
      <c r="FZ53" s="5">
        <f t="shared" si="23"/>
        <v>857502.51</v>
      </c>
      <c r="GA53" s="374">
        <f t="shared" si="23"/>
        <v>60474897.359999999</v>
      </c>
      <c r="GB53" s="5">
        <f t="shared" si="23"/>
        <v>19500310.369999997</v>
      </c>
      <c r="GC53" s="5">
        <f t="shared" si="23"/>
        <v>14649651.129999999</v>
      </c>
      <c r="GD53" s="5">
        <f t="shared" si="23"/>
        <v>1426765.8399999999</v>
      </c>
      <c r="GE53" s="5">
        <f t="shared" si="23"/>
        <v>7878957.5999999996</v>
      </c>
      <c r="GF53" s="5">
        <f t="shared" si="23"/>
        <v>1389963.33</v>
      </c>
      <c r="GG53" s="5">
        <f t="shared" si="23"/>
        <v>64396478.299999997</v>
      </c>
      <c r="GH53" s="5">
        <f t="shared" si="23"/>
        <v>13137665.310000001</v>
      </c>
      <c r="GI53" s="5">
        <f t="shared" si="23"/>
        <v>2063072.24</v>
      </c>
      <c r="GJ53" s="5">
        <f t="shared" si="23"/>
        <v>7861408.2300000004</v>
      </c>
      <c r="GK53" s="5">
        <f t="shared" si="23"/>
        <v>5038402.05</v>
      </c>
      <c r="GL53" s="5">
        <f t="shared" si="23"/>
        <v>7582454.6700000009</v>
      </c>
      <c r="GM53" s="5">
        <f t="shared" si="23"/>
        <v>1604620.42</v>
      </c>
      <c r="GN53" s="5">
        <f t="shared" ref="GN53:IV53" si="24">SUM(GN49:GN52)</f>
        <v>3366613.67</v>
      </c>
      <c r="GO53" s="5">
        <f t="shared" si="24"/>
        <v>1788618.8</v>
      </c>
      <c r="GP53" s="5">
        <f t="shared" si="24"/>
        <v>39244886.629999995</v>
      </c>
      <c r="GQ53" s="5">
        <f t="shared" si="24"/>
        <v>7868543.25</v>
      </c>
      <c r="GR53" s="5">
        <f t="shared" si="24"/>
        <v>5480756.2000000002</v>
      </c>
      <c r="GS53" s="5">
        <f t="shared" si="24"/>
        <v>6829066.2300000004</v>
      </c>
      <c r="GT53" s="5">
        <f t="shared" si="24"/>
        <v>4293996.9399999995</v>
      </c>
      <c r="GU53" s="374">
        <f t="shared" si="24"/>
        <v>67709794.699999988</v>
      </c>
      <c r="GV53" s="5">
        <f t="shared" si="24"/>
        <v>25804072.030000001</v>
      </c>
      <c r="GW53" s="5">
        <f t="shared" si="24"/>
        <v>5603873.1100000003</v>
      </c>
      <c r="GX53" s="5">
        <f t="shared" si="24"/>
        <v>2621985.25</v>
      </c>
      <c r="GY53" s="5">
        <f t="shared" si="24"/>
        <v>2208766.52</v>
      </c>
      <c r="GZ53" s="5">
        <f t="shared" si="24"/>
        <v>13597336.650000002</v>
      </c>
      <c r="HA53" s="5">
        <f t="shared" si="24"/>
        <v>4496256.5699999994</v>
      </c>
      <c r="HB53" s="5">
        <f t="shared" si="24"/>
        <v>1264470.47</v>
      </c>
      <c r="HC53" s="5">
        <f t="shared" si="24"/>
        <v>14437130.49</v>
      </c>
      <c r="HD53" s="5">
        <f t="shared" si="24"/>
        <v>17550873.920000002</v>
      </c>
      <c r="HE53" s="5">
        <f t="shared" si="24"/>
        <v>1203884.8500000001</v>
      </c>
      <c r="HF53" s="5">
        <f t="shared" si="24"/>
        <v>4674274.8899999997</v>
      </c>
      <c r="HG53" s="5">
        <f t="shared" si="24"/>
        <v>3562008.17</v>
      </c>
      <c r="HH53" s="5">
        <f t="shared" si="24"/>
        <v>1981834.5100000002</v>
      </c>
      <c r="HI53" s="5">
        <f t="shared" si="24"/>
        <v>18809928.800000001</v>
      </c>
      <c r="HJ53" s="5">
        <f t="shared" si="24"/>
        <v>2469181.39</v>
      </c>
      <c r="HK53" s="5">
        <f t="shared" si="24"/>
        <v>4905618.66</v>
      </c>
      <c r="HL53" s="5">
        <f t="shared" si="24"/>
        <v>2833578.7800000003</v>
      </c>
      <c r="HM53" s="5">
        <f t="shared" si="24"/>
        <v>4040305.43</v>
      </c>
      <c r="HN53" s="5">
        <f t="shared" si="24"/>
        <v>11547518.010000002</v>
      </c>
      <c r="HO53" s="5">
        <f t="shared" si="24"/>
        <v>58948276.390000001</v>
      </c>
      <c r="HP53" s="374">
        <f t="shared" si="24"/>
        <v>66159933.439999998</v>
      </c>
      <c r="HQ53" s="5">
        <f t="shared" si="24"/>
        <v>12469202.109999999</v>
      </c>
      <c r="HR53" s="5">
        <f t="shared" si="24"/>
        <v>5663837.2599999998</v>
      </c>
      <c r="HS53" s="5">
        <f t="shared" si="24"/>
        <v>23385661.439999998</v>
      </c>
      <c r="HT53" s="5">
        <f t="shared" si="24"/>
        <v>10572340.99</v>
      </c>
      <c r="HU53" s="5">
        <f t="shared" si="24"/>
        <v>8104625.1400000006</v>
      </c>
      <c r="HV53" s="5">
        <f t="shared" si="24"/>
        <v>8801135.0500000007</v>
      </c>
      <c r="HW53" s="5">
        <f t="shared" si="24"/>
        <v>1165342.6399999999</v>
      </c>
      <c r="HX53" s="5">
        <f t="shared" si="24"/>
        <v>6291914.3600000003</v>
      </c>
      <c r="HY53" s="5">
        <f t="shared" si="24"/>
        <v>179575.19</v>
      </c>
      <c r="HZ53" s="5">
        <f t="shared" si="24"/>
        <v>5524927.7800000003</v>
      </c>
      <c r="IA53" s="5">
        <f t="shared" si="24"/>
        <v>53323527.650000006</v>
      </c>
      <c r="IB53" s="5">
        <f t="shared" ref="IB53" si="25">SUM(IB49:IB52)</f>
        <v>12286403.810000001</v>
      </c>
      <c r="IC53" s="5">
        <f t="shared" si="24"/>
        <v>53537946.129999995</v>
      </c>
      <c r="ID53" s="5">
        <f t="shared" si="24"/>
        <v>20528233.759999998</v>
      </c>
      <c r="IE53" s="5">
        <f t="shared" si="24"/>
        <v>12765471.65</v>
      </c>
      <c r="IF53" s="5">
        <f t="shared" si="24"/>
        <v>16480883.549999999</v>
      </c>
      <c r="IG53" s="5">
        <f t="shared" si="24"/>
        <v>11504181.49</v>
      </c>
      <c r="IH53" s="5">
        <f t="shared" si="24"/>
        <v>5400195.3200000003</v>
      </c>
      <c r="II53" s="5">
        <f t="shared" si="24"/>
        <v>12748569.109999999</v>
      </c>
      <c r="IJ53" s="5">
        <f t="shared" si="24"/>
        <v>10235482.98</v>
      </c>
      <c r="IK53" s="5">
        <f t="shared" si="24"/>
        <v>8980204.3800000008</v>
      </c>
      <c r="IL53" s="374">
        <f t="shared" si="24"/>
        <v>58337707.479999997</v>
      </c>
      <c r="IM53" s="5">
        <f t="shared" si="24"/>
        <v>22598790.32</v>
      </c>
      <c r="IN53" s="5">
        <f t="shared" si="24"/>
        <v>13969707.57</v>
      </c>
      <c r="IO53" s="5">
        <f t="shared" si="24"/>
        <v>16879940.030000005</v>
      </c>
      <c r="IP53" s="5">
        <f t="shared" si="24"/>
        <v>17592666.710000001</v>
      </c>
      <c r="IQ53" s="5">
        <f t="shared" si="24"/>
        <v>19601954.649999999</v>
      </c>
      <c r="IR53" s="5">
        <f t="shared" si="24"/>
        <v>19291953.59</v>
      </c>
      <c r="IS53" s="5">
        <f t="shared" si="24"/>
        <v>17036557.050000001</v>
      </c>
      <c r="IT53" s="5">
        <f t="shared" si="24"/>
        <v>19486451</v>
      </c>
      <c r="IU53" s="5">
        <f t="shared" si="24"/>
        <v>101057603.57999998</v>
      </c>
      <c r="IV53" s="5">
        <f t="shared" si="24"/>
        <v>40745547.450000003</v>
      </c>
      <c r="IW53" s="5">
        <f>SUM(IW49:IW52)</f>
        <v>2412230362.5019999</v>
      </c>
      <c r="IX53" s="7"/>
      <c r="IY53" s="7"/>
      <c r="IZ53" s="7"/>
      <c r="JA53" s="7"/>
      <c r="JB53" s="7"/>
      <c r="JC53" s="7"/>
      <c r="JD53" s="7"/>
      <c r="JE53" s="7"/>
      <c r="JF53" s="7"/>
      <c r="JH53" s="5">
        <f>SUM(JH49:JH52)</f>
        <v>0</v>
      </c>
      <c r="JI53" s="5">
        <f>SUM(JI49:JI52)</f>
        <v>4740660989.3239994</v>
      </c>
    </row>
    <row r="54" spans="1:269" ht="14.1" customHeight="1" thickBot="1">
      <c r="A54" s="64" t="s">
        <v>40</v>
      </c>
      <c r="B54" s="60"/>
      <c r="C54" s="67">
        <v>101728.04749986157</v>
      </c>
      <c r="D54" s="60">
        <f t="shared" ref="D54:BO54" si="26">+D6+D27-D53</f>
        <v>1510230.0474998616</v>
      </c>
      <c r="E54" s="60">
        <f t="shared" si="26"/>
        <v>411901.08749987185</v>
      </c>
      <c r="F54" s="60">
        <f t="shared" si="26"/>
        <v>189400.04749987274</v>
      </c>
      <c r="G54" s="60">
        <f t="shared" si="26"/>
        <v>187198.04749986529</v>
      </c>
      <c r="H54" s="60">
        <f t="shared" si="26"/>
        <v>132888.04749987274</v>
      </c>
      <c r="I54" s="60">
        <f t="shared" si="26"/>
        <v>144602.04749987274</v>
      </c>
      <c r="J54" s="60">
        <f t="shared" si="26"/>
        <v>153799.04749986529</v>
      </c>
      <c r="K54" s="60">
        <f t="shared" si="26"/>
        <v>171712.04749986529</v>
      </c>
      <c r="L54" s="60">
        <f t="shared" si="26"/>
        <v>121009.04749986529</v>
      </c>
      <c r="M54" s="67">
        <f t="shared" si="26"/>
        <v>105786.04749986529</v>
      </c>
      <c r="N54" s="60">
        <f t="shared" si="26"/>
        <v>102047.04749986529</v>
      </c>
      <c r="O54" s="60">
        <f t="shared" si="26"/>
        <v>107847.04749986529</v>
      </c>
      <c r="P54" s="60">
        <f t="shared" si="26"/>
        <v>109721.04749986529</v>
      </c>
      <c r="Q54" s="60">
        <f t="shared" si="26"/>
        <v>110820.04749986622</v>
      </c>
      <c r="R54" s="60">
        <f t="shared" si="26"/>
        <v>3868178.0474998667</v>
      </c>
      <c r="S54" s="60">
        <f t="shared" si="26"/>
        <v>529987.39749986678</v>
      </c>
      <c r="T54" s="60">
        <f t="shared" si="26"/>
        <v>330332.64749986655</v>
      </c>
      <c r="U54" s="60">
        <f t="shared" si="26"/>
        <v>116656.99749986734</v>
      </c>
      <c r="V54" s="60">
        <f t="shared" si="26"/>
        <v>213876.99749986734</v>
      </c>
      <c r="W54" s="60">
        <f t="shared" si="26"/>
        <v>241827.99749986827</v>
      </c>
      <c r="X54" s="60">
        <f t="shared" si="26"/>
        <v>164944.99749986827</v>
      </c>
      <c r="Y54" s="60">
        <f t="shared" si="26"/>
        <v>114623.99749986827</v>
      </c>
      <c r="Z54" s="60">
        <f t="shared" si="26"/>
        <v>165667.99749986827</v>
      </c>
      <c r="AA54" s="60">
        <f t="shared" si="26"/>
        <v>189257.99749986827</v>
      </c>
      <c r="AB54" s="60">
        <f t="shared" si="26"/>
        <v>149470.99749986827</v>
      </c>
      <c r="AC54" s="60">
        <f t="shared" si="26"/>
        <v>209897.99749986921</v>
      </c>
      <c r="AD54" s="60">
        <f t="shared" si="26"/>
        <v>165564.99749987014</v>
      </c>
      <c r="AE54" s="60">
        <f t="shared" si="26"/>
        <v>118670.99749987014</v>
      </c>
      <c r="AF54" s="60">
        <f t="shared" si="26"/>
        <v>107082.99749987014</v>
      </c>
      <c r="AG54" s="67">
        <f t="shared" si="26"/>
        <v>129981.99749986827</v>
      </c>
      <c r="AH54" s="60">
        <f t="shared" si="26"/>
        <v>104359.99749986827</v>
      </c>
      <c r="AI54" s="60">
        <f t="shared" si="26"/>
        <v>100272.99749986827</v>
      </c>
      <c r="AJ54" s="60">
        <f t="shared" si="26"/>
        <v>100000.99749986781</v>
      </c>
      <c r="AK54" s="60">
        <f t="shared" si="26"/>
        <v>99999.997499868274</v>
      </c>
      <c r="AL54" s="60">
        <f t="shared" si="26"/>
        <v>99999.997499868274</v>
      </c>
      <c r="AM54" s="60">
        <f t="shared" si="26"/>
        <v>100827.99749986827</v>
      </c>
      <c r="AN54" s="60">
        <f t="shared" si="26"/>
        <v>146240.99749986804</v>
      </c>
      <c r="AO54" s="581">
        <f t="shared" si="26"/>
        <v>110592.99749986734</v>
      </c>
      <c r="AP54" s="60">
        <f t="shared" si="26"/>
        <v>160716.99749986734</v>
      </c>
      <c r="AQ54" s="60">
        <f t="shared" si="26"/>
        <v>183642.99749986734</v>
      </c>
      <c r="AR54" s="60">
        <f t="shared" si="26"/>
        <v>218701.99749986827</v>
      </c>
      <c r="AS54" s="60">
        <f t="shared" si="26"/>
        <v>379250.79749986809</v>
      </c>
      <c r="AT54" s="60">
        <f t="shared" si="26"/>
        <v>103329.99749986827</v>
      </c>
      <c r="AU54" s="60">
        <f t="shared" si="26"/>
        <v>157422.997499872</v>
      </c>
      <c r="AV54" s="60">
        <f t="shared" si="26"/>
        <v>111865.99749987246</v>
      </c>
      <c r="AW54" s="60">
        <f t="shared" si="26"/>
        <v>155317.997499872</v>
      </c>
      <c r="AX54" s="60">
        <f t="shared" si="26"/>
        <v>160600.99749987153</v>
      </c>
      <c r="AY54" s="60">
        <f t="shared" si="26"/>
        <v>139322.99749987142</v>
      </c>
      <c r="AZ54" s="60">
        <f t="shared" si="26"/>
        <v>166550.99749987177</v>
      </c>
      <c r="BA54" s="60">
        <f t="shared" si="26"/>
        <v>123574.99749987293</v>
      </c>
      <c r="BB54" s="60">
        <f t="shared" si="26"/>
        <v>366079.99749987246</v>
      </c>
      <c r="BC54" s="60">
        <f t="shared" si="26"/>
        <v>122871.99749987293</v>
      </c>
      <c r="BD54" s="67">
        <f t="shared" si="26"/>
        <v>119806.56749986112</v>
      </c>
      <c r="BE54" s="60">
        <f t="shared" si="26"/>
        <v>137296.56749986112</v>
      </c>
      <c r="BF54" s="60">
        <f t="shared" si="26"/>
        <v>317365.56749986205</v>
      </c>
      <c r="BG54" s="60">
        <f t="shared" si="26"/>
        <v>126436.56749986205</v>
      </c>
      <c r="BH54" s="60">
        <f t="shared" si="26"/>
        <v>106508.56749986112</v>
      </c>
      <c r="BI54" s="60">
        <f t="shared" si="26"/>
        <v>108723.56749986112</v>
      </c>
      <c r="BJ54" s="60">
        <f t="shared" si="26"/>
        <v>143771.56749986112</v>
      </c>
      <c r="BK54" s="60">
        <f t="shared" si="26"/>
        <v>109093.56749986019</v>
      </c>
      <c r="BL54" s="60">
        <f t="shared" si="26"/>
        <v>115636.56749986066</v>
      </c>
      <c r="BM54" s="60">
        <f t="shared" si="26"/>
        <v>2176613.8874998605</v>
      </c>
      <c r="BN54" s="60">
        <f t="shared" si="26"/>
        <v>293561.57749985997</v>
      </c>
      <c r="BO54" s="60">
        <f t="shared" si="26"/>
        <v>296558.99749985896</v>
      </c>
      <c r="BP54" s="60">
        <f t="shared" ref="BP54:EA54" si="27">+BP6+BP27-BP53</f>
        <v>296689.69749985822</v>
      </c>
      <c r="BQ54" s="60">
        <f t="shared" si="27"/>
        <v>327835.13749985956</v>
      </c>
      <c r="BR54" s="60">
        <f t="shared" si="27"/>
        <v>291867.0374998597</v>
      </c>
      <c r="BS54" s="60">
        <f t="shared" si="27"/>
        <v>289714.6474998612</v>
      </c>
      <c r="BT54" s="60">
        <f t="shared" si="27"/>
        <v>337069.76749986107</v>
      </c>
      <c r="BU54" s="60">
        <f t="shared" si="27"/>
        <v>265525.09749986138</v>
      </c>
      <c r="BV54" s="60">
        <f t="shared" si="27"/>
        <v>312398.03749986133</v>
      </c>
      <c r="BW54" s="60">
        <f t="shared" si="27"/>
        <v>439701.09749986138</v>
      </c>
      <c r="BX54" s="60">
        <f t="shared" si="27"/>
        <v>283911.77749986132</v>
      </c>
      <c r="BY54" s="67">
        <f t="shared" si="27"/>
        <v>313046.63749985397</v>
      </c>
      <c r="BZ54" s="60">
        <f t="shared" si="27"/>
        <v>364282.70749985427</v>
      </c>
      <c r="CA54" s="60">
        <f t="shared" si="27"/>
        <v>317010.29749985412</v>
      </c>
      <c r="CB54" s="60">
        <f t="shared" si="27"/>
        <v>360068.47749985382</v>
      </c>
      <c r="CC54" s="60">
        <f t="shared" si="27"/>
        <v>423560.44749985449</v>
      </c>
      <c r="CD54" s="60">
        <f t="shared" si="27"/>
        <v>323623.81749985437</v>
      </c>
      <c r="CE54" s="60">
        <f t="shared" si="27"/>
        <v>297550.71749985591</v>
      </c>
      <c r="CF54" s="60">
        <f t="shared" si="27"/>
        <v>314747.34749985486</v>
      </c>
      <c r="CG54" s="60">
        <f t="shared" si="27"/>
        <v>1174852.4274998547</v>
      </c>
      <c r="CH54" s="60">
        <f t="shared" si="27"/>
        <v>428653.64749985468</v>
      </c>
      <c r="CI54" s="60">
        <f t="shared" si="27"/>
        <v>321907.56749985367</v>
      </c>
      <c r="CJ54" s="60">
        <f t="shared" si="27"/>
        <v>286608.14749985375</v>
      </c>
      <c r="CK54" s="60">
        <f t="shared" si="27"/>
        <v>345773.81749985367</v>
      </c>
      <c r="CL54" s="60">
        <f t="shared" si="27"/>
        <v>414711.89549985528</v>
      </c>
      <c r="CM54" s="60">
        <f t="shared" si="27"/>
        <v>343063.42549985647</v>
      </c>
      <c r="CN54" s="60">
        <f t="shared" si="27"/>
        <v>394517.76549985586</v>
      </c>
      <c r="CO54" s="60">
        <f t="shared" si="27"/>
        <v>311742.05549985636</v>
      </c>
      <c r="CP54" s="60">
        <f t="shared" si="27"/>
        <v>244824.74549985584</v>
      </c>
      <c r="CQ54" s="60">
        <f t="shared" si="27"/>
        <v>338823.11549985595</v>
      </c>
      <c r="CR54" s="60">
        <f t="shared" si="27"/>
        <v>301263.19549985602</v>
      </c>
      <c r="CS54" s="60">
        <f t="shared" si="27"/>
        <v>248118.33549985662</v>
      </c>
      <c r="CT54" s="67">
        <f t="shared" si="27"/>
        <v>298982.79549986124</v>
      </c>
      <c r="CU54" s="60">
        <f t="shared" si="27"/>
        <v>276436.57549986243</v>
      </c>
      <c r="CV54" s="60">
        <f t="shared" si="27"/>
        <v>283231.16549986228</v>
      </c>
      <c r="CW54" s="60">
        <f t="shared" si="27"/>
        <v>278580.86549986247</v>
      </c>
      <c r="CX54" s="60">
        <f t="shared" si="27"/>
        <v>267018.16549986263</v>
      </c>
      <c r="CY54" s="60">
        <f t="shared" si="27"/>
        <v>477399.95549986139</v>
      </c>
      <c r="CZ54" s="60">
        <f t="shared" si="27"/>
        <v>297106.58549986221</v>
      </c>
      <c r="DA54" s="60">
        <f t="shared" si="27"/>
        <v>2711331.2954998612</v>
      </c>
      <c r="DB54" s="60">
        <f t="shared" si="27"/>
        <v>445820.98549986258</v>
      </c>
      <c r="DC54" s="60">
        <f t="shared" si="27"/>
        <v>295004.31549986266</v>
      </c>
      <c r="DD54" s="60">
        <f t="shared" si="27"/>
        <v>233133.49549986236</v>
      </c>
      <c r="DE54" s="60">
        <f t="shared" si="27"/>
        <v>212622.05549986102</v>
      </c>
      <c r="DF54" s="60">
        <f t="shared" si="27"/>
        <v>236492.88549986109</v>
      </c>
      <c r="DG54" s="60">
        <f t="shared" si="27"/>
        <v>243242.86549986084</v>
      </c>
      <c r="DH54" s="60">
        <f t="shared" si="27"/>
        <v>136192.46549986117</v>
      </c>
      <c r="DI54" s="60">
        <f t="shared" si="27"/>
        <v>210686.6454998611</v>
      </c>
      <c r="DJ54" s="60">
        <f t="shared" si="27"/>
        <v>241366.90549986123</v>
      </c>
      <c r="DK54" s="60">
        <f t="shared" si="27"/>
        <v>216811.49549986143</v>
      </c>
      <c r="DL54" s="60">
        <f t="shared" si="27"/>
        <v>225944.00549986167</v>
      </c>
      <c r="DM54" s="60">
        <f t="shared" si="27"/>
        <v>784496.13549986202</v>
      </c>
      <c r="DN54" s="60">
        <f t="shared" si="27"/>
        <v>5700252.4954998642</v>
      </c>
      <c r="DO54" s="67">
        <f t="shared" si="27"/>
        <v>575727.29549986124</v>
      </c>
      <c r="DP54" s="60">
        <f t="shared" si="27"/>
        <v>-172361.72450013831</v>
      </c>
      <c r="DQ54" s="60">
        <f t="shared" si="27"/>
        <v>267845.11549986154</v>
      </c>
      <c r="DR54" s="60">
        <f t="shared" si="27"/>
        <v>674943.02549986145</v>
      </c>
      <c r="DS54" s="60">
        <f t="shared" si="27"/>
        <v>239356.44549986115</v>
      </c>
      <c r="DT54" s="60">
        <f t="shared" si="27"/>
        <v>338073.93549986114</v>
      </c>
      <c r="DU54" s="60">
        <f t="shared" si="27"/>
        <v>227242.94549985975</v>
      </c>
      <c r="DV54" s="60">
        <f t="shared" si="27"/>
        <v>226538.46549986117</v>
      </c>
      <c r="DW54" s="60">
        <f t="shared" si="27"/>
        <v>426445.51549986098</v>
      </c>
      <c r="DX54" s="60">
        <f t="shared" si="27"/>
        <v>214323.98549986072</v>
      </c>
      <c r="DY54" s="60">
        <f t="shared" si="27"/>
        <v>280179.65549986088</v>
      </c>
      <c r="DZ54" s="60">
        <f t="shared" si="27"/>
        <v>251599.91549986135</v>
      </c>
      <c r="EA54" s="60">
        <f t="shared" si="27"/>
        <v>256758.1454998618</v>
      </c>
      <c r="EB54" s="60">
        <f t="shared" ref="EB54:GM54" si="28">+EB6+EB27-EB53</f>
        <v>442158.49549986236</v>
      </c>
      <c r="EC54" s="60">
        <f t="shared" si="28"/>
        <v>286284.88549986226</v>
      </c>
      <c r="ED54" s="60">
        <f t="shared" si="28"/>
        <v>263507.26549986214</v>
      </c>
      <c r="EE54" s="60">
        <f t="shared" si="28"/>
        <v>254440.80549986288</v>
      </c>
      <c r="EF54" s="60">
        <f t="shared" si="28"/>
        <v>222430.80549986288</v>
      </c>
      <c r="EG54" s="60">
        <f t="shared" si="28"/>
        <v>245055.91549986601</v>
      </c>
      <c r="EH54" s="60">
        <f t="shared" si="28"/>
        <v>452494.2654998661</v>
      </c>
      <c r="EI54" s="60">
        <f t="shared" si="28"/>
        <v>324410.30549986602</v>
      </c>
      <c r="EJ54" s="67">
        <f t="shared" si="28"/>
        <v>447811.17549987137</v>
      </c>
      <c r="EK54" s="487">
        <f t="shared" si="28"/>
        <v>226997.81549987383</v>
      </c>
      <c r="EL54" s="60">
        <f t="shared" si="28"/>
        <v>314124.21549987397</v>
      </c>
      <c r="EM54" s="60">
        <f t="shared" si="28"/>
        <v>239996.74549987353</v>
      </c>
      <c r="EN54" s="60">
        <f t="shared" si="28"/>
        <v>221512.72549987357</v>
      </c>
      <c r="EO54" s="60">
        <f t="shared" si="28"/>
        <v>265950.29549987405</v>
      </c>
      <c r="EP54" s="60">
        <f t="shared" si="28"/>
        <v>218754.2154998742</v>
      </c>
      <c r="EQ54" s="60">
        <f t="shared" si="28"/>
        <v>296830.03549987404</v>
      </c>
      <c r="ER54" s="60">
        <f t="shared" si="28"/>
        <v>274593.8754998669</v>
      </c>
      <c r="ES54" s="60">
        <f t="shared" si="28"/>
        <v>268836.3754998669</v>
      </c>
      <c r="ET54" s="60">
        <f t="shared" si="28"/>
        <v>267086.33549986698</v>
      </c>
      <c r="EU54" s="60">
        <f t="shared" si="28"/>
        <v>277209.6154998662</v>
      </c>
      <c r="EV54" s="60">
        <f t="shared" si="28"/>
        <v>303974.66549986647</v>
      </c>
      <c r="EW54" s="60">
        <f t="shared" si="28"/>
        <v>464994.49549986655</v>
      </c>
      <c r="EX54" s="60">
        <f t="shared" si="28"/>
        <v>325393.1554998667</v>
      </c>
      <c r="EY54" s="60">
        <f t="shared" si="28"/>
        <v>315151.005499864</v>
      </c>
      <c r="EZ54" s="60">
        <f t="shared" si="28"/>
        <v>195903.5754998643</v>
      </c>
      <c r="FA54" s="60">
        <f t="shared" si="28"/>
        <v>523517.62549986504</v>
      </c>
      <c r="FB54" s="60">
        <f t="shared" si="28"/>
        <v>51204120.175499871</v>
      </c>
      <c r="FC54" s="60">
        <f t="shared" si="28"/>
        <v>308362.09549987316</v>
      </c>
      <c r="FD54" s="60">
        <f t="shared" si="28"/>
        <v>279697.58549987338</v>
      </c>
      <c r="FE54" s="60">
        <f t="shared" si="28"/>
        <v>281270.18549987301</v>
      </c>
      <c r="FF54" s="67">
        <f t="shared" si="28"/>
        <v>280551.62549988925</v>
      </c>
      <c r="FG54" s="60">
        <f t="shared" si="28"/>
        <v>390016.14549988881</v>
      </c>
      <c r="FH54" s="60">
        <f t="shared" si="28"/>
        <v>438118.20549988933</v>
      </c>
      <c r="FI54" s="60">
        <f t="shared" si="28"/>
        <v>332608.18549988791</v>
      </c>
      <c r="FJ54" s="487">
        <f t="shared" si="28"/>
        <v>322224.61549988785</v>
      </c>
      <c r="FK54" s="60">
        <f t="shared" si="28"/>
        <v>285663.14549988881</v>
      </c>
      <c r="FL54" s="60">
        <f t="shared" si="28"/>
        <v>319914.11549988878</v>
      </c>
      <c r="FM54" s="60">
        <f t="shared" si="28"/>
        <v>280433.63549988891</v>
      </c>
      <c r="FN54" s="60">
        <f t="shared" si="28"/>
        <v>397321.25549989939</v>
      </c>
      <c r="FO54" s="60">
        <f t="shared" si="28"/>
        <v>6839101.4454999194</v>
      </c>
      <c r="FP54" s="60">
        <f t="shared" si="28"/>
        <v>263685.02549991943</v>
      </c>
      <c r="FQ54" s="60">
        <f t="shared" si="28"/>
        <v>297616.70549991948</v>
      </c>
      <c r="FR54" s="60">
        <f t="shared" si="28"/>
        <v>233345.65549992025</v>
      </c>
      <c r="FS54" s="60">
        <f t="shared" si="28"/>
        <v>311476.57549992017</v>
      </c>
      <c r="FT54" s="60">
        <f t="shared" si="28"/>
        <v>297887.40549992025</v>
      </c>
      <c r="FU54" s="60">
        <f t="shared" si="28"/>
        <v>401438.90549992025</v>
      </c>
      <c r="FV54" s="60">
        <f t="shared" si="28"/>
        <v>340443.79549992085</v>
      </c>
      <c r="FW54" s="60">
        <f t="shared" si="28"/>
        <v>745747.22549992148</v>
      </c>
      <c r="FX54" s="60">
        <f t="shared" si="28"/>
        <v>684637.23549992125</v>
      </c>
      <c r="FY54" s="60">
        <f t="shared" si="28"/>
        <v>359948.22549992101</v>
      </c>
      <c r="FZ54" s="60">
        <f t="shared" si="28"/>
        <v>344658.18549992121</v>
      </c>
      <c r="GA54" s="67">
        <f t="shared" si="28"/>
        <v>562529.21549992263</v>
      </c>
      <c r="GB54" s="60">
        <f t="shared" si="28"/>
        <v>296105.30549992621</v>
      </c>
      <c r="GC54" s="60">
        <f t="shared" si="28"/>
        <v>314287.75549992733</v>
      </c>
      <c r="GD54" s="60">
        <f t="shared" si="28"/>
        <v>273629.21549992752</v>
      </c>
      <c r="GE54" s="60">
        <f t="shared" si="28"/>
        <v>270834.4054999277</v>
      </c>
      <c r="GF54" s="60">
        <f t="shared" si="28"/>
        <v>298122.32549992763</v>
      </c>
      <c r="GG54" s="60">
        <f t="shared" si="28"/>
        <v>274249.96549993008</v>
      </c>
      <c r="GH54" s="60">
        <f t="shared" si="28"/>
        <v>210461.40549992956</v>
      </c>
      <c r="GI54" s="60">
        <f t="shared" si="28"/>
        <v>2564585.9254999291</v>
      </c>
      <c r="GJ54" s="60">
        <f t="shared" si="28"/>
        <v>286506.00549992919</v>
      </c>
      <c r="GK54" s="60">
        <f t="shared" si="28"/>
        <v>313808.27549992967</v>
      </c>
      <c r="GL54" s="60">
        <f t="shared" si="28"/>
        <v>278451.69549992867</v>
      </c>
      <c r="GM54" s="60">
        <f t="shared" si="28"/>
        <v>310655.69549992867</v>
      </c>
      <c r="GN54" s="60">
        <f t="shared" ref="GN54:JH54" si="29">+GN6+GN27-GN53</f>
        <v>326485.70549992844</v>
      </c>
      <c r="GO54" s="60">
        <f t="shared" si="29"/>
        <v>322946.24549992825</v>
      </c>
      <c r="GP54" s="60">
        <f t="shared" si="29"/>
        <v>292884.13549993932</v>
      </c>
      <c r="GQ54" s="60">
        <f t="shared" si="29"/>
        <v>3819435.3454999402</v>
      </c>
      <c r="GR54" s="60">
        <f t="shared" si="29"/>
        <v>295912.42549994029</v>
      </c>
      <c r="GS54" s="60">
        <f t="shared" si="29"/>
        <v>281716.10549993999</v>
      </c>
      <c r="GT54" s="60">
        <f t="shared" si="29"/>
        <v>351281.42549994029</v>
      </c>
      <c r="GU54" s="67">
        <f t="shared" si="29"/>
        <v>261937.60549995303</v>
      </c>
      <c r="GV54" s="60">
        <f t="shared" si="29"/>
        <v>309693.37549995258</v>
      </c>
      <c r="GW54" s="60">
        <f t="shared" si="29"/>
        <v>276170.43549995217</v>
      </c>
      <c r="GX54" s="60">
        <f t="shared" si="29"/>
        <v>268447.46549995244</v>
      </c>
      <c r="GY54" s="60">
        <f t="shared" si="29"/>
        <v>311930.00549995247</v>
      </c>
      <c r="GZ54" s="60">
        <f t="shared" si="29"/>
        <v>276510.33549994975</v>
      </c>
      <c r="HA54" s="60">
        <f t="shared" si="29"/>
        <v>252181.32549995091</v>
      </c>
      <c r="HB54" s="60">
        <f t="shared" si="29"/>
        <v>221528.21549995127</v>
      </c>
      <c r="HC54" s="60">
        <f t="shared" si="29"/>
        <v>208289.55549995042</v>
      </c>
      <c r="HD54" s="60">
        <f t="shared" si="29"/>
        <v>-34812.794500052929</v>
      </c>
      <c r="HE54" s="60">
        <f t="shared" si="29"/>
        <v>480955.33549994696</v>
      </c>
      <c r="HF54" s="60">
        <f t="shared" si="29"/>
        <v>460547.00549994688</v>
      </c>
      <c r="HG54" s="60">
        <f t="shared" si="29"/>
        <v>435139.38549994677</v>
      </c>
      <c r="HH54" s="60">
        <f t="shared" si="29"/>
        <v>392575.39549994655</v>
      </c>
      <c r="HI54" s="60">
        <f t="shared" si="29"/>
        <v>549842.11549994722</v>
      </c>
      <c r="HJ54" s="60">
        <f t="shared" si="29"/>
        <v>565342.35549994651</v>
      </c>
      <c r="HK54" s="60">
        <f t="shared" si="29"/>
        <v>356536.84549994674</v>
      </c>
      <c r="HL54" s="60">
        <f t="shared" si="29"/>
        <v>462837.17549994634</v>
      </c>
      <c r="HM54" s="60">
        <f t="shared" si="29"/>
        <v>405879.75549994549</v>
      </c>
      <c r="HN54" s="60">
        <f t="shared" si="29"/>
        <v>366243.67549994402</v>
      </c>
      <c r="HO54" s="60">
        <f t="shared" si="29"/>
        <v>381391.60549994558</v>
      </c>
      <c r="HP54" s="67">
        <f t="shared" si="29"/>
        <v>383368.62549994886</v>
      </c>
      <c r="HQ54" s="60">
        <f t="shared" si="29"/>
        <v>644041.93549994938</v>
      </c>
      <c r="HR54" s="60">
        <f t="shared" si="29"/>
        <v>451267.54549995065</v>
      </c>
      <c r="HS54" s="60">
        <f t="shared" si="29"/>
        <v>691523.53549995273</v>
      </c>
      <c r="HT54" s="60">
        <f t="shared" si="29"/>
        <v>2369537.8454999514</v>
      </c>
      <c r="HU54" s="60">
        <f t="shared" si="29"/>
        <v>293920.54549995065</v>
      </c>
      <c r="HV54" s="60">
        <f t="shared" si="29"/>
        <v>348123.57549994998</v>
      </c>
      <c r="HW54" s="60">
        <f t="shared" si="29"/>
        <v>5456026.4154999508</v>
      </c>
      <c r="HX54" s="60">
        <f t="shared" si="29"/>
        <v>299480.05549995042</v>
      </c>
      <c r="HY54" s="60">
        <f t="shared" si="29"/>
        <v>319954.86549995042</v>
      </c>
      <c r="HZ54" s="60">
        <f t="shared" si="29"/>
        <v>239046.5654999502</v>
      </c>
      <c r="IA54" s="60">
        <f t="shared" si="29"/>
        <v>415354.30549994111</v>
      </c>
      <c r="IB54" s="60">
        <f t="shared" ref="IB54" si="30">+IB6+IB27-IB53</f>
        <v>573555.39549994096</v>
      </c>
      <c r="IC54" s="60">
        <f t="shared" si="29"/>
        <v>311771.87549994886</v>
      </c>
      <c r="ID54" s="60">
        <f t="shared" si="29"/>
        <v>377875.8154999502</v>
      </c>
      <c r="IE54" s="60">
        <f>+IE6+IE27-IE53+1.1</f>
        <v>414702.72549994884</v>
      </c>
      <c r="IF54" s="60">
        <f t="shared" si="29"/>
        <v>447577.21549995057</v>
      </c>
      <c r="IG54" s="60">
        <f t="shared" si="29"/>
        <v>377367.71549995057</v>
      </c>
      <c r="IH54" s="60">
        <f t="shared" si="29"/>
        <v>410502.35549995024</v>
      </c>
      <c r="II54" s="60">
        <f t="shared" si="29"/>
        <v>334016.50549995154</v>
      </c>
      <c r="IJ54" s="60">
        <f t="shared" si="29"/>
        <v>480315.61549995095</v>
      </c>
      <c r="IK54" s="60">
        <f t="shared" si="29"/>
        <v>405440.07549994998</v>
      </c>
      <c r="IL54" s="67">
        <f t="shared" si="29"/>
        <v>479415.60549995303</v>
      </c>
      <c r="IM54" s="60">
        <f t="shared" si="29"/>
        <v>368700.37549995258</v>
      </c>
      <c r="IN54" s="60">
        <f t="shared" si="29"/>
        <v>572225.90549995005</v>
      </c>
      <c r="IO54" s="60">
        <f t="shared" si="29"/>
        <v>655339.11549994722</v>
      </c>
      <c r="IP54" s="60">
        <f t="shared" si="29"/>
        <v>359769.73549994454</v>
      </c>
      <c r="IQ54" s="60">
        <f t="shared" si="29"/>
        <v>479763.54549994692</v>
      </c>
      <c r="IR54" s="60">
        <f t="shared" si="29"/>
        <v>433468.44549994916</v>
      </c>
      <c r="IS54" s="60">
        <f t="shared" si="29"/>
        <v>419622.48549994826</v>
      </c>
      <c r="IT54" s="60">
        <f t="shared" si="29"/>
        <v>298022.93549994752</v>
      </c>
      <c r="IU54" s="60">
        <f t="shared" si="29"/>
        <v>387425.43549996614</v>
      </c>
      <c r="IV54" s="60">
        <f t="shared" si="29"/>
        <v>300305.80549997091</v>
      </c>
      <c r="IW54" s="60">
        <f>+IW6+IW27-IW53</f>
        <v>1273875829.3780007</v>
      </c>
      <c r="IX54" s="21"/>
      <c r="IY54" s="21"/>
      <c r="IZ54" s="21"/>
      <c r="JA54" s="21"/>
      <c r="JB54" s="21"/>
      <c r="JC54" s="21"/>
      <c r="JD54" s="21"/>
      <c r="JE54" s="21"/>
      <c r="JF54" s="21"/>
      <c r="JH54" s="765">
        <f t="shared" si="29"/>
        <v>1293472807.0285008</v>
      </c>
      <c r="JI54" s="765"/>
    </row>
    <row r="55" spans="1:269" ht="14.1" customHeight="1" thickBot="1">
      <c r="A55" s="7" t="s">
        <v>16</v>
      </c>
      <c r="B55" s="14"/>
      <c r="C55" s="189">
        <v>0</v>
      </c>
      <c r="D55" s="7">
        <f>-D20+D51</f>
        <v>15800000</v>
      </c>
      <c r="E55" s="7">
        <f t="shared" ref="E55:BP55" si="31">-E20+E51</f>
        <v>-5450000</v>
      </c>
      <c r="F55" s="7">
        <f t="shared" si="31"/>
        <v>31600000</v>
      </c>
      <c r="G55" s="7">
        <f t="shared" si="31"/>
        <v>-35300000</v>
      </c>
      <c r="H55" s="7">
        <f t="shared" si="31"/>
        <v>0</v>
      </c>
      <c r="I55" s="7">
        <f t="shared" si="31"/>
        <v>0</v>
      </c>
      <c r="J55" s="7">
        <f t="shared" si="31"/>
        <v>41650000</v>
      </c>
      <c r="K55" s="7">
        <v>18100000</v>
      </c>
      <c r="L55" s="7">
        <f t="shared" si="31"/>
        <v>0</v>
      </c>
      <c r="M55" s="229">
        <f t="shared" si="31"/>
        <v>-70000000</v>
      </c>
      <c r="N55" s="7">
        <f t="shared" si="31"/>
        <v>-1950000</v>
      </c>
      <c r="O55" s="7">
        <f t="shared" si="31"/>
        <v>-350000</v>
      </c>
      <c r="P55" s="7">
        <f t="shared" si="31"/>
        <v>200000</v>
      </c>
      <c r="Q55" s="7">
        <f t="shared" si="31"/>
        <v>-1600000</v>
      </c>
      <c r="R55" s="7">
        <f t="shared" si="31"/>
        <v>-2500000</v>
      </c>
      <c r="S55" s="7">
        <f t="shared" si="31"/>
        <v>11500000</v>
      </c>
      <c r="T55" s="7">
        <f t="shared" si="31"/>
        <v>-200000</v>
      </c>
      <c r="U55" s="7">
        <f t="shared" si="31"/>
        <v>0</v>
      </c>
      <c r="V55" s="7">
        <f t="shared" si="31"/>
        <v>-2000000</v>
      </c>
      <c r="W55" s="7">
        <f t="shared" si="31"/>
        <v>-3600000</v>
      </c>
      <c r="X55" s="7">
        <f t="shared" si="31"/>
        <v>1000000</v>
      </c>
      <c r="Y55" s="7">
        <f t="shared" si="31"/>
        <v>0</v>
      </c>
      <c r="Z55" s="7">
        <f t="shared" si="31"/>
        <v>0</v>
      </c>
      <c r="AA55" s="7">
        <f t="shared" si="31"/>
        <v>0</v>
      </c>
      <c r="AB55" s="7">
        <f t="shared" si="31"/>
        <v>0</v>
      </c>
      <c r="AC55" s="7">
        <f t="shared" si="31"/>
        <v>0</v>
      </c>
      <c r="AD55" s="7">
        <f t="shared" si="31"/>
        <v>-4100000</v>
      </c>
      <c r="AE55" s="7">
        <f t="shared" si="31"/>
        <v>-1500000</v>
      </c>
      <c r="AF55" s="7">
        <f t="shared" si="31"/>
        <v>-10750000</v>
      </c>
      <c r="AG55" s="354">
        <f t="shared" si="31"/>
        <v>8700000</v>
      </c>
      <c r="AH55" s="7">
        <f t="shared" si="31"/>
        <v>-650000</v>
      </c>
      <c r="AI55" s="7">
        <f t="shared" si="31"/>
        <v>0</v>
      </c>
      <c r="AJ55" s="7">
        <f t="shared" si="31"/>
        <v>-800000</v>
      </c>
      <c r="AK55" s="7">
        <f t="shared" si="31"/>
        <v>-3900000</v>
      </c>
      <c r="AL55" s="7">
        <f t="shared" si="31"/>
        <v>0</v>
      </c>
      <c r="AM55" s="7">
        <f t="shared" si="31"/>
        <v>2650000</v>
      </c>
      <c r="AN55" s="7">
        <f t="shared" si="31"/>
        <v>-400000</v>
      </c>
      <c r="AO55" s="582">
        <f t="shared" si="31"/>
        <v>1150000</v>
      </c>
      <c r="AP55" s="7">
        <f t="shared" si="31"/>
        <v>0</v>
      </c>
      <c r="AQ55" s="7">
        <f t="shared" si="31"/>
        <v>-7200000</v>
      </c>
      <c r="AR55" s="7">
        <f t="shared" si="31"/>
        <v>1000000</v>
      </c>
      <c r="AS55" s="7">
        <f t="shared" si="31"/>
        <v>200000</v>
      </c>
      <c r="AT55" s="7">
        <f t="shared" si="31"/>
        <v>16950000</v>
      </c>
      <c r="AU55" s="7">
        <f t="shared" si="31"/>
        <v>0</v>
      </c>
      <c r="AV55" s="7">
        <f t="shared" si="31"/>
        <v>0</v>
      </c>
      <c r="AW55" s="7">
        <f t="shared" si="31"/>
        <v>-13300000</v>
      </c>
      <c r="AX55" s="7">
        <f t="shared" si="31"/>
        <v>900000</v>
      </c>
      <c r="AY55" s="7">
        <f t="shared" si="31"/>
        <v>-300000</v>
      </c>
      <c r="AZ55" s="7">
        <f t="shared" si="31"/>
        <v>-1050000</v>
      </c>
      <c r="BA55" s="7">
        <f t="shared" si="31"/>
        <v>0</v>
      </c>
      <c r="BB55" s="7">
        <f t="shared" si="31"/>
        <v>3500000</v>
      </c>
      <c r="BC55" s="7">
        <f t="shared" si="31"/>
        <v>-4050000</v>
      </c>
      <c r="BD55" s="354">
        <f t="shared" si="31"/>
        <v>3850000</v>
      </c>
      <c r="BE55" s="7">
        <f t="shared" si="31"/>
        <v>-5300000</v>
      </c>
      <c r="BF55" s="7">
        <f t="shared" si="31"/>
        <v>3000000</v>
      </c>
      <c r="BG55" s="7">
        <f t="shared" si="31"/>
        <v>2100000</v>
      </c>
      <c r="BH55" s="7">
        <f t="shared" si="31"/>
        <v>-4150000</v>
      </c>
      <c r="BI55" s="7">
        <f t="shared" si="31"/>
        <v>-550000</v>
      </c>
      <c r="BJ55" s="7">
        <f t="shared" si="31"/>
        <v>11450000</v>
      </c>
      <c r="BK55" s="7">
        <f t="shared" si="31"/>
        <v>-3650000</v>
      </c>
      <c r="BL55" s="7">
        <f t="shared" si="31"/>
        <v>0</v>
      </c>
      <c r="BM55" s="7">
        <f t="shared" si="31"/>
        <v>-1250000</v>
      </c>
      <c r="BN55" s="7">
        <f t="shared" si="31"/>
        <v>-3850000</v>
      </c>
      <c r="BO55" s="7">
        <f t="shared" si="31"/>
        <v>-3850000</v>
      </c>
      <c r="BP55" s="7">
        <f t="shared" si="31"/>
        <v>7050000</v>
      </c>
      <c r="BQ55" s="7">
        <f t="shared" ref="BQ55:EB55" si="32">-BQ20+BQ51</f>
        <v>10900000</v>
      </c>
      <c r="BR55" s="7">
        <f t="shared" si="32"/>
        <v>-1500000</v>
      </c>
      <c r="BS55" s="7">
        <f t="shared" si="32"/>
        <v>-5350000</v>
      </c>
      <c r="BT55" s="7">
        <f t="shared" si="32"/>
        <v>300000</v>
      </c>
      <c r="BU55" s="7">
        <f t="shared" si="32"/>
        <v>-900000</v>
      </c>
      <c r="BV55" s="7">
        <f t="shared" si="32"/>
        <v>950000</v>
      </c>
      <c r="BW55" s="7">
        <f t="shared" si="32"/>
        <v>-2750000</v>
      </c>
      <c r="BX55" s="7">
        <f t="shared" si="32"/>
        <v>-200000</v>
      </c>
      <c r="BY55" s="354">
        <f t="shared" si="32"/>
        <v>-3750000</v>
      </c>
      <c r="BZ55" s="7">
        <f t="shared" si="32"/>
        <v>-3850000</v>
      </c>
      <c r="CA55" s="7">
        <f t="shared" si="32"/>
        <v>2650000</v>
      </c>
      <c r="CB55" s="7">
        <f t="shared" si="32"/>
        <v>-5000000</v>
      </c>
      <c r="CC55" s="7">
        <f t="shared" si="32"/>
        <v>8300000</v>
      </c>
      <c r="CD55" s="7">
        <f t="shared" si="32"/>
        <v>-1450000</v>
      </c>
      <c r="CE55" s="7">
        <f t="shared" si="32"/>
        <v>0</v>
      </c>
      <c r="CF55" s="7">
        <f t="shared" si="32"/>
        <v>0</v>
      </c>
      <c r="CG55" s="7">
        <f t="shared" si="32"/>
        <v>-1400000</v>
      </c>
      <c r="CH55" s="7">
        <f t="shared" si="32"/>
        <v>0</v>
      </c>
      <c r="CI55" s="7">
        <f t="shared" si="32"/>
        <v>-3900000</v>
      </c>
      <c r="CJ55" s="7">
        <f t="shared" si="32"/>
        <v>5700000</v>
      </c>
      <c r="CK55" s="7">
        <f t="shared" si="32"/>
        <v>550000</v>
      </c>
      <c r="CL55" s="7">
        <f t="shared" si="32"/>
        <v>16200000</v>
      </c>
      <c r="CM55" s="7">
        <f t="shared" si="32"/>
        <v>-8400000</v>
      </c>
      <c r="CN55" s="7">
        <f t="shared" si="32"/>
        <v>0</v>
      </c>
      <c r="CO55" s="7">
        <f t="shared" si="32"/>
        <v>0</v>
      </c>
      <c r="CP55" s="7">
        <f t="shared" si="32"/>
        <v>-1400000</v>
      </c>
      <c r="CQ55" s="7">
        <f t="shared" si="32"/>
        <v>-1000000</v>
      </c>
      <c r="CR55" s="7">
        <f t="shared" si="32"/>
        <v>-4500000</v>
      </c>
      <c r="CS55" s="7">
        <f t="shared" si="32"/>
        <v>-2100000</v>
      </c>
      <c r="CT55" s="354">
        <f t="shared" si="32"/>
        <v>21550000</v>
      </c>
      <c r="CU55" s="7">
        <f t="shared" si="32"/>
        <v>-15800000</v>
      </c>
      <c r="CV55" s="7">
        <f t="shared" si="32"/>
        <v>400000</v>
      </c>
      <c r="CW55" s="7">
        <f t="shared" si="32"/>
        <v>-2650000</v>
      </c>
      <c r="CX55" s="7">
        <f t="shared" si="32"/>
        <v>-400000</v>
      </c>
      <c r="CY55" s="7">
        <f t="shared" si="32"/>
        <v>8300000</v>
      </c>
      <c r="CZ55" s="7">
        <f t="shared" si="32"/>
        <v>-4250000</v>
      </c>
      <c r="DA55" s="7">
        <f t="shared" si="32"/>
        <v>-3250000</v>
      </c>
      <c r="DB55" s="7">
        <f t="shared" si="32"/>
        <v>2900000</v>
      </c>
      <c r="DC55" s="7">
        <f t="shared" si="32"/>
        <v>-400000</v>
      </c>
      <c r="DD55" s="7">
        <f t="shared" si="32"/>
        <v>3300000</v>
      </c>
      <c r="DE55" s="7">
        <f t="shared" si="32"/>
        <v>-7500000</v>
      </c>
      <c r="DF55" s="7">
        <f t="shared" si="32"/>
        <v>-1200000</v>
      </c>
      <c r="DG55" s="7">
        <f t="shared" si="32"/>
        <v>-950000</v>
      </c>
      <c r="DH55" s="7">
        <f t="shared" si="32"/>
        <v>-1750000</v>
      </c>
      <c r="DI55" s="7">
        <f t="shared" si="32"/>
        <v>550000</v>
      </c>
      <c r="DJ55" s="7">
        <f t="shared" si="32"/>
        <v>-550000</v>
      </c>
      <c r="DK55" s="7">
        <f t="shared" si="32"/>
        <v>-1200000</v>
      </c>
      <c r="DL55" s="7">
        <f t="shared" si="32"/>
        <v>-850000</v>
      </c>
      <c r="DM55" s="7">
        <f t="shared" si="32"/>
        <v>5850000</v>
      </c>
      <c r="DN55" s="7">
        <f t="shared" si="32"/>
        <v>59000000</v>
      </c>
      <c r="DO55" s="354">
        <f t="shared" si="32"/>
        <v>-54500000</v>
      </c>
      <c r="DP55" s="7">
        <f t="shared" si="32"/>
        <v>0</v>
      </c>
      <c r="DQ55" s="7">
        <f t="shared" si="32"/>
        <v>5500000</v>
      </c>
      <c r="DR55" s="7">
        <f t="shared" si="32"/>
        <v>0</v>
      </c>
      <c r="DS55" s="7">
        <f t="shared" si="32"/>
        <v>-3200000</v>
      </c>
      <c r="DT55" s="7">
        <f t="shared" si="32"/>
        <v>-1800000</v>
      </c>
      <c r="DU55" s="7">
        <f t="shared" si="32"/>
        <v>-7850000</v>
      </c>
      <c r="DV55" s="7">
        <f t="shared" si="32"/>
        <v>4800000</v>
      </c>
      <c r="DW55" s="7">
        <f t="shared" si="32"/>
        <v>5550000</v>
      </c>
      <c r="DX55" s="7">
        <f t="shared" si="32"/>
        <v>-3800000</v>
      </c>
      <c r="DY55" s="7">
        <f t="shared" si="32"/>
        <v>-250000</v>
      </c>
      <c r="DZ55" s="7">
        <f t="shared" si="32"/>
        <v>-4100000</v>
      </c>
      <c r="EA55" s="7">
        <f t="shared" si="32"/>
        <v>-1900000</v>
      </c>
      <c r="EB55" s="7">
        <f t="shared" si="32"/>
        <v>-1150000</v>
      </c>
      <c r="EC55" s="7">
        <f t="shared" ref="EC55:GN55" si="33">-EC20+EC51</f>
        <v>-250000</v>
      </c>
      <c r="ED55" s="7">
        <f t="shared" si="33"/>
        <v>-900000</v>
      </c>
      <c r="EE55" s="7">
        <f t="shared" si="33"/>
        <v>0</v>
      </c>
      <c r="EF55" s="7">
        <f t="shared" si="33"/>
        <v>0</v>
      </c>
      <c r="EG55" s="7">
        <f t="shared" si="33"/>
        <v>2650000</v>
      </c>
      <c r="EH55" s="7">
        <f t="shared" si="33"/>
        <v>-3150000</v>
      </c>
      <c r="EI55" s="7">
        <f t="shared" si="33"/>
        <v>0</v>
      </c>
      <c r="EJ55" s="229">
        <f t="shared" si="33"/>
        <v>8500000</v>
      </c>
      <c r="EK55" s="7">
        <f t="shared" si="33"/>
        <v>-8050000</v>
      </c>
      <c r="EL55" s="7">
        <f t="shared" si="33"/>
        <v>-700000</v>
      </c>
      <c r="EM55" s="7">
        <f t="shared" si="33"/>
        <v>0</v>
      </c>
      <c r="EN55" s="7">
        <f t="shared" si="33"/>
        <v>0</v>
      </c>
      <c r="EO55" s="7">
        <f t="shared" si="33"/>
        <v>-2000000</v>
      </c>
      <c r="EP55" s="7">
        <f t="shared" si="33"/>
        <v>-1300000</v>
      </c>
      <c r="EQ55" s="7">
        <f t="shared" si="33"/>
        <v>-696596.77</v>
      </c>
      <c r="ER55" s="7">
        <f t="shared" si="33"/>
        <v>13200000</v>
      </c>
      <c r="ES55" s="7">
        <f t="shared" si="33"/>
        <v>0</v>
      </c>
      <c r="ET55" s="7">
        <f t="shared" si="33"/>
        <v>-200000</v>
      </c>
      <c r="EU55" s="7">
        <f t="shared" si="33"/>
        <v>-4550000</v>
      </c>
      <c r="EV55" s="7">
        <f t="shared" si="33"/>
        <v>3550000</v>
      </c>
      <c r="EW55" s="7">
        <f t="shared" si="33"/>
        <v>-2500000</v>
      </c>
      <c r="EX55" s="7">
        <f t="shared" si="33"/>
        <v>-600000</v>
      </c>
      <c r="EY55" s="7">
        <f t="shared" si="33"/>
        <v>0</v>
      </c>
      <c r="EZ55" s="7">
        <f t="shared" si="33"/>
        <v>-3850000</v>
      </c>
      <c r="FA55" s="7">
        <f t="shared" si="33"/>
        <v>0</v>
      </c>
      <c r="FB55" s="7">
        <f t="shared" si="33"/>
        <v>-3000000</v>
      </c>
      <c r="FC55" s="7">
        <f t="shared" si="33"/>
        <v>6000000</v>
      </c>
      <c r="FD55" s="7">
        <f t="shared" si="33"/>
        <v>-3250000</v>
      </c>
      <c r="FE55" s="7">
        <f t="shared" si="33"/>
        <v>0</v>
      </c>
      <c r="FF55" s="354">
        <f t="shared" si="33"/>
        <v>7100000</v>
      </c>
      <c r="FG55" s="7">
        <f t="shared" si="33"/>
        <v>-10200000</v>
      </c>
      <c r="FH55" s="7">
        <f t="shared" si="33"/>
        <v>7100000</v>
      </c>
      <c r="FI55" s="7">
        <f t="shared" si="33"/>
        <v>3700000</v>
      </c>
      <c r="FJ55" s="7">
        <f t="shared" si="33"/>
        <v>-1000000</v>
      </c>
      <c r="FK55" s="7">
        <f t="shared" si="33"/>
        <v>-8700000</v>
      </c>
      <c r="FL55" s="7">
        <f t="shared" si="33"/>
        <v>-500000</v>
      </c>
      <c r="FM55" s="7">
        <f t="shared" si="33"/>
        <v>-450000</v>
      </c>
      <c r="FN55" s="7">
        <f t="shared" si="33"/>
        <v>18500000</v>
      </c>
      <c r="FO55" s="7">
        <f t="shared" si="33"/>
        <v>0</v>
      </c>
      <c r="FP55" s="7">
        <f t="shared" si="33"/>
        <v>-8300000</v>
      </c>
      <c r="FQ55" s="7">
        <f t="shared" si="33"/>
        <v>-400000</v>
      </c>
      <c r="FR55" s="7">
        <f t="shared" si="33"/>
        <v>-4900000</v>
      </c>
      <c r="FS55" s="7">
        <f t="shared" si="33"/>
        <v>3000000</v>
      </c>
      <c r="FT55" s="7">
        <f t="shared" si="33"/>
        <v>1250000</v>
      </c>
      <c r="FU55" s="7">
        <f t="shared" si="33"/>
        <v>0</v>
      </c>
      <c r="FV55" s="7">
        <f t="shared" si="33"/>
        <v>2700000</v>
      </c>
      <c r="FW55" s="7">
        <f t="shared" si="33"/>
        <v>-4500000</v>
      </c>
      <c r="FX55" s="7">
        <f t="shared" si="33"/>
        <v>1500000</v>
      </c>
      <c r="FY55" s="7">
        <f t="shared" si="33"/>
        <v>-1550000</v>
      </c>
      <c r="FZ55" s="7">
        <f t="shared" si="33"/>
        <v>0</v>
      </c>
      <c r="GA55" s="354">
        <f t="shared" si="33"/>
        <v>0</v>
      </c>
      <c r="GB55" s="7">
        <f t="shared" si="33"/>
        <v>-9050000</v>
      </c>
      <c r="GC55" s="7">
        <f t="shared" si="33"/>
        <v>12700000</v>
      </c>
      <c r="GD55" s="7">
        <f t="shared" si="33"/>
        <v>0</v>
      </c>
      <c r="GE55" s="7">
        <f t="shared" si="33"/>
        <v>-6800000</v>
      </c>
      <c r="GF55" s="7">
        <f t="shared" si="33"/>
        <v>0</v>
      </c>
      <c r="GG55" s="7">
        <f t="shared" si="33"/>
        <v>9900000</v>
      </c>
      <c r="GH55" s="7">
        <f t="shared" si="33"/>
        <v>0</v>
      </c>
      <c r="GI55" s="7">
        <f t="shared" si="33"/>
        <v>-1350000</v>
      </c>
      <c r="GJ55" s="7">
        <f t="shared" si="33"/>
        <v>0</v>
      </c>
      <c r="GK55" s="7">
        <f t="shared" si="33"/>
        <v>-4150000</v>
      </c>
      <c r="GL55" s="7">
        <f t="shared" si="33"/>
        <v>-550000</v>
      </c>
      <c r="GM55" s="7">
        <f t="shared" si="33"/>
        <v>250000</v>
      </c>
      <c r="GN55" s="7">
        <f t="shared" si="33"/>
        <v>-2300000</v>
      </c>
      <c r="GO55" s="7">
        <f t="shared" ref="GO55:IV55" si="34">-GO20+GO51</f>
        <v>1400000</v>
      </c>
      <c r="GP55" s="7">
        <f t="shared" si="34"/>
        <v>23300000</v>
      </c>
      <c r="GQ55" s="7">
        <f t="shared" si="34"/>
        <v>-5400000</v>
      </c>
      <c r="GR55" s="7">
        <f t="shared" si="34"/>
        <v>-600000</v>
      </c>
      <c r="GS55" s="7">
        <f t="shared" si="34"/>
        <v>-5900000</v>
      </c>
      <c r="GT55" s="7">
        <f t="shared" si="34"/>
        <v>0</v>
      </c>
      <c r="GU55" s="354">
        <f t="shared" si="34"/>
        <v>-20300000</v>
      </c>
      <c r="GV55" s="7">
        <f t="shared" si="34"/>
        <v>14850000</v>
      </c>
      <c r="GW55" s="7">
        <f t="shared" si="34"/>
        <v>-4200000</v>
      </c>
      <c r="GX55" s="7">
        <f t="shared" si="34"/>
        <v>0</v>
      </c>
      <c r="GY55" s="7">
        <f t="shared" si="34"/>
        <v>0</v>
      </c>
      <c r="GZ55" s="7">
        <f t="shared" si="34"/>
        <v>0</v>
      </c>
      <c r="HA55" s="7">
        <f t="shared" si="34"/>
        <v>-3600000</v>
      </c>
      <c r="HB55" s="7">
        <f t="shared" si="34"/>
        <v>0</v>
      </c>
      <c r="HC55" s="7">
        <f t="shared" si="34"/>
        <v>0</v>
      </c>
      <c r="HD55" s="7">
        <f>-HD20+HD51</f>
        <v>0</v>
      </c>
      <c r="HE55" s="7">
        <f t="shared" si="34"/>
        <v>0</v>
      </c>
      <c r="HF55" s="7">
        <f t="shared" si="34"/>
        <v>-3100000</v>
      </c>
      <c r="HG55" s="7">
        <f t="shared" si="34"/>
        <v>-1600000</v>
      </c>
      <c r="HH55" s="7">
        <f t="shared" si="34"/>
        <v>1300000</v>
      </c>
      <c r="HI55" s="7">
        <f t="shared" si="34"/>
        <v>0</v>
      </c>
      <c r="HJ55" s="7">
        <f t="shared" si="34"/>
        <v>1800000</v>
      </c>
      <c r="HK55" s="7">
        <f t="shared" si="34"/>
        <v>-2100000</v>
      </c>
      <c r="HL55" s="7">
        <f t="shared" si="34"/>
        <v>2300000</v>
      </c>
      <c r="HM55" s="7">
        <f t="shared" si="34"/>
        <v>1200000</v>
      </c>
      <c r="HN55" s="7">
        <f t="shared" si="34"/>
        <v>0</v>
      </c>
      <c r="HO55" s="7">
        <f t="shared" si="34"/>
        <v>35000000</v>
      </c>
      <c r="HP55" s="354">
        <f t="shared" si="34"/>
        <v>-42150000</v>
      </c>
      <c r="HQ55" s="7">
        <f t="shared" si="34"/>
        <v>0</v>
      </c>
      <c r="HR55" s="7">
        <f t="shared" si="34"/>
        <v>0</v>
      </c>
      <c r="HS55" s="7">
        <f t="shared" si="34"/>
        <v>0</v>
      </c>
      <c r="HT55" s="7">
        <f t="shared" si="34"/>
        <v>9000000</v>
      </c>
      <c r="HU55" s="7">
        <f t="shared" si="34"/>
        <v>0</v>
      </c>
      <c r="HV55" s="7">
        <f t="shared" si="34"/>
        <v>0</v>
      </c>
      <c r="HW55" s="7"/>
      <c r="HX55" s="7">
        <f t="shared" si="34"/>
        <v>0</v>
      </c>
      <c r="HY55" s="7">
        <f t="shared" si="34"/>
        <v>-200000</v>
      </c>
      <c r="HZ55" s="7">
        <f t="shared" si="34"/>
        <v>0</v>
      </c>
      <c r="IA55" s="7">
        <f t="shared" si="34"/>
        <v>0</v>
      </c>
      <c r="IB55" s="7">
        <f t="shared" ref="IB55" si="35">-IB20+IB51</f>
        <v>12200000</v>
      </c>
      <c r="IC55" s="7">
        <f t="shared" si="34"/>
        <v>0</v>
      </c>
      <c r="ID55" s="7">
        <f t="shared" si="34"/>
        <v>-1000000</v>
      </c>
      <c r="IE55" s="7">
        <f t="shared" si="34"/>
        <v>10700000</v>
      </c>
      <c r="IF55" s="7">
        <f t="shared" si="34"/>
        <v>-850000</v>
      </c>
      <c r="IG55" s="7">
        <f t="shared" si="34"/>
        <v>9000000</v>
      </c>
      <c r="IH55" s="7">
        <f t="shared" si="34"/>
        <v>1900000</v>
      </c>
      <c r="II55" s="7">
        <f t="shared" si="34"/>
        <v>12200000</v>
      </c>
      <c r="IJ55" s="7">
        <f t="shared" si="34"/>
        <v>9100000</v>
      </c>
      <c r="IK55" s="7">
        <f t="shared" si="34"/>
        <v>8000000</v>
      </c>
      <c r="IL55" s="354">
        <f t="shared" si="34"/>
        <v>-49400000</v>
      </c>
      <c r="IM55" s="7">
        <f t="shared" si="34"/>
        <v>-8000000</v>
      </c>
      <c r="IN55" s="7">
        <f t="shared" si="34"/>
        <v>13300000</v>
      </c>
      <c r="IO55" s="7">
        <f t="shared" si="34"/>
        <v>0</v>
      </c>
      <c r="IP55" s="7">
        <f t="shared" si="34"/>
        <v>13800000</v>
      </c>
      <c r="IQ55" s="7">
        <f t="shared" si="34"/>
        <v>11000000</v>
      </c>
      <c r="IR55" s="7">
        <f t="shared" si="34"/>
        <v>18900000</v>
      </c>
      <c r="IS55" s="7">
        <f t="shared" si="34"/>
        <v>15200000</v>
      </c>
      <c r="IT55" s="7">
        <f t="shared" si="34"/>
        <v>18000000</v>
      </c>
      <c r="IU55" s="7">
        <f t="shared" si="34"/>
        <v>-72300000</v>
      </c>
      <c r="IV55" s="7">
        <f t="shared" si="34"/>
        <v>35000000</v>
      </c>
      <c r="IW55" s="754">
        <f>+IW27-IW49-IW54</f>
        <v>0</v>
      </c>
      <c r="IX55" s="7" t="s">
        <v>177</v>
      </c>
      <c r="IY55" s="7"/>
      <c r="IZ55" s="7"/>
      <c r="JA55" s="7"/>
      <c r="JB55" s="7"/>
      <c r="JC55" s="7"/>
      <c r="JD55" s="7"/>
      <c r="JE55" s="7"/>
      <c r="JF55" s="7"/>
      <c r="JH55" s="7">
        <f>-JH20+JH51</f>
        <v>0</v>
      </c>
      <c r="JI55" s="7">
        <f>-JI20+JI51</f>
        <v>0</v>
      </c>
    </row>
    <row r="56" spans="1:269" ht="14.1" customHeight="1">
      <c r="A56" s="21"/>
      <c r="B56" s="14"/>
      <c r="C56" s="213"/>
      <c r="M56" s="213"/>
      <c r="T56" s="124"/>
      <c r="AG56" s="213"/>
      <c r="BD56" s="213"/>
      <c r="BY56" s="213"/>
      <c r="CT56" s="213"/>
      <c r="CZ56" s="8"/>
      <c r="DO56" s="213"/>
      <c r="DR56" s="8"/>
      <c r="EB56" s="8"/>
      <c r="EJ56" s="213"/>
      <c r="EK56" s="140"/>
      <c r="EQ56" s="8"/>
      <c r="FD56" s="8"/>
      <c r="FF56" s="213"/>
      <c r="FJ56" s="140"/>
      <c r="GA56" s="213"/>
      <c r="GU56" s="213"/>
      <c r="HP56" s="213"/>
      <c r="IL56" s="213"/>
      <c r="IW56" s="684">
        <f>SUM(D46:IV46)</f>
        <v>611783182.58999991</v>
      </c>
      <c r="IX56" s="773"/>
      <c r="IY56" s="140"/>
      <c r="IZ56" s="140"/>
      <c r="JA56" s="140"/>
      <c r="JB56" s="140"/>
      <c r="JC56" s="140"/>
      <c r="JD56" s="140"/>
      <c r="JE56" s="140"/>
      <c r="JF56" s="140"/>
    </row>
    <row r="57" spans="1:269" ht="14.1" customHeight="1" thickBot="1">
      <c r="A57" s="22" t="s">
        <v>23</v>
      </c>
      <c r="B57" s="22" t="s">
        <v>42</v>
      </c>
      <c r="C57" s="213"/>
      <c r="M57" s="213"/>
      <c r="AG57" s="213"/>
      <c r="BD57" s="213"/>
      <c r="BY57" s="213"/>
      <c r="CT57" s="213"/>
      <c r="CZ57" s="8"/>
      <c r="DO57" s="213"/>
      <c r="DR57" s="8"/>
      <c r="EB57" s="8"/>
      <c r="EJ57" s="213"/>
      <c r="EK57" s="140"/>
      <c r="EQ57" s="8"/>
      <c r="FD57" s="8"/>
      <c r="FF57" s="213"/>
      <c r="FJ57" s="140"/>
      <c r="GA57" s="213"/>
      <c r="GU57" s="213"/>
      <c r="HP57" s="213"/>
      <c r="IL57" s="213"/>
      <c r="IW57" s="683">
        <f>+IW56/'FY-09, FEB-09 - JAN-10, w TANs'!IS56</f>
        <v>1.540410486734294</v>
      </c>
      <c r="IX57" s="773"/>
      <c r="IY57" s="140"/>
      <c r="IZ57" s="140"/>
      <c r="JA57" s="140"/>
      <c r="JB57" s="140"/>
      <c r="JC57" s="140"/>
      <c r="JD57" s="140"/>
      <c r="JE57" s="140"/>
      <c r="JF57" s="140"/>
    </row>
    <row r="58" spans="1:269" ht="14.1" customHeight="1">
      <c r="A58" s="14" t="s">
        <v>17</v>
      </c>
      <c r="B58" s="14"/>
      <c r="C58" s="794">
        <v>20585381.579999998</v>
      </c>
      <c r="D58" s="14">
        <f>C58+D55</f>
        <v>36385381.579999998</v>
      </c>
      <c r="E58" s="14">
        <f t="shared" ref="E58:BO58" si="36">D58+E55</f>
        <v>30935381.579999998</v>
      </c>
      <c r="F58" s="14">
        <f t="shared" si="36"/>
        <v>62535381.579999998</v>
      </c>
      <c r="G58" s="14">
        <f t="shared" si="36"/>
        <v>27235381.579999998</v>
      </c>
      <c r="H58" s="14">
        <f t="shared" si="36"/>
        <v>27235381.579999998</v>
      </c>
      <c r="I58" s="14">
        <f t="shared" si="36"/>
        <v>27235381.579999998</v>
      </c>
      <c r="J58" s="14">
        <f t="shared" si="36"/>
        <v>68885381.579999998</v>
      </c>
      <c r="K58" s="14">
        <f t="shared" si="36"/>
        <v>86985381.579999998</v>
      </c>
      <c r="L58" s="14">
        <f t="shared" si="36"/>
        <v>86985381.579999998</v>
      </c>
      <c r="M58" s="230">
        <f t="shared" si="36"/>
        <v>16985381.579999998</v>
      </c>
      <c r="N58" s="14">
        <f t="shared" si="36"/>
        <v>15035381.579999998</v>
      </c>
      <c r="O58" s="14">
        <f t="shared" si="36"/>
        <v>14685381.579999998</v>
      </c>
      <c r="P58" s="14">
        <f t="shared" si="36"/>
        <v>14885381.579999998</v>
      </c>
      <c r="Q58" s="14">
        <f t="shared" si="36"/>
        <v>13285381.579999998</v>
      </c>
      <c r="R58" s="14">
        <f t="shared" si="36"/>
        <v>10785381.579999998</v>
      </c>
      <c r="S58" s="14">
        <f t="shared" si="36"/>
        <v>22285381.579999998</v>
      </c>
      <c r="T58" s="14">
        <f t="shared" si="36"/>
        <v>22085381.579999998</v>
      </c>
      <c r="U58" s="14">
        <f t="shared" si="36"/>
        <v>22085381.579999998</v>
      </c>
      <c r="V58" s="39">
        <f t="shared" si="36"/>
        <v>20085381.579999998</v>
      </c>
      <c r="W58" s="14">
        <v>16490313</v>
      </c>
      <c r="X58" s="14">
        <f t="shared" si="36"/>
        <v>17490313</v>
      </c>
      <c r="Y58" s="14">
        <f t="shared" si="36"/>
        <v>17490313</v>
      </c>
      <c r="Z58" s="14">
        <f t="shared" si="36"/>
        <v>17490313</v>
      </c>
      <c r="AA58" s="14">
        <f t="shared" si="36"/>
        <v>17490313</v>
      </c>
      <c r="AB58" s="14">
        <f t="shared" si="36"/>
        <v>17490313</v>
      </c>
      <c r="AC58" s="14">
        <f t="shared" si="36"/>
        <v>17490313</v>
      </c>
      <c r="AD58" s="14">
        <f t="shared" si="36"/>
        <v>13390313</v>
      </c>
      <c r="AE58" s="14">
        <f t="shared" si="36"/>
        <v>11890313</v>
      </c>
      <c r="AF58" s="14">
        <f t="shared" si="36"/>
        <v>1140313</v>
      </c>
      <c r="AG58" s="230">
        <f t="shared" si="36"/>
        <v>9840313</v>
      </c>
      <c r="AH58" s="14">
        <f t="shared" si="36"/>
        <v>9190313</v>
      </c>
      <c r="AI58" s="14">
        <f t="shared" si="36"/>
        <v>9190313</v>
      </c>
      <c r="AJ58" s="14">
        <f t="shared" si="36"/>
        <v>8390313</v>
      </c>
      <c r="AK58" s="14">
        <f t="shared" si="36"/>
        <v>4490313</v>
      </c>
      <c r="AL58" s="14">
        <f t="shared" si="36"/>
        <v>4490313</v>
      </c>
      <c r="AM58" s="14">
        <f t="shared" si="36"/>
        <v>7140313</v>
      </c>
      <c r="AN58" s="14">
        <f t="shared" si="36"/>
        <v>6740313</v>
      </c>
      <c r="AO58" s="582">
        <f t="shared" si="36"/>
        <v>7890313</v>
      </c>
      <c r="AP58" s="14">
        <f t="shared" si="36"/>
        <v>7890313</v>
      </c>
      <c r="AQ58" s="14">
        <f t="shared" si="36"/>
        <v>690313</v>
      </c>
      <c r="AR58" s="14">
        <f t="shared" si="36"/>
        <v>1690313</v>
      </c>
      <c r="AS58" s="421">
        <f t="shared" si="36"/>
        <v>1890313</v>
      </c>
      <c r="AT58" s="14">
        <f>AS58+AT55+697.8</f>
        <v>18841010.800000001</v>
      </c>
      <c r="AU58" s="14">
        <f t="shared" si="36"/>
        <v>18841010.800000001</v>
      </c>
      <c r="AV58" s="14">
        <f t="shared" si="36"/>
        <v>18841010.800000001</v>
      </c>
      <c r="AW58" s="14">
        <f t="shared" si="36"/>
        <v>5541010.8000000007</v>
      </c>
      <c r="AX58" s="14">
        <f t="shared" si="36"/>
        <v>6441010.8000000007</v>
      </c>
      <c r="AY58" s="14">
        <f t="shared" si="36"/>
        <v>6141010.8000000007</v>
      </c>
      <c r="AZ58" s="14">
        <f t="shared" si="36"/>
        <v>5091010.8000000007</v>
      </c>
      <c r="BA58" s="14">
        <f t="shared" si="36"/>
        <v>5091010.8000000007</v>
      </c>
      <c r="BB58" s="14">
        <f t="shared" si="36"/>
        <v>8591010.8000000007</v>
      </c>
      <c r="BC58" s="14">
        <f t="shared" si="36"/>
        <v>4541010.8000000007</v>
      </c>
      <c r="BD58" s="230">
        <f t="shared" si="36"/>
        <v>8391010.8000000007</v>
      </c>
      <c r="BE58" s="14">
        <f t="shared" si="36"/>
        <v>3091010.8000000007</v>
      </c>
      <c r="BF58" s="14">
        <f t="shared" si="36"/>
        <v>6091010.8000000007</v>
      </c>
      <c r="BG58" s="14">
        <f t="shared" si="36"/>
        <v>8191010.8000000007</v>
      </c>
      <c r="BH58" s="14">
        <f t="shared" si="36"/>
        <v>4041010.8000000007</v>
      </c>
      <c r="BI58" s="14">
        <f t="shared" si="36"/>
        <v>3491010.8000000007</v>
      </c>
      <c r="BJ58" s="14">
        <f t="shared" si="36"/>
        <v>14941010.800000001</v>
      </c>
      <c r="BK58" s="14">
        <f t="shared" si="36"/>
        <v>11291010.800000001</v>
      </c>
      <c r="BL58" s="14">
        <f t="shared" si="36"/>
        <v>11291010.800000001</v>
      </c>
      <c r="BM58" s="14">
        <f t="shared" si="36"/>
        <v>10041010.800000001</v>
      </c>
      <c r="BN58" s="14">
        <f t="shared" si="36"/>
        <v>6191010.8000000007</v>
      </c>
      <c r="BO58" s="421">
        <f t="shared" si="36"/>
        <v>2341010.8000000007</v>
      </c>
      <c r="BP58" s="14">
        <v>9391685</v>
      </c>
      <c r="BQ58" s="14">
        <f t="shared" ref="BQ58:EB58" si="37">BP58+BQ55</f>
        <v>20291685</v>
      </c>
      <c r="BR58" s="14">
        <f t="shared" si="37"/>
        <v>18791685</v>
      </c>
      <c r="BS58" s="14">
        <f t="shared" si="37"/>
        <v>13441685</v>
      </c>
      <c r="BT58" s="14">
        <f t="shared" si="37"/>
        <v>13741685</v>
      </c>
      <c r="BU58" s="14">
        <f t="shared" si="37"/>
        <v>12841685</v>
      </c>
      <c r="BV58" s="14">
        <f t="shared" si="37"/>
        <v>13791685</v>
      </c>
      <c r="BW58" s="14">
        <f t="shared" si="37"/>
        <v>11041685</v>
      </c>
      <c r="BX58" s="14">
        <f t="shared" si="37"/>
        <v>10841685</v>
      </c>
      <c r="BY58" s="230">
        <f t="shared" si="37"/>
        <v>7091685</v>
      </c>
      <c r="BZ58" s="14">
        <f t="shared" si="37"/>
        <v>3241685</v>
      </c>
      <c r="CA58" s="14">
        <f t="shared" si="37"/>
        <v>5891685</v>
      </c>
      <c r="CB58" s="14">
        <f t="shared" si="37"/>
        <v>891685</v>
      </c>
      <c r="CC58" s="14">
        <f t="shared" si="37"/>
        <v>9191685</v>
      </c>
      <c r="CD58" s="14">
        <f t="shared" si="37"/>
        <v>7741685</v>
      </c>
      <c r="CE58" s="14">
        <f t="shared" si="37"/>
        <v>7741685</v>
      </c>
      <c r="CF58" s="14">
        <f t="shared" si="37"/>
        <v>7741685</v>
      </c>
      <c r="CG58" s="14">
        <f t="shared" si="37"/>
        <v>6341685</v>
      </c>
      <c r="CH58" s="14">
        <f t="shared" si="37"/>
        <v>6341685</v>
      </c>
      <c r="CI58" s="421">
        <f t="shared" si="37"/>
        <v>2441685</v>
      </c>
      <c r="CJ58" s="14">
        <v>8142405.1299999999</v>
      </c>
      <c r="CK58" s="14">
        <f t="shared" si="37"/>
        <v>8692405.129999999</v>
      </c>
      <c r="CL58" s="14">
        <f t="shared" si="37"/>
        <v>24892405.129999999</v>
      </c>
      <c r="CM58" s="14">
        <f t="shared" si="37"/>
        <v>16492405.129999999</v>
      </c>
      <c r="CN58" s="14">
        <f t="shared" si="37"/>
        <v>16492405.129999999</v>
      </c>
      <c r="CO58" s="14">
        <f t="shared" si="37"/>
        <v>16492405.129999999</v>
      </c>
      <c r="CP58" s="14">
        <f t="shared" si="37"/>
        <v>15092405.129999999</v>
      </c>
      <c r="CQ58" s="14">
        <f t="shared" si="37"/>
        <v>14092405.129999999</v>
      </c>
      <c r="CR58" s="14">
        <f t="shared" si="37"/>
        <v>9592405.129999999</v>
      </c>
      <c r="CS58" s="14">
        <f t="shared" si="37"/>
        <v>7492405.129999999</v>
      </c>
      <c r="CT58" s="230">
        <f t="shared" si="37"/>
        <v>29042405.129999999</v>
      </c>
      <c r="CU58" s="14">
        <f t="shared" si="37"/>
        <v>13242405.129999999</v>
      </c>
      <c r="CV58" s="14">
        <f t="shared" si="37"/>
        <v>13642405.129999999</v>
      </c>
      <c r="CW58" s="14">
        <f t="shared" si="37"/>
        <v>10992405.129999999</v>
      </c>
      <c r="CX58" s="14">
        <f t="shared" si="37"/>
        <v>10592405.129999999</v>
      </c>
      <c r="CY58" s="14">
        <f t="shared" si="37"/>
        <v>18892405.129999999</v>
      </c>
      <c r="CZ58" s="14">
        <f t="shared" si="37"/>
        <v>14642405.129999999</v>
      </c>
      <c r="DA58" s="14">
        <f t="shared" si="37"/>
        <v>11392405.129999999</v>
      </c>
      <c r="DB58" s="14">
        <f t="shared" si="37"/>
        <v>14292405.129999999</v>
      </c>
      <c r="DC58" s="14">
        <f t="shared" si="37"/>
        <v>13892405.129999999</v>
      </c>
      <c r="DD58" s="14">
        <f t="shared" si="37"/>
        <v>17192405.129999999</v>
      </c>
      <c r="DE58" s="421">
        <f t="shared" si="37"/>
        <v>9692405.129999999</v>
      </c>
      <c r="DF58" s="14">
        <f t="shared" si="37"/>
        <v>8492405.129999999</v>
      </c>
      <c r="DG58" s="14">
        <f t="shared" si="37"/>
        <v>7542405.129999999</v>
      </c>
      <c r="DH58" s="14">
        <f t="shared" si="37"/>
        <v>5792405.129999999</v>
      </c>
      <c r="DI58" s="14">
        <f t="shared" si="37"/>
        <v>6342405.129999999</v>
      </c>
      <c r="DJ58" s="14">
        <f t="shared" si="37"/>
        <v>5792405.129999999</v>
      </c>
      <c r="DK58" s="14">
        <f t="shared" si="37"/>
        <v>4592405.129999999</v>
      </c>
      <c r="DL58" s="14">
        <f t="shared" si="37"/>
        <v>3742405.129999999</v>
      </c>
      <c r="DM58" s="14">
        <f t="shared" si="37"/>
        <v>9592405.129999999</v>
      </c>
      <c r="DN58" s="14">
        <f t="shared" si="37"/>
        <v>68592405.129999995</v>
      </c>
      <c r="DO58" s="230">
        <f t="shared" si="37"/>
        <v>14092405.129999995</v>
      </c>
      <c r="DP58" s="14">
        <f t="shared" si="37"/>
        <v>14092405.129999995</v>
      </c>
      <c r="DQ58" s="14">
        <f t="shared" si="37"/>
        <v>19592405.129999995</v>
      </c>
      <c r="DR58" s="14">
        <f t="shared" si="37"/>
        <v>19592405.129999995</v>
      </c>
      <c r="DS58" s="14">
        <f t="shared" si="37"/>
        <v>16392405.129999995</v>
      </c>
      <c r="DT58" s="14">
        <f t="shared" si="37"/>
        <v>14592405.129999995</v>
      </c>
      <c r="DU58" s="14">
        <f t="shared" si="37"/>
        <v>6742405.1299999952</v>
      </c>
      <c r="DV58" s="14">
        <f t="shared" si="37"/>
        <v>11542405.129999995</v>
      </c>
      <c r="DW58" s="14">
        <f t="shared" si="37"/>
        <v>17092405.129999995</v>
      </c>
      <c r="DX58" s="14">
        <f t="shared" si="37"/>
        <v>13292405.129999995</v>
      </c>
      <c r="DY58" s="14">
        <f t="shared" si="37"/>
        <v>13042405.129999995</v>
      </c>
      <c r="DZ58" s="421">
        <f t="shared" si="37"/>
        <v>8942405.1299999952</v>
      </c>
      <c r="EA58" s="14">
        <v>7045877.29</v>
      </c>
      <c r="EB58" s="14">
        <f t="shared" si="37"/>
        <v>5895877.29</v>
      </c>
      <c r="EC58" s="14">
        <f t="shared" ref="EC58:GN58" si="38">EB58+EC55</f>
        <v>5645877.29</v>
      </c>
      <c r="ED58" s="14">
        <f t="shared" si="38"/>
        <v>4745877.29</v>
      </c>
      <c r="EE58" s="14">
        <f t="shared" si="38"/>
        <v>4745877.29</v>
      </c>
      <c r="EF58" s="14">
        <f t="shared" si="38"/>
        <v>4745877.29</v>
      </c>
      <c r="EG58" s="14">
        <f t="shared" si="38"/>
        <v>7395877.29</v>
      </c>
      <c r="EH58" s="14">
        <f t="shared" si="38"/>
        <v>4245877.29</v>
      </c>
      <c r="EI58" s="14">
        <f t="shared" si="38"/>
        <v>4245877.29</v>
      </c>
      <c r="EJ58" s="230">
        <f t="shared" si="38"/>
        <v>12745877.289999999</v>
      </c>
      <c r="EK58" s="14">
        <f t="shared" si="38"/>
        <v>4695877.2899999991</v>
      </c>
      <c r="EL58" s="14">
        <f t="shared" si="38"/>
        <v>3995877.2899999991</v>
      </c>
      <c r="EM58" s="14">
        <f t="shared" si="38"/>
        <v>3995877.2899999991</v>
      </c>
      <c r="EN58" s="14">
        <f t="shared" si="38"/>
        <v>3995877.2899999991</v>
      </c>
      <c r="EO58" s="14">
        <f t="shared" si="38"/>
        <v>1995877.2899999991</v>
      </c>
      <c r="EP58" s="14">
        <f t="shared" si="38"/>
        <v>695877.28999999911</v>
      </c>
      <c r="EQ58" s="14">
        <f>EP58+EQ55+719.48</f>
        <v>-9.1267793322913349E-10</v>
      </c>
      <c r="ER58" s="14">
        <f t="shared" si="38"/>
        <v>13200000</v>
      </c>
      <c r="ES58" s="14">
        <f t="shared" si="38"/>
        <v>13200000</v>
      </c>
      <c r="ET58" s="14">
        <f t="shared" si="38"/>
        <v>13000000</v>
      </c>
      <c r="EU58" s="14">
        <f t="shared" si="38"/>
        <v>8450000</v>
      </c>
      <c r="EV58" s="421">
        <v>12000462.25</v>
      </c>
      <c r="EW58" s="14">
        <f t="shared" si="38"/>
        <v>9500462.25</v>
      </c>
      <c r="EX58" s="14">
        <f t="shared" si="38"/>
        <v>8900462.25</v>
      </c>
      <c r="EY58" s="14">
        <f t="shared" si="38"/>
        <v>8900462.25</v>
      </c>
      <c r="EZ58" s="14">
        <f t="shared" si="38"/>
        <v>5050462.25</v>
      </c>
      <c r="FA58" s="14">
        <f t="shared" si="38"/>
        <v>5050462.25</v>
      </c>
      <c r="FB58" s="14">
        <f t="shared" si="38"/>
        <v>2050462.25</v>
      </c>
      <c r="FC58" s="14">
        <f t="shared" si="38"/>
        <v>8050462.25</v>
      </c>
      <c r="FD58" s="14">
        <f t="shared" si="38"/>
        <v>4800462.25</v>
      </c>
      <c r="FE58" s="14">
        <f t="shared" si="38"/>
        <v>4800462.25</v>
      </c>
      <c r="FF58" s="230">
        <f t="shared" si="38"/>
        <v>11900462.25</v>
      </c>
      <c r="FG58" s="14">
        <f t="shared" si="38"/>
        <v>1700462.25</v>
      </c>
      <c r="FH58" s="14">
        <f t="shared" si="38"/>
        <v>8800462.25</v>
      </c>
      <c r="FI58" s="14">
        <f t="shared" si="38"/>
        <v>12500462.25</v>
      </c>
      <c r="FJ58" s="14">
        <f t="shared" si="38"/>
        <v>11500462.25</v>
      </c>
      <c r="FK58" s="14">
        <f t="shared" si="38"/>
        <v>2800462.25</v>
      </c>
      <c r="FL58" s="14">
        <f t="shared" si="38"/>
        <v>2300462.25</v>
      </c>
      <c r="FM58" s="14">
        <f t="shared" si="38"/>
        <v>1850462.25</v>
      </c>
      <c r="FN58" s="14">
        <f t="shared" si="38"/>
        <v>20350462.25</v>
      </c>
      <c r="FO58" s="14">
        <f t="shared" si="38"/>
        <v>20350462.25</v>
      </c>
      <c r="FP58" s="14">
        <f t="shared" si="38"/>
        <v>12050462.25</v>
      </c>
      <c r="FQ58" s="421">
        <f t="shared" si="38"/>
        <v>11650462.25</v>
      </c>
      <c r="FR58" s="14">
        <f t="shared" si="38"/>
        <v>6750462.25</v>
      </c>
      <c r="FS58" s="14">
        <f t="shared" si="38"/>
        <v>9750462.25</v>
      </c>
      <c r="FT58" s="14">
        <f t="shared" si="38"/>
        <v>11000462.25</v>
      </c>
      <c r="FU58" s="14">
        <f t="shared" si="38"/>
        <v>11000462.25</v>
      </c>
      <c r="FV58" s="14">
        <f t="shared" si="38"/>
        <v>13700462.25</v>
      </c>
      <c r="FW58" s="14">
        <f t="shared" si="38"/>
        <v>9200462.25</v>
      </c>
      <c r="FX58" s="14">
        <f t="shared" si="38"/>
        <v>10700462.25</v>
      </c>
      <c r="FY58" s="14">
        <f t="shared" si="38"/>
        <v>9150462.25</v>
      </c>
      <c r="FZ58" s="14">
        <f t="shared" si="38"/>
        <v>9150462.25</v>
      </c>
      <c r="GA58" s="230">
        <f t="shared" si="38"/>
        <v>9150462.25</v>
      </c>
      <c r="GB58" s="14">
        <f t="shared" si="38"/>
        <v>100462.25</v>
      </c>
      <c r="GC58" s="14">
        <f t="shared" si="38"/>
        <v>12800462.25</v>
      </c>
      <c r="GD58" s="14">
        <f t="shared" si="38"/>
        <v>12800462.25</v>
      </c>
      <c r="GE58" s="14">
        <f t="shared" si="38"/>
        <v>6000462.25</v>
      </c>
      <c r="GF58" s="14">
        <f t="shared" si="38"/>
        <v>6000462.25</v>
      </c>
      <c r="GG58" s="14">
        <f t="shared" si="38"/>
        <v>15900462.25</v>
      </c>
      <c r="GH58" s="14">
        <f t="shared" si="38"/>
        <v>15900462.25</v>
      </c>
      <c r="GI58" s="14">
        <f t="shared" si="38"/>
        <v>14550462.25</v>
      </c>
      <c r="GJ58" s="14">
        <f t="shared" si="38"/>
        <v>14550462.25</v>
      </c>
      <c r="GK58" s="421">
        <f t="shared" si="38"/>
        <v>10400462.25</v>
      </c>
      <c r="GL58" s="14">
        <f t="shared" si="38"/>
        <v>9850462.25</v>
      </c>
      <c r="GM58" s="14">
        <f t="shared" si="38"/>
        <v>10100462.25</v>
      </c>
      <c r="GN58" s="14">
        <f t="shared" si="38"/>
        <v>7800462.25</v>
      </c>
      <c r="GO58" s="14">
        <f t="shared" ref="GO58:IU58" si="39">GN58+GO55</f>
        <v>9200462.25</v>
      </c>
      <c r="GP58" s="14">
        <f t="shared" si="39"/>
        <v>32500462.25</v>
      </c>
      <c r="GQ58" s="14">
        <f t="shared" si="39"/>
        <v>27100462.25</v>
      </c>
      <c r="GR58" s="14">
        <f t="shared" si="39"/>
        <v>26500462.25</v>
      </c>
      <c r="GS58" s="14">
        <f t="shared" si="39"/>
        <v>20600462.25</v>
      </c>
      <c r="GT58" s="14">
        <f t="shared" si="39"/>
        <v>20600462.25</v>
      </c>
      <c r="GU58" s="230">
        <f t="shared" si="39"/>
        <v>300462.25</v>
      </c>
      <c r="GV58" s="14">
        <f t="shared" si="39"/>
        <v>15150462.25</v>
      </c>
      <c r="GW58" s="14">
        <f t="shared" si="39"/>
        <v>10950462.25</v>
      </c>
      <c r="GX58" s="14">
        <f t="shared" si="39"/>
        <v>10950462.25</v>
      </c>
      <c r="GY58" s="14">
        <f t="shared" si="39"/>
        <v>10950462.25</v>
      </c>
      <c r="GZ58" s="14">
        <f t="shared" si="39"/>
        <v>10950462.25</v>
      </c>
      <c r="HA58" s="14">
        <f t="shared" si="39"/>
        <v>7350462.25</v>
      </c>
      <c r="HB58" s="14">
        <f t="shared" si="39"/>
        <v>7350462.25</v>
      </c>
      <c r="HC58" s="14">
        <f t="shared" si="39"/>
        <v>7350462.25</v>
      </c>
      <c r="HD58" s="14">
        <f t="shared" si="39"/>
        <v>7350462.25</v>
      </c>
      <c r="HE58" s="421">
        <f t="shared" si="39"/>
        <v>7350462.25</v>
      </c>
      <c r="HF58" s="14">
        <f t="shared" si="39"/>
        <v>4250462.25</v>
      </c>
      <c r="HG58" s="14">
        <f t="shared" si="39"/>
        <v>2650462.25</v>
      </c>
      <c r="HH58" s="14">
        <f t="shared" si="39"/>
        <v>3950462.25</v>
      </c>
      <c r="HI58" s="14">
        <v>3954070.27</v>
      </c>
      <c r="HJ58" s="14">
        <f t="shared" si="39"/>
        <v>5754070.2699999996</v>
      </c>
      <c r="HK58" s="14">
        <f t="shared" si="39"/>
        <v>3654070.2699999996</v>
      </c>
      <c r="HL58" s="14">
        <f t="shared" si="39"/>
        <v>5954070.2699999996</v>
      </c>
      <c r="HM58" s="14">
        <f t="shared" si="39"/>
        <v>7154070.2699999996</v>
      </c>
      <c r="HN58" s="14">
        <f t="shared" si="39"/>
        <v>7154070.2699999996</v>
      </c>
      <c r="HO58" s="14">
        <f t="shared" si="39"/>
        <v>42154070.269999996</v>
      </c>
      <c r="HP58" s="230">
        <f t="shared" si="39"/>
        <v>4070.2699999958277</v>
      </c>
      <c r="HQ58" s="14">
        <f t="shared" si="39"/>
        <v>4070.2699999958277</v>
      </c>
      <c r="HR58" s="14">
        <f t="shared" si="39"/>
        <v>4070.2699999958277</v>
      </c>
      <c r="HS58" s="14">
        <f t="shared" si="39"/>
        <v>4070.2699999958277</v>
      </c>
      <c r="HT58" s="14">
        <f t="shared" si="39"/>
        <v>9004070.2699999958</v>
      </c>
      <c r="HU58" s="14">
        <f t="shared" si="39"/>
        <v>9004070.2699999958</v>
      </c>
      <c r="HV58" s="14">
        <f t="shared" si="39"/>
        <v>9004070.2699999958</v>
      </c>
      <c r="HW58" s="14">
        <f t="shared" si="39"/>
        <v>9004070.2699999958</v>
      </c>
      <c r="HX58" s="14">
        <f>HV58+HX55</f>
        <v>9004070.2699999958</v>
      </c>
      <c r="HY58" s="14">
        <f t="shared" si="39"/>
        <v>8804070.2699999958</v>
      </c>
      <c r="HZ58" s="14">
        <f t="shared" si="39"/>
        <v>8804070.2699999958</v>
      </c>
      <c r="IA58" s="421">
        <f t="shared" si="39"/>
        <v>8804070.2699999958</v>
      </c>
      <c r="IB58" s="14">
        <f t="shared" si="39"/>
        <v>21004070.269999996</v>
      </c>
      <c r="IC58" s="14">
        <f t="shared" si="39"/>
        <v>21004070.269999996</v>
      </c>
      <c r="ID58" s="14">
        <f t="shared" si="39"/>
        <v>20004070.269999996</v>
      </c>
      <c r="IE58" s="14">
        <f t="shared" si="39"/>
        <v>30704070.269999996</v>
      </c>
      <c r="IF58" s="14">
        <f t="shared" si="39"/>
        <v>29854070.269999996</v>
      </c>
      <c r="IG58" s="14">
        <f t="shared" si="39"/>
        <v>38854070.269999996</v>
      </c>
      <c r="IH58" s="14">
        <f t="shared" si="39"/>
        <v>40754070.269999996</v>
      </c>
      <c r="II58" s="14">
        <f t="shared" si="39"/>
        <v>52954070.269999996</v>
      </c>
      <c r="IJ58" s="14">
        <f t="shared" si="39"/>
        <v>62054070.269999996</v>
      </c>
      <c r="IK58" s="14">
        <f t="shared" si="39"/>
        <v>70054070.269999996</v>
      </c>
      <c r="IL58" s="230">
        <f t="shared" si="39"/>
        <v>20654070.269999996</v>
      </c>
      <c r="IM58" s="14">
        <f t="shared" si="39"/>
        <v>12654070.269999996</v>
      </c>
      <c r="IN58" s="14">
        <f t="shared" si="39"/>
        <v>25954070.269999996</v>
      </c>
      <c r="IO58" s="14">
        <f t="shared" si="39"/>
        <v>25954070.269999996</v>
      </c>
      <c r="IP58" s="14">
        <f t="shared" si="39"/>
        <v>39754070.269999996</v>
      </c>
      <c r="IQ58" s="14">
        <f t="shared" si="39"/>
        <v>50754070.269999996</v>
      </c>
      <c r="IR58" s="14">
        <f t="shared" si="39"/>
        <v>69654070.269999996</v>
      </c>
      <c r="IS58" s="14">
        <f t="shared" si="39"/>
        <v>84854070.269999996</v>
      </c>
      <c r="IT58" s="14">
        <f t="shared" si="39"/>
        <v>102854070.27</v>
      </c>
      <c r="IU58" s="14">
        <f t="shared" si="39"/>
        <v>30554070.269999996</v>
      </c>
      <c r="IV58" s="14">
        <v>65554743</v>
      </c>
      <c r="IW58" s="758" t="s">
        <v>222</v>
      </c>
      <c r="IX58" s="14"/>
      <c r="IY58" s="14"/>
      <c r="IZ58" s="14"/>
      <c r="JA58" s="14"/>
      <c r="JB58" s="14"/>
      <c r="JC58" s="14"/>
      <c r="JD58" s="14"/>
      <c r="JE58" s="14"/>
      <c r="JF58" s="14"/>
      <c r="JH58" s="14">
        <f>IW61+JH55</f>
        <v>0</v>
      </c>
      <c r="JI58" s="14"/>
    </row>
    <row r="59" spans="1:269" ht="14.1" customHeight="1" thickBot="1">
      <c r="A59" s="14" t="s">
        <v>140</v>
      </c>
      <c r="B59" s="14"/>
      <c r="C59" s="794">
        <v>167236235.42000002</v>
      </c>
      <c r="D59" s="14">
        <f>+C59-D21+D52</f>
        <v>167236235.42000002</v>
      </c>
      <c r="E59" s="14">
        <f t="shared" ref="E59:BO59" si="40">+D59-E21+E52</f>
        <v>167236235.42000002</v>
      </c>
      <c r="F59" s="14">
        <f t="shared" si="40"/>
        <v>167236235.42000002</v>
      </c>
      <c r="G59" s="14">
        <f t="shared" si="40"/>
        <v>117236235.42000002</v>
      </c>
      <c r="H59" s="14">
        <f t="shared" si="40"/>
        <v>119986235.42000002</v>
      </c>
      <c r="I59" s="14">
        <f t="shared" si="40"/>
        <v>124186235.42000002</v>
      </c>
      <c r="J59" s="14">
        <f t="shared" si="40"/>
        <v>124186235.42000002</v>
      </c>
      <c r="K59" s="14">
        <f t="shared" si="40"/>
        <v>124186235.42000002</v>
      </c>
      <c r="L59" s="14">
        <f t="shared" si="40"/>
        <v>138386235.42000002</v>
      </c>
      <c r="M59" s="230">
        <f t="shared" si="40"/>
        <v>51986235.420000017</v>
      </c>
      <c r="N59" s="14">
        <f t="shared" si="40"/>
        <v>51986235.420000017</v>
      </c>
      <c r="O59" s="14">
        <f t="shared" si="40"/>
        <v>51986235.420000017</v>
      </c>
      <c r="P59" s="14">
        <f t="shared" si="40"/>
        <v>51986235.420000017</v>
      </c>
      <c r="Q59" s="14">
        <f t="shared" si="40"/>
        <v>51986235.420000017</v>
      </c>
      <c r="R59" s="14">
        <f t="shared" si="40"/>
        <v>51986235.420000017</v>
      </c>
      <c r="S59" s="14">
        <f t="shared" si="40"/>
        <v>51986235.420000017</v>
      </c>
      <c r="T59" s="14">
        <f t="shared" si="40"/>
        <v>51986235.420000017</v>
      </c>
      <c r="U59" s="14">
        <f t="shared" si="40"/>
        <v>53886235.420000017</v>
      </c>
      <c r="V59" s="421">
        <f t="shared" si="40"/>
        <v>53886235.420000017</v>
      </c>
      <c r="W59" s="14">
        <v>53963115</v>
      </c>
      <c r="X59" s="14">
        <f t="shared" si="40"/>
        <v>53963115</v>
      </c>
      <c r="Y59" s="14">
        <f t="shared" si="40"/>
        <v>59863115</v>
      </c>
      <c r="Z59" s="14">
        <f t="shared" si="40"/>
        <v>71663115</v>
      </c>
      <c r="AA59" s="14">
        <f t="shared" si="40"/>
        <v>53013115</v>
      </c>
      <c r="AB59" s="14">
        <f t="shared" si="40"/>
        <v>55463115</v>
      </c>
      <c r="AC59" s="14">
        <f t="shared" si="40"/>
        <v>60763115</v>
      </c>
      <c r="AD59" s="14">
        <f t="shared" si="40"/>
        <v>60763115</v>
      </c>
      <c r="AE59" s="14">
        <f t="shared" si="40"/>
        <v>60763115</v>
      </c>
      <c r="AF59" s="14">
        <f t="shared" si="40"/>
        <v>60763115</v>
      </c>
      <c r="AG59" s="230">
        <f t="shared" si="40"/>
        <v>15763115</v>
      </c>
      <c r="AH59" s="14">
        <f t="shared" si="40"/>
        <v>15763115</v>
      </c>
      <c r="AI59" s="14">
        <f t="shared" si="40"/>
        <v>22913115</v>
      </c>
      <c r="AJ59" s="14">
        <f t="shared" si="40"/>
        <v>22913115</v>
      </c>
      <c r="AK59" s="14">
        <f t="shared" si="40"/>
        <v>22913115</v>
      </c>
      <c r="AL59" s="14">
        <f t="shared" si="40"/>
        <v>22913115</v>
      </c>
      <c r="AM59" s="14">
        <f t="shared" si="40"/>
        <v>22913115</v>
      </c>
      <c r="AN59" s="14">
        <f t="shared" si="40"/>
        <v>22913115</v>
      </c>
      <c r="AO59" s="582">
        <f t="shared" si="40"/>
        <v>22913115</v>
      </c>
      <c r="AP59" s="14">
        <f t="shared" si="40"/>
        <v>30413115</v>
      </c>
      <c r="AQ59" s="14">
        <f t="shared" si="40"/>
        <v>30413115</v>
      </c>
      <c r="AR59" s="14">
        <f t="shared" si="40"/>
        <v>30413115</v>
      </c>
      <c r="AS59" s="421">
        <f t="shared" si="40"/>
        <v>30413115</v>
      </c>
      <c r="AT59" s="14">
        <v>40433478.43</v>
      </c>
      <c r="AU59" s="14">
        <f t="shared" si="40"/>
        <v>54933478.43</v>
      </c>
      <c r="AV59" s="14">
        <f t="shared" si="40"/>
        <v>56733478.43</v>
      </c>
      <c r="AW59" s="14">
        <f t="shared" si="40"/>
        <v>56733478.43</v>
      </c>
      <c r="AX59" s="14">
        <f t="shared" si="40"/>
        <v>56733478.43</v>
      </c>
      <c r="AY59" s="14">
        <f t="shared" si="40"/>
        <v>56733478.43</v>
      </c>
      <c r="AZ59" s="14">
        <f t="shared" si="40"/>
        <v>56733478.43</v>
      </c>
      <c r="BA59" s="14">
        <f t="shared" si="40"/>
        <v>50333478.43</v>
      </c>
      <c r="BB59" s="14">
        <f t="shared" si="40"/>
        <v>50333478.43</v>
      </c>
      <c r="BC59" s="14">
        <f t="shared" si="40"/>
        <v>50333478.43</v>
      </c>
      <c r="BD59" s="230">
        <f t="shared" si="40"/>
        <v>40333478.43</v>
      </c>
      <c r="BE59" s="14">
        <f t="shared" si="40"/>
        <v>40333478.43</v>
      </c>
      <c r="BF59" s="14">
        <f t="shared" si="40"/>
        <v>40333478.43</v>
      </c>
      <c r="BG59" s="14">
        <f t="shared" si="40"/>
        <v>40333478.43</v>
      </c>
      <c r="BH59" s="14">
        <f t="shared" si="40"/>
        <v>40333478.43</v>
      </c>
      <c r="BI59" s="14">
        <f t="shared" si="40"/>
        <v>40333478.43</v>
      </c>
      <c r="BJ59" s="14">
        <f t="shared" si="40"/>
        <v>40333478.43</v>
      </c>
      <c r="BK59" s="14">
        <f t="shared" si="40"/>
        <v>40333478.43</v>
      </c>
      <c r="BL59" s="14">
        <f t="shared" si="40"/>
        <v>42183478.43</v>
      </c>
      <c r="BM59" s="14">
        <f t="shared" si="40"/>
        <v>42183478.43</v>
      </c>
      <c r="BN59" s="14">
        <f t="shared" si="40"/>
        <v>42183478.43</v>
      </c>
      <c r="BO59" s="421">
        <f t="shared" si="40"/>
        <v>42183478.43</v>
      </c>
      <c r="BP59" s="14">
        <v>42206592</v>
      </c>
      <c r="BQ59" s="14">
        <f t="shared" ref="BQ59:EB59" si="41">+BP59-BQ21+BQ52</f>
        <v>42206592</v>
      </c>
      <c r="BR59" s="14">
        <f t="shared" si="41"/>
        <v>42206592</v>
      </c>
      <c r="BS59" s="14">
        <f t="shared" si="41"/>
        <v>42206592</v>
      </c>
      <c r="BT59" s="14">
        <f t="shared" si="41"/>
        <v>42206592</v>
      </c>
      <c r="BU59" s="14">
        <f t="shared" si="41"/>
        <v>42206592</v>
      </c>
      <c r="BV59" s="14">
        <f t="shared" si="41"/>
        <v>42206592</v>
      </c>
      <c r="BW59" s="14">
        <f t="shared" si="41"/>
        <v>42206592</v>
      </c>
      <c r="BX59" s="14">
        <f t="shared" si="41"/>
        <v>42206592</v>
      </c>
      <c r="BY59" s="230">
        <f t="shared" si="41"/>
        <v>42206592</v>
      </c>
      <c r="BZ59" s="14">
        <f t="shared" si="41"/>
        <v>42206592</v>
      </c>
      <c r="CA59" s="14">
        <f t="shared" si="41"/>
        <v>42206592</v>
      </c>
      <c r="CB59" s="14">
        <f t="shared" si="41"/>
        <v>42206592</v>
      </c>
      <c r="CC59" s="14">
        <f t="shared" si="41"/>
        <v>28206592</v>
      </c>
      <c r="CD59" s="14">
        <f t="shared" si="41"/>
        <v>28206592</v>
      </c>
      <c r="CE59" s="14">
        <f t="shared" si="41"/>
        <v>20206592</v>
      </c>
      <c r="CF59" s="14">
        <f t="shared" si="41"/>
        <v>34706592</v>
      </c>
      <c r="CG59" s="14">
        <f t="shared" si="41"/>
        <v>34706592</v>
      </c>
      <c r="CH59" s="14">
        <f t="shared" si="41"/>
        <v>34706592</v>
      </c>
      <c r="CI59" s="421">
        <f t="shared" si="41"/>
        <v>34706592</v>
      </c>
      <c r="CJ59" s="14">
        <v>25725955.149999999</v>
      </c>
      <c r="CK59" s="14">
        <f t="shared" si="41"/>
        <v>25725955.149999999</v>
      </c>
      <c r="CL59" s="14">
        <f t="shared" si="41"/>
        <v>45725955.149999999</v>
      </c>
      <c r="CM59" s="14">
        <f t="shared" si="41"/>
        <v>45725955.149999999</v>
      </c>
      <c r="CN59" s="14">
        <f t="shared" si="41"/>
        <v>45725955.149999999</v>
      </c>
      <c r="CO59" s="14">
        <f t="shared" si="41"/>
        <v>51925955.149999999</v>
      </c>
      <c r="CP59" s="14">
        <f t="shared" si="41"/>
        <v>51925955.149999999</v>
      </c>
      <c r="CQ59" s="14">
        <f t="shared" si="41"/>
        <v>51925955.149999999</v>
      </c>
      <c r="CR59" s="14">
        <f t="shared" si="41"/>
        <v>51925955.149999999</v>
      </c>
      <c r="CS59" s="14">
        <f t="shared" si="41"/>
        <v>51925955.149999999</v>
      </c>
      <c r="CT59" s="230">
        <f t="shared" si="41"/>
        <v>51925955.149999999</v>
      </c>
      <c r="CU59" s="14">
        <f t="shared" si="41"/>
        <v>51925955.149999999</v>
      </c>
      <c r="CV59" s="14">
        <f t="shared" si="41"/>
        <v>51925955.149999999</v>
      </c>
      <c r="CW59" s="14">
        <f t="shared" si="41"/>
        <v>51925955.149999999</v>
      </c>
      <c r="CX59" s="14">
        <f t="shared" si="41"/>
        <v>51925955.149999999</v>
      </c>
      <c r="CY59" s="14">
        <f t="shared" si="41"/>
        <v>51925955.149999999</v>
      </c>
      <c r="CZ59" s="14">
        <f t="shared" si="41"/>
        <v>51925955.149999999</v>
      </c>
      <c r="DA59" s="14">
        <f t="shared" si="41"/>
        <v>51925955.149999999</v>
      </c>
      <c r="DB59" s="14">
        <f t="shared" si="41"/>
        <v>51925955.149999999</v>
      </c>
      <c r="DC59" s="14">
        <f t="shared" si="41"/>
        <v>51925955.149999999</v>
      </c>
      <c r="DD59" s="14">
        <f t="shared" si="41"/>
        <v>51925955.149999999</v>
      </c>
      <c r="DE59" s="421">
        <f t="shared" si="41"/>
        <v>51925955.149999999</v>
      </c>
      <c r="DF59" s="14">
        <v>51950191.43</v>
      </c>
      <c r="DG59" s="14">
        <f t="shared" si="41"/>
        <v>51950191.43</v>
      </c>
      <c r="DH59" s="14">
        <f t="shared" si="41"/>
        <v>51950191.43</v>
      </c>
      <c r="DI59" s="14">
        <f t="shared" si="41"/>
        <v>51950191.43</v>
      </c>
      <c r="DJ59" s="14">
        <f t="shared" si="41"/>
        <v>51950191.43</v>
      </c>
      <c r="DK59" s="14">
        <f t="shared" si="41"/>
        <v>51950191.43</v>
      </c>
      <c r="DL59" s="14">
        <f t="shared" si="41"/>
        <v>51950191.43</v>
      </c>
      <c r="DM59" s="14">
        <f t="shared" si="41"/>
        <v>51950191.43</v>
      </c>
      <c r="DN59" s="14">
        <f t="shared" si="41"/>
        <v>51950191.43</v>
      </c>
      <c r="DO59" s="230">
        <f t="shared" si="41"/>
        <v>51950191.43</v>
      </c>
      <c r="DP59" s="14">
        <f t="shared" si="41"/>
        <v>23950191.43</v>
      </c>
      <c r="DQ59" s="14">
        <f t="shared" si="41"/>
        <v>38950191.43</v>
      </c>
      <c r="DR59" s="14">
        <f t="shared" si="41"/>
        <v>39450191.43</v>
      </c>
      <c r="DS59" s="14">
        <f t="shared" si="41"/>
        <v>39450191.43</v>
      </c>
      <c r="DT59" s="14">
        <f t="shared" si="41"/>
        <v>39450191.43</v>
      </c>
      <c r="DU59" s="14">
        <f t="shared" si="41"/>
        <v>39450191.43</v>
      </c>
      <c r="DV59" s="14">
        <f t="shared" si="41"/>
        <v>39450191.43</v>
      </c>
      <c r="DW59" s="14">
        <f t="shared" si="41"/>
        <v>39450191.43</v>
      </c>
      <c r="DX59" s="14">
        <f t="shared" si="41"/>
        <v>39450191.43</v>
      </c>
      <c r="DY59" s="14">
        <f t="shared" si="41"/>
        <v>39450191.43</v>
      </c>
      <c r="DZ59" s="421">
        <f t="shared" si="41"/>
        <v>39450191.43</v>
      </c>
      <c r="EA59" s="14">
        <v>39472604.329999998</v>
      </c>
      <c r="EB59" s="14">
        <f t="shared" si="41"/>
        <v>39472604.329999998</v>
      </c>
      <c r="EC59" s="14">
        <f t="shared" ref="EC59:GN59" si="42">+EB59-EC21+EC52</f>
        <v>39472604.329999998</v>
      </c>
      <c r="ED59" s="14">
        <f t="shared" si="42"/>
        <v>39472604.329999998</v>
      </c>
      <c r="EE59" s="14">
        <f t="shared" si="42"/>
        <v>20372604.329999998</v>
      </c>
      <c r="EF59" s="14">
        <f t="shared" si="42"/>
        <v>29422604.329999998</v>
      </c>
      <c r="EG59" s="14">
        <f t="shared" si="42"/>
        <v>59422604.329999998</v>
      </c>
      <c r="EH59" s="14">
        <f t="shared" si="42"/>
        <v>59422604.329999998</v>
      </c>
      <c r="EI59" s="14">
        <f t="shared" si="42"/>
        <v>59422604.329999998</v>
      </c>
      <c r="EJ59" s="230">
        <f t="shared" si="42"/>
        <v>7422604.3299999982</v>
      </c>
      <c r="EK59" s="14">
        <f t="shared" si="42"/>
        <v>7422604.3299999982</v>
      </c>
      <c r="EL59" s="14">
        <f t="shared" si="42"/>
        <v>7422604.3299999982</v>
      </c>
      <c r="EM59" s="14">
        <f t="shared" si="42"/>
        <v>1622604.3299999982</v>
      </c>
      <c r="EN59" s="14">
        <f t="shared" si="42"/>
        <v>1622604.3299999982</v>
      </c>
      <c r="EO59" s="14">
        <f t="shared" si="42"/>
        <v>1622604.3299999982</v>
      </c>
      <c r="EP59" s="14">
        <f t="shared" si="42"/>
        <v>1622604.3299999982</v>
      </c>
      <c r="EQ59" s="14">
        <f t="shared" si="42"/>
        <v>-1.862645149230957E-9</v>
      </c>
      <c r="ER59" s="14">
        <f t="shared" si="42"/>
        <v>35000000</v>
      </c>
      <c r="ES59" s="14">
        <f t="shared" si="42"/>
        <v>35200000</v>
      </c>
      <c r="ET59" s="14">
        <f t="shared" si="42"/>
        <v>35200000</v>
      </c>
      <c r="EU59" s="14">
        <f t="shared" si="42"/>
        <v>35200000</v>
      </c>
      <c r="EV59" s="421">
        <v>35210616.539999999</v>
      </c>
      <c r="EW59" s="14">
        <f t="shared" si="42"/>
        <v>35210616.539999999</v>
      </c>
      <c r="EX59" s="14">
        <f t="shared" si="42"/>
        <v>35210616.539999999</v>
      </c>
      <c r="EY59" s="14">
        <f t="shared" si="42"/>
        <v>19410616.539999999</v>
      </c>
      <c r="EZ59" s="14">
        <f t="shared" si="42"/>
        <v>19410616.539999999</v>
      </c>
      <c r="FA59" s="14">
        <f t="shared" si="42"/>
        <v>25460616.539999999</v>
      </c>
      <c r="FB59" s="14">
        <f t="shared" si="42"/>
        <v>25460616.539999999</v>
      </c>
      <c r="FC59" s="14">
        <f t="shared" si="42"/>
        <v>91810616.539999992</v>
      </c>
      <c r="FD59" s="14">
        <f t="shared" si="42"/>
        <v>91810616.539999992</v>
      </c>
      <c r="FE59" s="14">
        <f t="shared" si="42"/>
        <v>96210616.539999992</v>
      </c>
      <c r="FF59" s="230">
        <f t="shared" si="42"/>
        <v>25210616.539999992</v>
      </c>
      <c r="FG59" s="14">
        <f t="shared" si="42"/>
        <v>25210616.539999992</v>
      </c>
      <c r="FH59" s="14">
        <f t="shared" si="42"/>
        <v>15210616.539999992</v>
      </c>
      <c r="FI59" s="14">
        <f t="shared" si="42"/>
        <v>15210616.539999992</v>
      </c>
      <c r="FJ59" s="14">
        <f t="shared" si="42"/>
        <v>15210616.539999992</v>
      </c>
      <c r="FK59" s="14">
        <f t="shared" si="42"/>
        <v>15210616.539999992</v>
      </c>
      <c r="FL59" s="14">
        <f t="shared" si="42"/>
        <v>15210616.539999992</v>
      </c>
      <c r="FM59" s="14">
        <f t="shared" si="42"/>
        <v>15210616.539999992</v>
      </c>
      <c r="FN59" s="14">
        <f t="shared" si="42"/>
        <v>75210616.539999992</v>
      </c>
      <c r="FO59" s="14">
        <f t="shared" si="42"/>
        <v>95210616.539999992</v>
      </c>
      <c r="FP59" s="14">
        <f t="shared" si="42"/>
        <v>95210616.539999992</v>
      </c>
      <c r="FQ59" s="421">
        <f t="shared" si="42"/>
        <v>95210616.539999992</v>
      </c>
      <c r="FR59" s="14">
        <f t="shared" si="42"/>
        <v>95210616.539999992</v>
      </c>
      <c r="FS59" s="14">
        <f t="shared" si="42"/>
        <v>95210616.539999992</v>
      </c>
      <c r="FT59" s="14">
        <f t="shared" si="42"/>
        <v>95210616.539999992</v>
      </c>
      <c r="FU59" s="14">
        <f t="shared" si="42"/>
        <v>75910616.539999992</v>
      </c>
      <c r="FV59" s="14">
        <f t="shared" si="42"/>
        <v>75910616.539999992</v>
      </c>
      <c r="FW59" s="14">
        <f t="shared" si="42"/>
        <v>75910616.539999992</v>
      </c>
      <c r="FX59" s="14">
        <f t="shared" si="42"/>
        <v>75910616.539999992</v>
      </c>
      <c r="FY59" s="14">
        <f t="shared" si="42"/>
        <v>75910616.539999992</v>
      </c>
      <c r="FZ59" s="14">
        <f t="shared" si="42"/>
        <v>76210616.539999992</v>
      </c>
      <c r="GA59" s="230">
        <f t="shared" si="42"/>
        <v>16710616.539999992</v>
      </c>
      <c r="GB59" s="14">
        <f t="shared" si="42"/>
        <v>16710616.539999992</v>
      </c>
      <c r="GC59" s="14">
        <f t="shared" si="42"/>
        <v>16710616.539999992</v>
      </c>
      <c r="GD59" s="14">
        <f t="shared" si="42"/>
        <v>17210616.539999992</v>
      </c>
      <c r="GE59" s="14">
        <f t="shared" si="42"/>
        <v>17210616.539999992</v>
      </c>
      <c r="GF59" s="14">
        <f t="shared" si="42"/>
        <v>17860616.539999992</v>
      </c>
      <c r="GG59" s="14">
        <f t="shared" si="42"/>
        <v>67860616.539999992</v>
      </c>
      <c r="GH59" s="14">
        <f t="shared" si="42"/>
        <v>80460616.539999992</v>
      </c>
      <c r="GI59" s="14">
        <f t="shared" si="42"/>
        <v>80460616.539999992</v>
      </c>
      <c r="GJ59" s="14">
        <f t="shared" si="42"/>
        <v>87410616.539999992</v>
      </c>
      <c r="GK59" s="421">
        <f t="shared" si="42"/>
        <v>87410616.539999992</v>
      </c>
      <c r="GL59" s="14">
        <v>87441933.060000002</v>
      </c>
      <c r="GM59" s="14">
        <f t="shared" si="42"/>
        <v>87441933.060000002</v>
      </c>
      <c r="GN59" s="14">
        <f t="shared" si="42"/>
        <v>87441933.060000002</v>
      </c>
      <c r="GO59" s="14">
        <f t="shared" ref="GO59:IU59" si="43">+GN59-GO21+GO52</f>
        <v>87441933.060000002</v>
      </c>
      <c r="GP59" s="14">
        <f t="shared" si="43"/>
        <v>49441933.060000002</v>
      </c>
      <c r="GQ59" s="14">
        <f t="shared" si="43"/>
        <v>49441933.060000002</v>
      </c>
      <c r="GR59" s="14">
        <f t="shared" si="43"/>
        <v>49441933.060000002</v>
      </c>
      <c r="GS59" s="14">
        <f t="shared" si="43"/>
        <v>49441933.060000002</v>
      </c>
      <c r="GT59" s="14">
        <f t="shared" si="43"/>
        <v>49441933.060000002</v>
      </c>
      <c r="GU59" s="230">
        <f t="shared" si="43"/>
        <v>22441933.060000002</v>
      </c>
      <c r="GV59" s="14">
        <f t="shared" si="43"/>
        <v>22441933.060000002</v>
      </c>
      <c r="GW59" s="14">
        <f t="shared" si="43"/>
        <v>22441933.060000002</v>
      </c>
      <c r="GX59" s="14">
        <f t="shared" si="43"/>
        <v>24091933.060000002</v>
      </c>
      <c r="GY59" s="14">
        <f t="shared" si="43"/>
        <v>25741933.060000002</v>
      </c>
      <c r="GZ59" s="14">
        <f t="shared" si="43"/>
        <v>13341933.060000002</v>
      </c>
      <c r="HA59" s="14">
        <f t="shared" si="43"/>
        <v>13341933.060000002</v>
      </c>
      <c r="HB59" s="14">
        <f t="shared" si="43"/>
        <v>13341933.060000002</v>
      </c>
      <c r="HC59" s="14">
        <f t="shared" si="43"/>
        <v>23941933.060000002</v>
      </c>
      <c r="HD59" s="14">
        <f t="shared" si="43"/>
        <v>38741933.060000002</v>
      </c>
      <c r="HE59" s="421">
        <f t="shared" si="43"/>
        <v>38741933.060000002</v>
      </c>
      <c r="HF59" s="14">
        <f t="shared" si="43"/>
        <v>38741933.060000002</v>
      </c>
      <c r="HG59" s="14">
        <f t="shared" si="43"/>
        <v>38741933.060000002</v>
      </c>
      <c r="HH59" s="14">
        <f t="shared" si="43"/>
        <v>38741933.060000002</v>
      </c>
      <c r="HI59" s="14">
        <v>23955232.329999998</v>
      </c>
      <c r="HJ59" s="14">
        <f t="shared" si="43"/>
        <v>23955232.329999998</v>
      </c>
      <c r="HK59" s="14">
        <f t="shared" si="43"/>
        <v>23955232.329999998</v>
      </c>
      <c r="HL59" s="14">
        <f t="shared" si="43"/>
        <v>23955232.329999998</v>
      </c>
      <c r="HM59" s="14">
        <f t="shared" si="43"/>
        <v>23955232.329999998</v>
      </c>
      <c r="HN59" s="14">
        <f t="shared" si="43"/>
        <v>27155232.329999998</v>
      </c>
      <c r="HO59" s="14">
        <f t="shared" si="43"/>
        <v>49855232.329999998</v>
      </c>
      <c r="HP59" s="230">
        <f t="shared" si="43"/>
        <v>47355232.329999998</v>
      </c>
      <c r="HQ59" s="14">
        <f t="shared" si="43"/>
        <v>41955232.329999998</v>
      </c>
      <c r="HR59" s="14">
        <f t="shared" si="43"/>
        <v>46055232.329999998</v>
      </c>
      <c r="HS59" s="14">
        <f t="shared" si="43"/>
        <v>33155232.329999998</v>
      </c>
      <c r="HT59" s="14">
        <f t="shared" si="43"/>
        <v>33155232.329999998</v>
      </c>
      <c r="HU59" s="14">
        <f t="shared" si="43"/>
        <v>38055232.329999998</v>
      </c>
      <c r="HV59" s="14">
        <f t="shared" si="43"/>
        <v>42755232.329999998</v>
      </c>
      <c r="HW59" s="14">
        <f t="shared" si="43"/>
        <v>42755232.329999998</v>
      </c>
      <c r="HX59" s="14">
        <f>+HV59-HX21+HX52</f>
        <v>47655232.329999998</v>
      </c>
      <c r="HY59" s="14">
        <f t="shared" si="43"/>
        <v>47655232.329999998</v>
      </c>
      <c r="HZ59" s="14">
        <f t="shared" si="43"/>
        <v>49255232.329999998</v>
      </c>
      <c r="IA59" s="421">
        <f t="shared" si="43"/>
        <v>49255232.329999998</v>
      </c>
      <c r="IB59" s="14">
        <f>+HZ59-IB21+IB52</f>
        <v>49255232.329999998</v>
      </c>
      <c r="IC59" s="14">
        <f>+IA59-IC21+IC52</f>
        <v>49255232.329999998</v>
      </c>
      <c r="ID59" s="14">
        <f t="shared" si="43"/>
        <v>49255232.329999998</v>
      </c>
      <c r="IE59" s="14">
        <f t="shared" si="43"/>
        <v>49255232.329999998</v>
      </c>
      <c r="IF59" s="14">
        <f t="shared" si="43"/>
        <v>49255232.329999998</v>
      </c>
      <c r="IG59" s="14">
        <f t="shared" si="43"/>
        <v>49255232.329999998</v>
      </c>
      <c r="IH59" s="14">
        <f t="shared" si="43"/>
        <v>49255232.329999998</v>
      </c>
      <c r="II59" s="14">
        <f t="shared" si="43"/>
        <v>49255232.329999998</v>
      </c>
      <c r="IJ59" s="14">
        <f t="shared" si="43"/>
        <v>49255232.329999998</v>
      </c>
      <c r="IK59" s="14">
        <f t="shared" si="43"/>
        <v>49255232.329999998</v>
      </c>
      <c r="IL59" s="230">
        <f t="shared" si="43"/>
        <v>49255232.329999998</v>
      </c>
      <c r="IM59" s="14">
        <f t="shared" si="43"/>
        <v>49255232.329999998</v>
      </c>
      <c r="IN59" s="14">
        <f t="shared" si="43"/>
        <v>49255232.329999998</v>
      </c>
      <c r="IO59" s="14">
        <f t="shared" si="43"/>
        <v>49255232.329999998</v>
      </c>
      <c r="IP59" s="14">
        <f t="shared" si="43"/>
        <v>49255232.329999998</v>
      </c>
      <c r="IQ59" s="14">
        <f t="shared" si="43"/>
        <v>49255232.329999998</v>
      </c>
      <c r="IR59" s="14">
        <f t="shared" si="43"/>
        <v>49255232.329999998</v>
      </c>
      <c r="IS59" s="14">
        <f t="shared" si="43"/>
        <v>49255232.329999998</v>
      </c>
      <c r="IT59" s="14">
        <f t="shared" si="43"/>
        <v>49255232.329999998</v>
      </c>
      <c r="IU59" s="14">
        <f t="shared" si="43"/>
        <v>49255232.329999998</v>
      </c>
      <c r="IV59" s="14">
        <v>49268212</v>
      </c>
      <c r="IW59" s="759">
        <v>0.72</v>
      </c>
      <c r="IX59" s="14"/>
      <c r="IY59" s="14"/>
      <c r="IZ59" s="14"/>
      <c r="JA59" s="14"/>
      <c r="JB59" s="14"/>
      <c r="JC59" s="14"/>
      <c r="JD59" s="14"/>
      <c r="JE59" s="14"/>
      <c r="JF59" s="14"/>
      <c r="JH59" s="14" t="e">
        <f>+#REF!-JH21+JH52</f>
        <v>#REF!</v>
      </c>
      <c r="JI59" s="14" t="e">
        <f>+JH59-JI21+JI52</f>
        <v>#REF!</v>
      </c>
    </row>
    <row r="60" spans="1:269" ht="14.1" customHeight="1">
      <c r="A60" s="14" t="s">
        <v>69</v>
      </c>
      <c r="B60" s="14"/>
      <c r="C60" s="794">
        <v>0</v>
      </c>
      <c r="D60" s="14">
        <f>+C60</f>
        <v>0</v>
      </c>
      <c r="E60" s="14">
        <f t="shared" ref="E60:BP60" si="44">+D60</f>
        <v>0</v>
      </c>
      <c r="F60" s="14">
        <f t="shared" si="44"/>
        <v>0</v>
      </c>
      <c r="G60" s="14">
        <f t="shared" si="44"/>
        <v>0</v>
      </c>
      <c r="H60" s="14">
        <f t="shared" si="44"/>
        <v>0</v>
      </c>
      <c r="I60" s="14">
        <f t="shared" si="44"/>
        <v>0</v>
      </c>
      <c r="J60" s="14">
        <f t="shared" si="44"/>
        <v>0</v>
      </c>
      <c r="K60" s="14">
        <f t="shared" si="44"/>
        <v>0</v>
      </c>
      <c r="L60" s="14">
        <f t="shared" si="44"/>
        <v>0</v>
      </c>
      <c r="M60" s="230">
        <f t="shared" si="44"/>
        <v>0</v>
      </c>
      <c r="N60" s="14">
        <f t="shared" si="44"/>
        <v>0</v>
      </c>
      <c r="O60" s="14">
        <f t="shared" si="44"/>
        <v>0</v>
      </c>
      <c r="P60" s="14">
        <f t="shared" si="44"/>
        <v>0</v>
      </c>
      <c r="Q60" s="14">
        <f t="shared" si="44"/>
        <v>0</v>
      </c>
      <c r="R60" s="14">
        <f t="shared" si="44"/>
        <v>0</v>
      </c>
      <c r="S60" s="14">
        <f t="shared" si="44"/>
        <v>0</v>
      </c>
      <c r="T60" s="14">
        <f t="shared" si="44"/>
        <v>0</v>
      </c>
      <c r="U60" s="14">
        <f t="shared" si="44"/>
        <v>0</v>
      </c>
      <c r="V60" s="421">
        <f t="shared" si="44"/>
        <v>0</v>
      </c>
      <c r="W60" s="14">
        <f t="shared" si="44"/>
        <v>0</v>
      </c>
      <c r="X60" s="14">
        <f t="shared" si="44"/>
        <v>0</v>
      </c>
      <c r="Y60" s="14">
        <f t="shared" si="44"/>
        <v>0</v>
      </c>
      <c r="Z60" s="14">
        <f t="shared" si="44"/>
        <v>0</v>
      </c>
      <c r="AA60" s="14">
        <f t="shared" si="44"/>
        <v>0</v>
      </c>
      <c r="AB60" s="14">
        <f t="shared" si="44"/>
        <v>0</v>
      </c>
      <c r="AC60" s="14">
        <f t="shared" si="44"/>
        <v>0</v>
      </c>
      <c r="AD60" s="14">
        <f t="shared" si="44"/>
        <v>0</v>
      </c>
      <c r="AE60" s="14">
        <f t="shared" si="44"/>
        <v>0</v>
      </c>
      <c r="AF60" s="14">
        <f t="shared" si="44"/>
        <v>0</v>
      </c>
      <c r="AG60" s="230">
        <f t="shared" si="44"/>
        <v>0</v>
      </c>
      <c r="AH60" s="14">
        <f t="shared" si="44"/>
        <v>0</v>
      </c>
      <c r="AI60" s="14">
        <f t="shared" si="44"/>
        <v>0</v>
      </c>
      <c r="AJ60" s="14">
        <f t="shared" si="44"/>
        <v>0</v>
      </c>
      <c r="AK60" s="14">
        <f t="shared" si="44"/>
        <v>0</v>
      </c>
      <c r="AL60" s="14">
        <f t="shared" si="44"/>
        <v>0</v>
      </c>
      <c r="AM60" s="14">
        <f t="shared" si="44"/>
        <v>0</v>
      </c>
      <c r="AN60" s="14">
        <f t="shared" si="44"/>
        <v>0</v>
      </c>
      <c r="AO60" s="582">
        <f t="shared" si="44"/>
        <v>0</v>
      </c>
      <c r="AP60" s="14">
        <f t="shared" si="44"/>
        <v>0</v>
      </c>
      <c r="AQ60" s="14">
        <f t="shared" si="44"/>
        <v>0</v>
      </c>
      <c r="AR60" s="14">
        <f t="shared" si="44"/>
        <v>0</v>
      </c>
      <c r="AS60" s="421">
        <f t="shared" si="44"/>
        <v>0</v>
      </c>
      <c r="AT60" s="14">
        <f t="shared" si="44"/>
        <v>0</v>
      </c>
      <c r="AU60" s="14">
        <f t="shared" si="44"/>
        <v>0</v>
      </c>
      <c r="AV60" s="14">
        <f t="shared" si="44"/>
        <v>0</v>
      </c>
      <c r="AW60" s="14">
        <f t="shared" si="44"/>
        <v>0</v>
      </c>
      <c r="AX60" s="14">
        <f t="shared" si="44"/>
        <v>0</v>
      </c>
      <c r="AY60" s="14">
        <f t="shared" si="44"/>
        <v>0</v>
      </c>
      <c r="AZ60" s="14">
        <f t="shared" si="44"/>
        <v>0</v>
      </c>
      <c r="BA60" s="14">
        <f t="shared" si="44"/>
        <v>0</v>
      </c>
      <c r="BB60" s="14">
        <f t="shared" si="44"/>
        <v>0</v>
      </c>
      <c r="BC60" s="14">
        <f t="shared" si="44"/>
        <v>0</v>
      </c>
      <c r="BD60" s="230">
        <f t="shared" si="44"/>
        <v>0</v>
      </c>
      <c r="BE60" s="14">
        <f t="shared" si="44"/>
        <v>0</v>
      </c>
      <c r="BF60" s="14">
        <f t="shared" si="44"/>
        <v>0</v>
      </c>
      <c r="BG60" s="14">
        <f t="shared" si="44"/>
        <v>0</v>
      </c>
      <c r="BH60" s="14">
        <f t="shared" si="44"/>
        <v>0</v>
      </c>
      <c r="BI60" s="14">
        <f t="shared" si="44"/>
        <v>0</v>
      </c>
      <c r="BJ60" s="14">
        <f t="shared" si="44"/>
        <v>0</v>
      </c>
      <c r="BK60" s="14">
        <f t="shared" si="44"/>
        <v>0</v>
      </c>
      <c r="BL60" s="14">
        <f t="shared" si="44"/>
        <v>0</v>
      </c>
      <c r="BM60" s="14">
        <f t="shared" si="44"/>
        <v>0</v>
      </c>
      <c r="BN60" s="14">
        <f t="shared" si="44"/>
        <v>0</v>
      </c>
      <c r="BO60" s="421">
        <f t="shared" si="44"/>
        <v>0</v>
      </c>
      <c r="BP60" s="14">
        <f t="shared" si="44"/>
        <v>0</v>
      </c>
      <c r="BQ60" s="14">
        <f t="shared" ref="BQ60:EB60" si="45">+BP60</f>
        <v>0</v>
      </c>
      <c r="BR60" s="14">
        <f t="shared" si="45"/>
        <v>0</v>
      </c>
      <c r="BS60" s="14">
        <f t="shared" si="45"/>
        <v>0</v>
      </c>
      <c r="BT60" s="14">
        <f t="shared" si="45"/>
        <v>0</v>
      </c>
      <c r="BU60" s="14">
        <f t="shared" si="45"/>
        <v>0</v>
      </c>
      <c r="BV60" s="14">
        <f t="shared" si="45"/>
        <v>0</v>
      </c>
      <c r="BW60" s="14">
        <f t="shared" si="45"/>
        <v>0</v>
      </c>
      <c r="BX60" s="14">
        <f t="shared" si="45"/>
        <v>0</v>
      </c>
      <c r="BY60" s="230">
        <f t="shared" si="45"/>
        <v>0</v>
      </c>
      <c r="BZ60" s="14">
        <f t="shared" si="45"/>
        <v>0</v>
      </c>
      <c r="CA60" s="14">
        <f t="shared" si="45"/>
        <v>0</v>
      </c>
      <c r="CB60" s="14">
        <f t="shared" si="45"/>
        <v>0</v>
      </c>
      <c r="CC60" s="14">
        <f t="shared" si="45"/>
        <v>0</v>
      </c>
      <c r="CD60" s="14">
        <f t="shared" si="45"/>
        <v>0</v>
      </c>
      <c r="CE60" s="14">
        <f t="shared" si="45"/>
        <v>0</v>
      </c>
      <c r="CF60" s="14">
        <f t="shared" si="45"/>
        <v>0</v>
      </c>
      <c r="CG60" s="14">
        <f t="shared" si="45"/>
        <v>0</v>
      </c>
      <c r="CH60" s="14">
        <f t="shared" si="45"/>
        <v>0</v>
      </c>
      <c r="CI60" s="421">
        <f t="shared" si="45"/>
        <v>0</v>
      </c>
      <c r="CJ60" s="14">
        <f t="shared" si="45"/>
        <v>0</v>
      </c>
      <c r="CK60" s="14">
        <f t="shared" si="45"/>
        <v>0</v>
      </c>
      <c r="CL60" s="14">
        <f t="shared" si="45"/>
        <v>0</v>
      </c>
      <c r="CM60" s="14">
        <f t="shared" si="45"/>
        <v>0</v>
      </c>
      <c r="CN60" s="14">
        <f t="shared" si="45"/>
        <v>0</v>
      </c>
      <c r="CO60" s="14">
        <f t="shared" si="45"/>
        <v>0</v>
      </c>
      <c r="CP60" s="14">
        <f t="shared" si="45"/>
        <v>0</v>
      </c>
      <c r="CQ60" s="14">
        <f t="shared" si="45"/>
        <v>0</v>
      </c>
      <c r="CR60" s="14">
        <f t="shared" si="45"/>
        <v>0</v>
      </c>
      <c r="CS60" s="14">
        <f t="shared" si="45"/>
        <v>0</v>
      </c>
      <c r="CT60" s="230">
        <f t="shared" si="45"/>
        <v>0</v>
      </c>
      <c r="CU60" s="14">
        <f t="shared" si="45"/>
        <v>0</v>
      </c>
      <c r="CV60" s="14">
        <f t="shared" si="45"/>
        <v>0</v>
      </c>
      <c r="CW60" s="14">
        <f t="shared" si="45"/>
        <v>0</v>
      </c>
      <c r="CX60" s="14">
        <f t="shared" si="45"/>
        <v>0</v>
      </c>
      <c r="CY60" s="14">
        <f t="shared" si="45"/>
        <v>0</v>
      </c>
      <c r="CZ60" s="14">
        <f t="shared" si="45"/>
        <v>0</v>
      </c>
      <c r="DA60" s="14">
        <f t="shared" si="45"/>
        <v>0</v>
      </c>
      <c r="DB60" s="14">
        <f t="shared" si="45"/>
        <v>0</v>
      </c>
      <c r="DC60" s="14">
        <f t="shared" si="45"/>
        <v>0</v>
      </c>
      <c r="DD60" s="14">
        <f t="shared" si="45"/>
        <v>0</v>
      </c>
      <c r="DE60" s="421">
        <f t="shared" si="45"/>
        <v>0</v>
      </c>
      <c r="DF60" s="14">
        <f t="shared" si="45"/>
        <v>0</v>
      </c>
      <c r="DG60" s="14">
        <f t="shared" si="45"/>
        <v>0</v>
      </c>
      <c r="DH60" s="14">
        <f t="shared" si="45"/>
        <v>0</v>
      </c>
      <c r="DI60" s="14">
        <f t="shared" si="45"/>
        <v>0</v>
      </c>
      <c r="DJ60" s="14">
        <f t="shared" si="45"/>
        <v>0</v>
      </c>
      <c r="DK60" s="14">
        <f t="shared" si="45"/>
        <v>0</v>
      </c>
      <c r="DL60" s="14">
        <f t="shared" si="45"/>
        <v>0</v>
      </c>
      <c r="DM60" s="14">
        <f t="shared" si="45"/>
        <v>0</v>
      </c>
      <c r="DN60" s="14">
        <f t="shared" si="45"/>
        <v>0</v>
      </c>
      <c r="DO60" s="230">
        <f t="shared" si="45"/>
        <v>0</v>
      </c>
      <c r="DP60" s="14">
        <f t="shared" si="45"/>
        <v>0</v>
      </c>
      <c r="DQ60" s="14">
        <f t="shared" si="45"/>
        <v>0</v>
      </c>
      <c r="DR60" s="14">
        <f t="shared" si="45"/>
        <v>0</v>
      </c>
      <c r="DS60" s="14">
        <f t="shared" si="45"/>
        <v>0</v>
      </c>
      <c r="DT60" s="14">
        <f t="shared" si="45"/>
        <v>0</v>
      </c>
      <c r="DU60" s="14">
        <f t="shared" si="45"/>
        <v>0</v>
      </c>
      <c r="DV60" s="14">
        <f t="shared" si="45"/>
        <v>0</v>
      </c>
      <c r="DW60" s="14">
        <f t="shared" si="45"/>
        <v>0</v>
      </c>
      <c r="DX60" s="14">
        <f t="shared" si="45"/>
        <v>0</v>
      </c>
      <c r="DY60" s="14">
        <f t="shared" si="45"/>
        <v>0</v>
      </c>
      <c r="DZ60" s="421">
        <f t="shared" si="45"/>
        <v>0</v>
      </c>
      <c r="EA60" s="14">
        <f t="shared" si="45"/>
        <v>0</v>
      </c>
      <c r="EB60" s="14">
        <f t="shared" si="45"/>
        <v>0</v>
      </c>
      <c r="EC60" s="14">
        <f t="shared" ref="EC60:GN60" si="46">+EB60</f>
        <v>0</v>
      </c>
      <c r="ED60" s="14">
        <f t="shared" si="46"/>
        <v>0</v>
      </c>
      <c r="EE60" s="14">
        <f t="shared" si="46"/>
        <v>0</v>
      </c>
      <c r="EF60" s="14">
        <f t="shared" si="46"/>
        <v>0</v>
      </c>
      <c r="EG60" s="14">
        <f t="shared" si="46"/>
        <v>0</v>
      </c>
      <c r="EH60" s="14">
        <f t="shared" si="46"/>
        <v>0</v>
      </c>
      <c r="EI60" s="14">
        <f t="shared" si="46"/>
        <v>0</v>
      </c>
      <c r="EJ60" s="495">
        <v>0</v>
      </c>
      <c r="EK60" s="14">
        <f t="shared" si="46"/>
        <v>0</v>
      </c>
      <c r="EL60" s="14">
        <f t="shared" si="46"/>
        <v>0</v>
      </c>
      <c r="EM60" s="14">
        <f t="shared" si="46"/>
        <v>0</v>
      </c>
      <c r="EN60" s="14">
        <f t="shared" si="46"/>
        <v>0</v>
      </c>
      <c r="EO60" s="14">
        <f t="shared" si="46"/>
        <v>0</v>
      </c>
      <c r="EP60" s="14">
        <f t="shared" si="46"/>
        <v>0</v>
      </c>
      <c r="EQ60" s="14">
        <f t="shared" si="46"/>
        <v>0</v>
      </c>
      <c r="ER60" s="14">
        <f t="shared" si="46"/>
        <v>0</v>
      </c>
      <c r="ES60" s="14">
        <f t="shared" si="46"/>
        <v>0</v>
      </c>
      <c r="ET60" s="14">
        <f t="shared" si="46"/>
        <v>0</v>
      </c>
      <c r="EU60" s="14">
        <f t="shared" si="46"/>
        <v>0</v>
      </c>
      <c r="EV60" s="421">
        <f t="shared" si="46"/>
        <v>0</v>
      </c>
      <c r="EW60" s="14">
        <f t="shared" si="46"/>
        <v>0</v>
      </c>
      <c r="EX60" s="14">
        <f t="shared" si="46"/>
        <v>0</v>
      </c>
      <c r="EY60" s="14">
        <f t="shared" si="46"/>
        <v>0</v>
      </c>
      <c r="EZ60" s="14">
        <f t="shared" si="46"/>
        <v>0</v>
      </c>
      <c r="FA60" s="14">
        <f t="shared" si="46"/>
        <v>0</v>
      </c>
      <c r="FB60" s="14">
        <f t="shared" si="46"/>
        <v>0</v>
      </c>
      <c r="FC60" s="14">
        <f t="shared" si="46"/>
        <v>0</v>
      </c>
      <c r="FD60" s="14">
        <f t="shared" si="46"/>
        <v>0</v>
      </c>
      <c r="FE60" s="14">
        <f t="shared" si="46"/>
        <v>0</v>
      </c>
      <c r="FF60" s="495">
        <v>0</v>
      </c>
      <c r="FG60" s="14">
        <f t="shared" si="46"/>
        <v>0</v>
      </c>
      <c r="FH60" s="14">
        <f t="shared" si="46"/>
        <v>0</v>
      </c>
      <c r="FI60" s="14">
        <f t="shared" si="46"/>
        <v>0</v>
      </c>
      <c r="FJ60" s="14">
        <f t="shared" si="46"/>
        <v>0</v>
      </c>
      <c r="FK60" s="14">
        <f t="shared" si="46"/>
        <v>0</v>
      </c>
      <c r="FL60" s="14">
        <f t="shared" si="46"/>
        <v>0</v>
      </c>
      <c r="FM60" s="14">
        <f t="shared" si="46"/>
        <v>0</v>
      </c>
      <c r="FN60" s="14">
        <f t="shared" si="46"/>
        <v>0</v>
      </c>
      <c r="FO60" s="14">
        <f t="shared" si="46"/>
        <v>0</v>
      </c>
      <c r="FP60" s="14">
        <f t="shared" si="46"/>
        <v>0</v>
      </c>
      <c r="FQ60" s="421">
        <f t="shared" si="46"/>
        <v>0</v>
      </c>
      <c r="FR60" s="14">
        <f t="shared" si="46"/>
        <v>0</v>
      </c>
      <c r="FS60" s="14">
        <f t="shared" si="46"/>
        <v>0</v>
      </c>
      <c r="FT60" s="14">
        <f t="shared" si="46"/>
        <v>0</v>
      </c>
      <c r="FU60" s="14">
        <f t="shared" si="46"/>
        <v>0</v>
      </c>
      <c r="FV60" s="14">
        <f t="shared" si="46"/>
        <v>0</v>
      </c>
      <c r="FW60" s="14">
        <f t="shared" si="46"/>
        <v>0</v>
      </c>
      <c r="FX60" s="14">
        <f t="shared" si="46"/>
        <v>0</v>
      </c>
      <c r="FY60" s="14">
        <f t="shared" si="46"/>
        <v>0</v>
      </c>
      <c r="FZ60" s="14">
        <f t="shared" si="46"/>
        <v>0</v>
      </c>
      <c r="GA60" s="495">
        <v>0</v>
      </c>
      <c r="GB60" s="14">
        <f t="shared" si="46"/>
        <v>0</v>
      </c>
      <c r="GC60" s="14">
        <f t="shared" si="46"/>
        <v>0</v>
      </c>
      <c r="GD60" s="14">
        <f t="shared" si="46"/>
        <v>0</v>
      </c>
      <c r="GE60" s="14">
        <f t="shared" si="46"/>
        <v>0</v>
      </c>
      <c r="GF60" s="14">
        <f t="shared" si="46"/>
        <v>0</v>
      </c>
      <c r="GG60" s="14">
        <f t="shared" si="46"/>
        <v>0</v>
      </c>
      <c r="GH60" s="14">
        <f t="shared" si="46"/>
        <v>0</v>
      </c>
      <c r="GI60" s="14">
        <f t="shared" si="46"/>
        <v>0</v>
      </c>
      <c r="GJ60" s="14">
        <f t="shared" si="46"/>
        <v>0</v>
      </c>
      <c r="GK60" s="421">
        <f t="shared" si="46"/>
        <v>0</v>
      </c>
      <c r="GL60" s="14">
        <f t="shared" si="46"/>
        <v>0</v>
      </c>
      <c r="GM60" s="14">
        <f t="shared" si="46"/>
        <v>0</v>
      </c>
      <c r="GN60" s="14">
        <f t="shared" si="46"/>
        <v>0</v>
      </c>
      <c r="GO60" s="14">
        <f t="shared" ref="GO60:IV60" si="47">+GN60</f>
        <v>0</v>
      </c>
      <c r="GP60" s="14">
        <f t="shared" si="47"/>
        <v>0</v>
      </c>
      <c r="GQ60" s="14">
        <f t="shared" si="47"/>
        <v>0</v>
      </c>
      <c r="GR60" s="14">
        <f t="shared" si="47"/>
        <v>0</v>
      </c>
      <c r="GS60" s="14">
        <f t="shared" si="47"/>
        <v>0</v>
      </c>
      <c r="GT60" s="14">
        <f t="shared" si="47"/>
        <v>0</v>
      </c>
      <c r="GU60" s="230">
        <v>0</v>
      </c>
      <c r="GV60" s="14">
        <f t="shared" si="47"/>
        <v>0</v>
      </c>
      <c r="GW60" s="14">
        <f t="shared" si="47"/>
        <v>0</v>
      </c>
      <c r="GX60" s="14">
        <f t="shared" si="47"/>
        <v>0</v>
      </c>
      <c r="GY60" s="14">
        <f t="shared" si="47"/>
        <v>0</v>
      </c>
      <c r="GZ60" s="14">
        <f t="shared" si="47"/>
        <v>0</v>
      </c>
      <c r="HA60" s="14">
        <f t="shared" si="47"/>
        <v>0</v>
      </c>
      <c r="HB60" s="14">
        <f t="shared" si="47"/>
        <v>0</v>
      </c>
      <c r="HC60" s="14">
        <f t="shared" si="47"/>
        <v>0</v>
      </c>
      <c r="HD60" s="14">
        <f t="shared" si="47"/>
        <v>0</v>
      </c>
      <c r="HE60" s="421">
        <f t="shared" si="47"/>
        <v>0</v>
      </c>
      <c r="HF60" s="14">
        <f t="shared" si="47"/>
        <v>0</v>
      </c>
      <c r="HG60" s="14">
        <f t="shared" si="47"/>
        <v>0</v>
      </c>
      <c r="HH60" s="14">
        <f t="shared" si="47"/>
        <v>0</v>
      </c>
      <c r="HI60" s="14">
        <f t="shared" si="47"/>
        <v>0</v>
      </c>
      <c r="HJ60" s="14">
        <f t="shared" si="47"/>
        <v>0</v>
      </c>
      <c r="HK60" s="14">
        <f t="shared" si="47"/>
        <v>0</v>
      </c>
      <c r="HL60" s="14">
        <f t="shared" si="47"/>
        <v>0</v>
      </c>
      <c r="HM60" s="14">
        <f t="shared" si="47"/>
        <v>0</v>
      </c>
      <c r="HN60" s="14">
        <f t="shared" si="47"/>
        <v>0</v>
      </c>
      <c r="HO60" s="14">
        <f t="shared" si="47"/>
        <v>0</v>
      </c>
      <c r="HP60" s="230">
        <v>0</v>
      </c>
      <c r="HQ60" s="14">
        <f t="shared" si="47"/>
        <v>0</v>
      </c>
      <c r="HR60" s="14">
        <f t="shared" si="47"/>
        <v>0</v>
      </c>
      <c r="HS60" s="14">
        <f t="shared" si="47"/>
        <v>0</v>
      </c>
      <c r="HT60" s="14">
        <f t="shared" si="47"/>
        <v>0</v>
      </c>
      <c r="HU60" s="14">
        <f t="shared" si="47"/>
        <v>0</v>
      </c>
      <c r="HV60" s="14">
        <f t="shared" si="47"/>
        <v>0</v>
      </c>
      <c r="HW60" s="14">
        <f t="shared" si="47"/>
        <v>0</v>
      </c>
      <c r="HX60" s="14">
        <f>+HV60</f>
        <v>0</v>
      </c>
      <c r="HY60" s="14">
        <f t="shared" si="47"/>
        <v>0</v>
      </c>
      <c r="HZ60" s="14">
        <f t="shared" si="47"/>
        <v>0</v>
      </c>
      <c r="IA60" s="421">
        <f t="shared" si="47"/>
        <v>0</v>
      </c>
      <c r="IB60" s="14">
        <f>+HZ60</f>
        <v>0</v>
      </c>
      <c r="IC60" s="14">
        <f>+IA60</f>
        <v>0</v>
      </c>
      <c r="ID60" s="14">
        <f t="shared" si="47"/>
        <v>0</v>
      </c>
      <c r="IE60" s="14">
        <f t="shared" si="47"/>
        <v>0</v>
      </c>
      <c r="IF60" s="14">
        <f t="shared" si="47"/>
        <v>0</v>
      </c>
      <c r="IG60" s="14">
        <f t="shared" si="47"/>
        <v>0</v>
      </c>
      <c r="IH60" s="14">
        <f t="shared" si="47"/>
        <v>0</v>
      </c>
      <c r="II60" s="14">
        <f t="shared" si="47"/>
        <v>0</v>
      </c>
      <c r="IJ60" s="14">
        <f t="shared" si="47"/>
        <v>0</v>
      </c>
      <c r="IK60" s="14">
        <f t="shared" si="47"/>
        <v>0</v>
      </c>
      <c r="IL60" s="230">
        <f t="shared" si="47"/>
        <v>0</v>
      </c>
      <c r="IM60" s="14">
        <f t="shared" si="47"/>
        <v>0</v>
      </c>
      <c r="IN60" s="14">
        <f t="shared" si="47"/>
        <v>0</v>
      </c>
      <c r="IO60" s="14">
        <f t="shared" si="47"/>
        <v>0</v>
      </c>
      <c r="IP60" s="14">
        <f t="shared" si="47"/>
        <v>0</v>
      </c>
      <c r="IQ60" s="14">
        <f t="shared" si="47"/>
        <v>0</v>
      </c>
      <c r="IR60" s="14">
        <f t="shared" si="47"/>
        <v>0</v>
      </c>
      <c r="IS60" s="14">
        <f t="shared" si="47"/>
        <v>0</v>
      </c>
      <c r="IT60" s="14">
        <f t="shared" si="47"/>
        <v>0</v>
      </c>
      <c r="IU60" s="14">
        <f t="shared" si="47"/>
        <v>0</v>
      </c>
      <c r="IV60" s="14">
        <f t="shared" si="47"/>
        <v>0</v>
      </c>
      <c r="IW60" s="530"/>
      <c r="IX60" s="14"/>
      <c r="IY60" s="14"/>
      <c r="IZ60" s="14"/>
      <c r="JA60" s="14"/>
      <c r="JB60" s="14"/>
      <c r="JC60" s="14"/>
      <c r="JD60" s="14"/>
      <c r="JE60" s="14"/>
      <c r="JF60" s="14"/>
      <c r="JH60" s="14" t="e">
        <f>+#REF!</f>
        <v>#REF!</v>
      </c>
      <c r="JI60" s="14"/>
    </row>
    <row r="61" spans="1:269" ht="14.1" customHeight="1">
      <c r="A61" s="14" t="s">
        <v>22</v>
      </c>
      <c r="B61" s="14"/>
      <c r="C61" s="794">
        <v>26002413.530000001</v>
      </c>
      <c r="D61" s="14">
        <v>26004299</v>
      </c>
      <c r="E61" s="14">
        <f>D61-E23+35000000</f>
        <v>61004299</v>
      </c>
      <c r="F61" s="14">
        <f t="shared" ref="F61:BO63" si="48">E61-F23</f>
        <v>61004299</v>
      </c>
      <c r="G61" s="14">
        <f>F61-G23+35000000</f>
        <v>96004299</v>
      </c>
      <c r="H61" s="14">
        <f t="shared" si="48"/>
        <v>96004299</v>
      </c>
      <c r="I61" s="14">
        <f t="shared" si="48"/>
        <v>96004299</v>
      </c>
      <c r="J61" s="14">
        <f t="shared" si="48"/>
        <v>96004299</v>
      </c>
      <c r="K61" s="14">
        <f t="shared" si="48"/>
        <v>96004299</v>
      </c>
      <c r="L61" s="14">
        <f t="shared" si="48"/>
        <v>96004299</v>
      </c>
      <c r="M61" s="230">
        <f t="shared" si="48"/>
        <v>96004299</v>
      </c>
      <c r="N61" s="14">
        <f t="shared" si="48"/>
        <v>96004299</v>
      </c>
      <c r="O61" s="14">
        <f t="shared" si="48"/>
        <v>96004299</v>
      </c>
      <c r="P61" s="14">
        <f t="shared" si="48"/>
        <v>96004299</v>
      </c>
      <c r="Q61" s="14">
        <f t="shared" si="48"/>
        <v>96004299</v>
      </c>
      <c r="R61" s="14">
        <f t="shared" si="48"/>
        <v>96004299</v>
      </c>
      <c r="S61" s="14">
        <f t="shared" si="48"/>
        <v>96004299</v>
      </c>
      <c r="T61" s="14">
        <f t="shared" si="48"/>
        <v>96004299</v>
      </c>
      <c r="U61" s="14">
        <f t="shared" si="48"/>
        <v>96004299</v>
      </c>
      <c r="V61" s="39">
        <f t="shared" si="48"/>
        <v>96004299</v>
      </c>
      <c r="W61" s="14">
        <v>96014802</v>
      </c>
      <c r="X61" s="14">
        <f t="shared" si="48"/>
        <v>96014802</v>
      </c>
      <c r="Y61" s="14">
        <f t="shared" si="48"/>
        <v>96014802</v>
      </c>
      <c r="Z61" s="14">
        <f t="shared" si="48"/>
        <v>96014802</v>
      </c>
      <c r="AA61" s="14">
        <f t="shared" si="48"/>
        <v>96014802</v>
      </c>
      <c r="AB61" s="14">
        <f t="shared" si="48"/>
        <v>96014802</v>
      </c>
      <c r="AC61" s="14">
        <f t="shared" si="48"/>
        <v>96014802</v>
      </c>
      <c r="AD61" s="14">
        <f t="shared" si="48"/>
        <v>96014802</v>
      </c>
      <c r="AE61" s="14">
        <f t="shared" si="48"/>
        <v>96014802</v>
      </c>
      <c r="AF61" s="14">
        <f t="shared" si="48"/>
        <v>96014802</v>
      </c>
      <c r="AG61" s="230">
        <f t="shared" si="48"/>
        <v>71014802</v>
      </c>
      <c r="AH61" s="14">
        <f t="shared" si="48"/>
        <v>71014802</v>
      </c>
      <c r="AI61" s="14">
        <f t="shared" si="48"/>
        <v>71014802</v>
      </c>
      <c r="AJ61" s="14">
        <f t="shared" si="48"/>
        <v>71014802</v>
      </c>
      <c r="AK61" s="14">
        <f t="shared" si="48"/>
        <v>71014802</v>
      </c>
      <c r="AL61" s="14">
        <f t="shared" si="48"/>
        <v>71014802</v>
      </c>
      <c r="AM61" s="14">
        <f t="shared" si="48"/>
        <v>71014802</v>
      </c>
      <c r="AN61" s="14">
        <f t="shared" si="48"/>
        <v>71014802</v>
      </c>
      <c r="AO61" s="582">
        <f t="shared" si="48"/>
        <v>71014802</v>
      </c>
      <c r="AP61" s="14">
        <f t="shared" si="48"/>
        <v>71014802</v>
      </c>
      <c r="AQ61" s="14">
        <f t="shared" si="48"/>
        <v>71014802</v>
      </c>
      <c r="AR61" s="14">
        <f t="shared" si="48"/>
        <v>71014802</v>
      </c>
      <c r="AS61" s="421">
        <v>71025873</v>
      </c>
      <c r="AT61" s="14">
        <f t="shared" si="48"/>
        <v>46025873</v>
      </c>
      <c r="AU61" s="14">
        <f t="shared" si="48"/>
        <v>46025873</v>
      </c>
      <c r="AV61" s="14">
        <f t="shared" si="48"/>
        <v>46025873</v>
      </c>
      <c r="AW61" s="14">
        <f t="shared" si="48"/>
        <v>46025873</v>
      </c>
      <c r="AX61" s="14">
        <f t="shared" si="48"/>
        <v>46025873</v>
      </c>
      <c r="AY61" s="14">
        <f t="shared" si="48"/>
        <v>46025873</v>
      </c>
      <c r="AZ61" s="14">
        <f t="shared" si="48"/>
        <v>46025873</v>
      </c>
      <c r="BA61" s="14">
        <f t="shared" si="48"/>
        <v>46025873</v>
      </c>
      <c r="BB61" s="14">
        <f t="shared" si="48"/>
        <v>46025873</v>
      </c>
      <c r="BC61" s="14">
        <f t="shared" si="48"/>
        <v>46025873</v>
      </c>
      <c r="BD61" s="230">
        <f t="shared" si="48"/>
        <v>46025873</v>
      </c>
      <c r="BE61" s="14">
        <f t="shared" si="48"/>
        <v>46025873</v>
      </c>
      <c r="BF61" s="14">
        <f t="shared" si="48"/>
        <v>46025873</v>
      </c>
      <c r="BG61" s="14">
        <f t="shared" si="48"/>
        <v>46025873</v>
      </c>
      <c r="BH61" s="14">
        <f t="shared" si="48"/>
        <v>46025873</v>
      </c>
      <c r="BI61" s="14">
        <f t="shared" si="48"/>
        <v>46025873</v>
      </c>
      <c r="BJ61" s="14">
        <f t="shared" si="48"/>
        <v>46025873</v>
      </c>
      <c r="BK61" s="14">
        <f t="shared" si="48"/>
        <v>46025873</v>
      </c>
      <c r="BL61" s="14">
        <f t="shared" si="48"/>
        <v>46025873</v>
      </c>
      <c r="BM61" s="14">
        <f t="shared" si="48"/>
        <v>46025873</v>
      </c>
      <c r="BN61" s="14">
        <f t="shared" si="48"/>
        <v>46025873</v>
      </c>
      <c r="BO61" s="421">
        <f t="shared" si="48"/>
        <v>46025873</v>
      </c>
      <c r="BP61" s="14">
        <v>46032162</v>
      </c>
      <c r="BQ61" s="14">
        <f t="shared" ref="BQ61:EB63" si="49">BP61-BQ23</f>
        <v>46032162</v>
      </c>
      <c r="BR61" s="14">
        <f t="shared" si="49"/>
        <v>46032162</v>
      </c>
      <c r="BS61" s="14">
        <f t="shared" si="49"/>
        <v>46032162</v>
      </c>
      <c r="BT61" s="14">
        <f t="shared" si="49"/>
        <v>46032162</v>
      </c>
      <c r="BU61" s="14">
        <f t="shared" si="49"/>
        <v>46032162</v>
      </c>
      <c r="BV61" s="14">
        <f t="shared" si="49"/>
        <v>46032162</v>
      </c>
      <c r="BW61" s="14">
        <f t="shared" si="49"/>
        <v>46032162</v>
      </c>
      <c r="BX61" s="14">
        <f t="shared" si="49"/>
        <v>46032162</v>
      </c>
      <c r="BY61" s="230">
        <f t="shared" si="49"/>
        <v>46032162</v>
      </c>
      <c r="BZ61" s="14">
        <f t="shared" si="49"/>
        <v>46032162</v>
      </c>
      <c r="CA61" s="14">
        <f t="shared" si="49"/>
        <v>46032162</v>
      </c>
      <c r="CB61" s="14">
        <f t="shared" si="49"/>
        <v>46032162</v>
      </c>
      <c r="CC61" s="14">
        <f t="shared" si="49"/>
        <v>46032162</v>
      </c>
      <c r="CD61" s="14">
        <f t="shared" si="49"/>
        <v>46032162</v>
      </c>
      <c r="CE61" s="14">
        <f t="shared" si="49"/>
        <v>46032162</v>
      </c>
      <c r="CF61" s="14">
        <f t="shared" si="49"/>
        <v>46032162</v>
      </c>
      <c r="CG61" s="14">
        <f t="shared" si="49"/>
        <v>46032162</v>
      </c>
      <c r="CH61" s="14">
        <f t="shared" si="49"/>
        <v>46032162</v>
      </c>
      <c r="CI61" s="421">
        <f t="shared" si="49"/>
        <v>46032162</v>
      </c>
      <c r="CJ61" s="14">
        <v>46039728.020000003</v>
      </c>
      <c r="CK61" s="14">
        <f t="shared" si="49"/>
        <v>46039728.020000003</v>
      </c>
      <c r="CL61" s="14">
        <f t="shared" si="49"/>
        <v>36039728.020000003</v>
      </c>
      <c r="CM61" s="14">
        <f t="shared" si="49"/>
        <v>36039728.020000003</v>
      </c>
      <c r="CN61" s="14">
        <f t="shared" si="49"/>
        <v>36039728.020000003</v>
      </c>
      <c r="CO61" s="14">
        <f t="shared" si="49"/>
        <v>36039728.020000003</v>
      </c>
      <c r="CP61" s="14">
        <f t="shared" si="49"/>
        <v>36039728.020000003</v>
      </c>
      <c r="CQ61" s="14">
        <f t="shared" si="49"/>
        <v>36039728.020000003</v>
      </c>
      <c r="CR61" s="14">
        <f t="shared" si="49"/>
        <v>36039728.020000003</v>
      </c>
      <c r="CS61" s="14">
        <f t="shared" si="49"/>
        <v>36039728.020000003</v>
      </c>
      <c r="CT61" s="230">
        <f t="shared" si="49"/>
        <v>16039728.020000003</v>
      </c>
      <c r="CU61" s="14">
        <f t="shared" si="49"/>
        <v>16039728.020000003</v>
      </c>
      <c r="CV61" s="14">
        <f t="shared" si="49"/>
        <v>16039728.020000003</v>
      </c>
      <c r="CW61" s="14">
        <f t="shared" si="49"/>
        <v>16039728.020000003</v>
      </c>
      <c r="CX61" s="14">
        <f t="shared" si="49"/>
        <v>16039728.020000003</v>
      </c>
      <c r="CY61" s="14">
        <f t="shared" si="49"/>
        <v>16039728.020000003</v>
      </c>
      <c r="CZ61" s="14">
        <f t="shared" si="49"/>
        <v>16039728.020000003</v>
      </c>
      <c r="DA61" s="14">
        <f t="shared" si="49"/>
        <v>16039728.020000003</v>
      </c>
      <c r="DB61" s="14">
        <f t="shared" si="49"/>
        <v>16039728.020000003</v>
      </c>
      <c r="DC61" s="14">
        <f t="shared" si="49"/>
        <v>16039728.020000003</v>
      </c>
      <c r="DD61" s="14">
        <f t="shared" si="49"/>
        <v>16039728.020000003</v>
      </c>
      <c r="DE61" s="421">
        <f t="shared" si="49"/>
        <v>16039728.020000003</v>
      </c>
      <c r="DF61" s="14">
        <v>16044224.390000001</v>
      </c>
      <c r="DG61" s="14">
        <f t="shared" si="49"/>
        <v>16044224.390000001</v>
      </c>
      <c r="DH61" s="14">
        <f t="shared" si="49"/>
        <v>16044224.390000001</v>
      </c>
      <c r="DI61" s="14">
        <f t="shared" si="49"/>
        <v>16044224.390000001</v>
      </c>
      <c r="DJ61" s="14">
        <f t="shared" si="49"/>
        <v>16044224.390000001</v>
      </c>
      <c r="DK61" s="14">
        <f t="shared" si="49"/>
        <v>16044224.390000001</v>
      </c>
      <c r="DL61" s="14">
        <f t="shared" si="49"/>
        <v>16044224.390000001</v>
      </c>
      <c r="DM61" s="14">
        <f t="shared" si="49"/>
        <v>16044224.390000001</v>
      </c>
      <c r="DN61" s="14">
        <f t="shared" si="49"/>
        <v>44224.390000000596</v>
      </c>
      <c r="DO61" s="230">
        <f t="shared" si="49"/>
        <v>44224.390000000596</v>
      </c>
      <c r="DP61" s="14">
        <f t="shared" si="49"/>
        <v>44224.390000000596</v>
      </c>
      <c r="DQ61" s="14">
        <f t="shared" si="49"/>
        <v>44224.390000000596</v>
      </c>
      <c r="DR61" s="14">
        <f t="shared" si="49"/>
        <v>44224.390000000596</v>
      </c>
      <c r="DS61" s="14">
        <f t="shared" si="49"/>
        <v>44224.390000000596</v>
      </c>
      <c r="DT61" s="14">
        <f t="shared" si="49"/>
        <v>44224.390000000596</v>
      </c>
      <c r="DU61" s="14">
        <f t="shared" si="49"/>
        <v>44224.390000000596</v>
      </c>
      <c r="DV61" s="14">
        <f t="shared" si="49"/>
        <v>44224.390000000596</v>
      </c>
      <c r="DW61" s="14">
        <f t="shared" si="49"/>
        <v>44224.390000000596</v>
      </c>
      <c r="DX61" s="14">
        <f t="shared" si="49"/>
        <v>44224.390000000596</v>
      </c>
      <c r="DY61" s="14">
        <f t="shared" si="49"/>
        <v>44224.390000000596</v>
      </c>
      <c r="DZ61" s="421">
        <f t="shared" si="49"/>
        <v>44224.390000000596</v>
      </c>
      <c r="EA61" s="14">
        <v>45486.66</v>
      </c>
      <c r="EB61" s="14">
        <f t="shared" si="49"/>
        <v>45486.66</v>
      </c>
      <c r="EC61" s="14">
        <f t="shared" ref="EC61:GN63" si="50">EB61-EC23</f>
        <v>45486.66</v>
      </c>
      <c r="ED61" s="14">
        <f t="shared" si="50"/>
        <v>45486.66</v>
      </c>
      <c r="EE61" s="14">
        <f t="shared" si="50"/>
        <v>45486.66</v>
      </c>
      <c r="EF61" s="14">
        <f t="shared" si="50"/>
        <v>45486.66</v>
      </c>
      <c r="EG61" s="14">
        <f t="shared" si="50"/>
        <v>45486.66</v>
      </c>
      <c r="EH61" s="14">
        <f t="shared" si="50"/>
        <v>45486.66</v>
      </c>
      <c r="EI61" s="14">
        <f t="shared" si="50"/>
        <v>45486.66</v>
      </c>
      <c r="EJ61" s="230">
        <f t="shared" si="50"/>
        <v>45486.66</v>
      </c>
      <c r="EK61" s="14">
        <f t="shared" si="50"/>
        <v>45486.66</v>
      </c>
      <c r="EL61" s="14">
        <f t="shared" si="50"/>
        <v>45486.66</v>
      </c>
      <c r="EM61" s="14">
        <f t="shared" si="50"/>
        <v>45486.66</v>
      </c>
      <c r="EN61" s="14">
        <f t="shared" si="50"/>
        <v>45486.66</v>
      </c>
      <c r="EO61" s="14">
        <f t="shared" si="50"/>
        <v>45486.66</v>
      </c>
      <c r="EP61" s="14">
        <f t="shared" si="50"/>
        <v>45486.66</v>
      </c>
      <c r="EQ61" s="14">
        <f>EP61-EQ23+6.64</f>
        <v>5.8175686490358203E-13</v>
      </c>
      <c r="ER61" s="14">
        <f t="shared" si="50"/>
        <v>5.8175686490358203E-13</v>
      </c>
      <c r="ES61" s="14">
        <f t="shared" si="50"/>
        <v>5.8175686490358203E-13</v>
      </c>
      <c r="ET61" s="14">
        <f t="shared" si="50"/>
        <v>5.8175686490358203E-13</v>
      </c>
      <c r="EU61" s="14">
        <f t="shared" si="50"/>
        <v>5.8175686490358203E-13</v>
      </c>
      <c r="EV61" s="421">
        <f t="shared" si="50"/>
        <v>5.8175686490358203E-13</v>
      </c>
      <c r="EW61" s="14">
        <f t="shared" si="50"/>
        <v>5.8175686490358203E-13</v>
      </c>
      <c r="EX61" s="14">
        <f t="shared" si="50"/>
        <v>5.8175686490358203E-13</v>
      </c>
      <c r="EY61" s="14">
        <f t="shared" si="50"/>
        <v>5.8175686490358203E-13</v>
      </c>
      <c r="EZ61" s="14">
        <f t="shared" si="50"/>
        <v>5.8175686490358203E-13</v>
      </c>
      <c r="FA61" s="14">
        <f t="shared" si="50"/>
        <v>5.8175686490358203E-13</v>
      </c>
      <c r="FB61" s="14">
        <f t="shared" si="50"/>
        <v>5.8175686490358203E-13</v>
      </c>
      <c r="FC61" s="14">
        <f t="shared" si="50"/>
        <v>5.8175686490358203E-13</v>
      </c>
      <c r="FD61" s="14">
        <f t="shared" si="50"/>
        <v>5.8175686490358203E-13</v>
      </c>
      <c r="FE61" s="14">
        <f t="shared" si="50"/>
        <v>5.8175686490358203E-13</v>
      </c>
      <c r="FF61" s="230">
        <f t="shared" si="50"/>
        <v>5.8175686490358203E-13</v>
      </c>
      <c r="FG61" s="14">
        <f t="shared" si="50"/>
        <v>5.8175686490358203E-13</v>
      </c>
      <c r="FH61" s="14">
        <f t="shared" si="50"/>
        <v>5.8175686490358203E-13</v>
      </c>
      <c r="FI61" s="14">
        <f t="shared" si="50"/>
        <v>5.8175686490358203E-13</v>
      </c>
      <c r="FJ61" s="14">
        <f t="shared" si="50"/>
        <v>5.8175686490358203E-13</v>
      </c>
      <c r="FK61" s="14">
        <f t="shared" si="50"/>
        <v>5.8175686490358203E-13</v>
      </c>
      <c r="FL61" s="14">
        <f t="shared" si="50"/>
        <v>5.8175686490358203E-13</v>
      </c>
      <c r="FM61" s="14">
        <f t="shared" si="50"/>
        <v>5.8175686490358203E-13</v>
      </c>
      <c r="FN61" s="14">
        <f>FM61-FN23+5000000</f>
        <v>5000000</v>
      </c>
      <c r="FO61" s="14">
        <f>FN61-FO23+15000000</f>
        <v>20000000</v>
      </c>
      <c r="FP61" s="14">
        <f t="shared" si="50"/>
        <v>20000000</v>
      </c>
      <c r="FQ61" s="421">
        <f t="shared" si="50"/>
        <v>20000000</v>
      </c>
      <c r="FR61" s="14">
        <f t="shared" si="50"/>
        <v>20000000</v>
      </c>
      <c r="FS61" s="14">
        <f t="shared" si="50"/>
        <v>20000000</v>
      </c>
      <c r="FT61" s="14">
        <f t="shared" si="50"/>
        <v>20000000</v>
      </c>
      <c r="FU61" s="14">
        <f t="shared" si="50"/>
        <v>20000000</v>
      </c>
      <c r="FV61" s="14">
        <f t="shared" si="50"/>
        <v>20000000</v>
      </c>
      <c r="FW61" s="14">
        <f t="shared" si="50"/>
        <v>20000000</v>
      </c>
      <c r="FX61" s="14">
        <f t="shared" si="50"/>
        <v>20000000</v>
      </c>
      <c r="FY61" s="14">
        <f t="shared" si="50"/>
        <v>20000000</v>
      </c>
      <c r="FZ61" s="14">
        <f t="shared" si="50"/>
        <v>20000000</v>
      </c>
      <c r="GA61" s="230">
        <f t="shared" si="50"/>
        <v>20000000</v>
      </c>
      <c r="GB61" s="14">
        <f t="shared" si="50"/>
        <v>20000000</v>
      </c>
      <c r="GC61" s="14">
        <f t="shared" si="50"/>
        <v>20000000</v>
      </c>
      <c r="GD61" s="14">
        <f t="shared" si="50"/>
        <v>20000000</v>
      </c>
      <c r="GE61" s="14">
        <f t="shared" si="50"/>
        <v>20000000</v>
      </c>
      <c r="GF61" s="14">
        <f t="shared" si="50"/>
        <v>20000000</v>
      </c>
      <c r="GG61" s="14">
        <f t="shared" si="50"/>
        <v>20000000</v>
      </c>
      <c r="GH61" s="14">
        <f t="shared" si="50"/>
        <v>20000000</v>
      </c>
      <c r="GI61" s="14">
        <f t="shared" si="50"/>
        <v>20000000</v>
      </c>
      <c r="GJ61" s="14">
        <f t="shared" si="50"/>
        <v>20000000</v>
      </c>
      <c r="GK61" s="421">
        <f t="shared" si="50"/>
        <v>20000000</v>
      </c>
      <c r="GL61" s="14">
        <v>20003853.940000001</v>
      </c>
      <c r="GM61" s="14">
        <f t="shared" si="50"/>
        <v>20003853.940000001</v>
      </c>
      <c r="GN61" s="14">
        <f t="shared" si="50"/>
        <v>20003853.940000001</v>
      </c>
      <c r="GO61" s="14">
        <f t="shared" ref="GO61:IU63" si="51">GN61-GO23</f>
        <v>20003853.940000001</v>
      </c>
      <c r="GP61" s="14">
        <f t="shared" si="51"/>
        <v>20003853.940000001</v>
      </c>
      <c r="GQ61" s="14">
        <f t="shared" si="51"/>
        <v>20003853.940000001</v>
      </c>
      <c r="GR61" s="14">
        <f t="shared" si="51"/>
        <v>20003853.940000001</v>
      </c>
      <c r="GS61" s="14">
        <f t="shared" si="51"/>
        <v>20003853.940000001</v>
      </c>
      <c r="GT61" s="14">
        <f t="shared" si="51"/>
        <v>20003853.940000001</v>
      </c>
      <c r="GU61" s="230">
        <f t="shared" si="51"/>
        <v>20003853.940000001</v>
      </c>
      <c r="GV61" s="14">
        <f t="shared" si="51"/>
        <v>20003853.940000001</v>
      </c>
      <c r="GW61" s="14">
        <f t="shared" si="51"/>
        <v>20003853.940000001</v>
      </c>
      <c r="GX61" s="14">
        <f t="shared" si="51"/>
        <v>20003853.940000001</v>
      </c>
      <c r="GY61" s="14">
        <f t="shared" si="51"/>
        <v>20003853.940000001</v>
      </c>
      <c r="GZ61" s="14">
        <f t="shared" si="51"/>
        <v>20003853.940000001</v>
      </c>
      <c r="HA61" s="14">
        <f t="shared" si="51"/>
        <v>20003853.940000001</v>
      </c>
      <c r="HB61" s="14">
        <f t="shared" si="51"/>
        <v>20003853.940000001</v>
      </c>
      <c r="HC61" s="14">
        <f t="shared" si="51"/>
        <v>20003853.940000001</v>
      </c>
      <c r="HD61" s="14">
        <f t="shared" si="51"/>
        <v>20003853.940000001</v>
      </c>
      <c r="HE61" s="421">
        <f t="shared" si="51"/>
        <v>20003853.940000001</v>
      </c>
      <c r="HF61" s="14">
        <f t="shared" si="51"/>
        <v>20003853.940000001</v>
      </c>
      <c r="HG61" s="14">
        <f t="shared" si="51"/>
        <v>20003853.940000001</v>
      </c>
      <c r="HH61" s="14">
        <f t="shared" si="51"/>
        <v>20003853.940000001</v>
      </c>
      <c r="HI61" s="14">
        <v>20007005.859999999</v>
      </c>
      <c r="HJ61" s="14">
        <f t="shared" si="51"/>
        <v>20007005.859999999</v>
      </c>
      <c r="HK61" s="14">
        <f t="shared" si="51"/>
        <v>20007005.859999999</v>
      </c>
      <c r="HL61" s="14">
        <f t="shared" si="51"/>
        <v>20007005.859999999</v>
      </c>
      <c r="HM61" s="14">
        <f t="shared" si="51"/>
        <v>20007005.859999999</v>
      </c>
      <c r="HN61" s="14">
        <f t="shared" si="51"/>
        <v>20007005.859999999</v>
      </c>
      <c r="HO61" s="14">
        <f t="shared" si="51"/>
        <v>7005.859999999404</v>
      </c>
      <c r="HP61" s="230">
        <f t="shared" si="51"/>
        <v>7005.859999999404</v>
      </c>
      <c r="HQ61" s="14">
        <f t="shared" si="51"/>
        <v>7005.859999999404</v>
      </c>
      <c r="HR61" s="14">
        <f t="shared" si="51"/>
        <v>7005.859999999404</v>
      </c>
      <c r="HS61" s="14">
        <f t="shared" si="51"/>
        <v>7005.859999999404</v>
      </c>
      <c r="HT61" s="14">
        <f t="shared" si="51"/>
        <v>7005.859999999404</v>
      </c>
      <c r="HU61" s="14">
        <f t="shared" si="51"/>
        <v>7005.859999999404</v>
      </c>
      <c r="HV61" s="14">
        <f t="shared" si="51"/>
        <v>7005.859999999404</v>
      </c>
      <c r="HW61" s="14">
        <f t="shared" si="51"/>
        <v>7005.859999999404</v>
      </c>
      <c r="HX61" s="14">
        <f>HV61-HX23</f>
        <v>7005.859999999404</v>
      </c>
      <c r="HY61" s="14">
        <f t="shared" si="51"/>
        <v>7005.859999999404</v>
      </c>
      <c r="HZ61" s="14">
        <f t="shared" si="51"/>
        <v>7005.859999999404</v>
      </c>
      <c r="IA61" s="421">
        <f t="shared" si="51"/>
        <v>7005.859999999404</v>
      </c>
      <c r="IB61" s="14">
        <v>20009856.010000002</v>
      </c>
      <c r="IC61" s="14">
        <f t="shared" si="51"/>
        <v>20009856.010000002</v>
      </c>
      <c r="ID61" s="14">
        <f t="shared" si="51"/>
        <v>20009856.010000002</v>
      </c>
      <c r="IE61" s="14">
        <f t="shared" si="51"/>
        <v>20009856.010000002</v>
      </c>
      <c r="IF61" s="14">
        <f t="shared" si="51"/>
        <v>20009856.010000002</v>
      </c>
      <c r="IG61" s="14">
        <f t="shared" si="51"/>
        <v>20009856.010000002</v>
      </c>
      <c r="IH61" s="14">
        <f t="shared" si="51"/>
        <v>20009856.010000002</v>
      </c>
      <c r="II61" s="14">
        <f t="shared" si="51"/>
        <v>20009856.010000002</v>
      </c>
      <c r="IJ61" s="14">
        <f t="shared" si="51"/>
        <v>20009856.010000002</v>
      </c>
      <c r="IK61" s="14">
        <f t="shared" si="51"/>
        <v>20009856.010000002</v>
      </c>
      <c r="IL61" s="230">
        <f t="shared" si="51"/>
        <v>20009856.010000002</v>
      </c>
      <c r="IM61" s="14">
        <f t="shared" si="51"/>
        <v>20009856.010000002</v>
      </c>
      <c r="IN61" s="14">
        <f t="shared" si="51"/>
        <v>20009856.010000002</v>
      </c>
      <c r="IO61" s="14">
        <f>IN61-IO23+16300000</f>
        <v>36309856.010000005</v>
      </c>
      <c r="IP61" s="14">
        <f t="shared" si="51"/>
        <v>36309856.010000005</v>
      </c>
      <c r="IQ61" s="14">
        <f t="shared" si="51"/>
        <v>36309856.010000005</v>
      </c>
      <c r="IR61" s="14">
        <f t="shared" si="51"/>
        <v>36309856.010000005</v>
      </c>
      <c r="IS61" s="14">
        <f t="shared" si="51"/>
        <v>36309856.010000005</v>
      </c>
      <c r="IT61" s="14">
        <f t="shared" si="51"/>
        <v>36309856.010000005</v>
      </c>
      <c r="IU61" s="14">
        <f t="shared" si="51"/>
        <v>36309856.010000005</v>
      </c>
      <c r="IV61" s="14">
        <v>36313412</v>
      </c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H61" s="14" t="e">
        <f>#REF!-JH23</f>
        <v>#REF!</v>
      </c>
      <c r="JI61" s="14"/>
    </row>
    <row r="62" spans="1:269" ht="14.1" customHeight="1">
      <c r="A62" s="14" t="s">
        <v>215</v>
      </c>
      <c r="B62" s="14"/>
      <c r="C62" s="794">
        <v>77111192.849999994</v>
      </c>
      <c r="D62" s="14">
        <v>77116739</v>
      </c>
      <c r="E62" s="14">
        <f>D62-E24+25000000</f>
        <v>102116739</v>
      </c>
      <c r="F62" s="14">
        <f t="shared" si="48"/>
        <v>102116739</v>
      </c>
      <c r="G62" s="14">
        <f>F62-G24+25000000</f>
        <v>127116739</v>
      </c>
      <c r="H62" s="14">
        <f t="shared" si="48"/>
        <v>127116739</v>
      </c>
      <c r="I62" s="14">
        <f t="shared" si="48"/>
        <v>127116739</v>
      </c>
      <c r="J62" s="14">
        <f t="shared" si="48"/>
        <v>127116739</v>
      </c>
      <c r="K62" s="14">
        <f t="shared" si="48"/>
        <v>127116739</v>
      </c>
      <c r="L62" s="14">
        <f t="shared" si="48"/>
        <v>127116739</v>
      </c>
      <c r="M62" s="230">
        <f t="shared" si="48"/>
        <v>127116739</v>
      </c>
      <c r="N62" s="14">
        <f t="shared" si="48"/>
        <v>127116739</v>
      </c>
      <c r="O62" s="14">
        <f t="shared" si="48"/>
        <v>127116739</v>
      </c>
      <c r="P62" s="14">
        <f t="shared" si="48"/>
        <v>127116739</v>
      </c>
      <c r="Q62" s="14">
        <f t="shared" si="48"/>
        <v>127116739</v>
      </c>
      <c r="R62" s="14">
        <f t="shared" si="48"/>
        <v>127116739</v>
      </c>
      <c r="S62" s="14">
        <f t="shared" si="48"/>
        <v>127116739</v>
      </c>
      <c r="T62" s="14">
        <f t="shared" si="48"/>
        <v>127116739</v>
      </c>
      <c r="U62" s="14">
        <f t="shared" si="48"/>
        <v>127116739</v>
      </c>
      <c r="V62" s="39">
        <f t="shared" si="48"/>
        <v>127116739</v>
      </c>
      <c r="W62" s="14">
        <v>127138608</v>
      </c>
      <c r="X62" s="14">
        <f t="shared" si="48"/>
        <v>127138608</v>
      </c>
      <c r="Y62" s="14">
        <f t="shared" si="48"/>
        <v>127138608</v>
      </c>
      <c r="Z62" s="14">
        <f t="shared" si="48"/>
        <v>127138608</v>
      </c>
      <c r="AA62" s="14">
        <f t="shared" si="48"/>
        <v>127138608</v>
      </c>
      <c r="AB62" s="14">
        <f t="shared" si="48"/>
        <v>127138608</v>
      </c>
      <c r="AC62" s="14">
        <f t="shared" si="48"/>
        <v>127138608</v>
      </c>
      <c r="AD62" s="14">
        <f t="shared" si="48"/>
        <v>127138608</v>
      </c>
      <c r="AE62" s="14">
        <f t="shared" si="48"/>
        <v>127138608</v>
      </c>
      <c r="AF62" s="14">
        <f t="shared" si="48"/>
        <v>127138608</v>
      </c>
      <c r="AG62" s="230">
        <f t="shared" si="48"/>
        <v>127138608</v>
      </c>
      <c r="AH62" s="14">
        <f t="shared" si="48"/>
        <v>127138608</v>
      </c>
      <c r="AI62" s="14">
        <f t="shared" si="48"/>
        <v>127138608</v>
      </c>
      <c r="AJ62" s="14">
        <f t="shared" si="48"/>
        <v>127138608</v>
      </c>
      <c r="AK62" s="14">
        <f t="shared" si="48"/>
        <v>127138608</v>
      </c>
      <c r="AL62" s="14">
        <f t="shared" si="48"/>
        <v>127138608</v>
      </c>
      <c r="AM62" s="14">
        <f t="shared" si="48"/>
        <v>127138608</v>
      </c>
      <c r="AN62" s="14">
        <f t="shared" si="48"/>
        <v>127138608</v>
      </c>
      <c r="AO62" s="582">
        <f t="shared" si="48"/>
        <v>127138608</v>
      </c>
      <c r="AP62" s="14">
        <f t="shared" si="48"/>
        <v>127138608</v>
      </c>
      <c r="AQ62" s="14">
        <f t="shared" si="48"/>
        <v>127138608</v>
      </c>
      <c r="AR62" s="14">
        <f t="shared" si="48"/>
        <v>127138608</v>
      </c>
      <c r="AS62" s="421">
        <v>127163659.87</v>
      </c>
      <c r="AT62" s="14">
        <f t="shared" si="48"/>
        <v>127163659.87</v>
      </c>
      <c r="AU62" s="14">
        <f t="shared" si="48"/>
        <v>127163659.87</v>
      </c>
      <c r="AV62" s="14">
        <f t="shared" si="48"/>
        <v>127163659.87</v>
      </c>
      <c r="AW62" s="14">
        <f t="shared" si="48"/>
        <v>127163659.87</v>
      </c>
      <c r="AX62" s="14">
        <f t="shared" si="48"/>
        <v>127163659.87</v>
      </c>
      <c r="AY62" s="14">
        <f t="shared" si="48"/>
        <v>127163659.87</v>
      </c>
      <c r="AZ62" s="14">
        <f t="shared" si="48"/>
        <v>127163659.87</v>
      </c>
      <c r="BA62" s="14">
        <f t="shared" si="48"/>
        <v>127163659.87</v>
      </c>
      <c r="BB62" s="14">
        <f t="shared" si="48"/>
        <v>127163659.87</v>
      </c>
      <c r="BC62" s="14">
        <f t="shared" si="48"/>
        <v>127163659.87</v>
      </c>
      <c r="BD62" s="230">
        <f t="shared" si="48"/>
        <v>127163659.87</v>
      </c>
      <c r="BE62" s="14">
        <f t="shared" si="48"/>
        <v>127163659.87</v>
      </c>
      <c r="BF62" s="14">
        <f t="shared" si="48"/>
        <v>127163659.87</v>
      </c>
      <c r="BG62" s="14">
        <f t="shared" si="48"/>
        <v>127163659.87</v>
      </c>
      <c r="BH62" s="14">
        <f t="shared" si="48"/>
        <v>127163659.87</v>
      </c>
      <c r="BI62" s="14">
        <f t="shared" si="48"/>
        <v>127163659.87</v>
      </c>
      <c r="BJ62" s="14">
        <f t="shared" si="48"/>
        <v>127163659.87</v>
      </c>
      <c r="BK62" s="14">
        <f t="shared" si="48"/>
        <v>127163659.87</v>
      </c>
      <c r="BL62" s="14">
        <f t="shared" si="48"/>
        <v>127163659.87</v>
      </c>
      <c r="BM62" s="14">
        <f t="shared" si="48"/>
        <v>127163659.87</v>
      </c>
      <c r="BN62" s="14">
        <f t="shared" si="48"/>
        <v>127163659.87</v>
      </c>
      <c r="BO62" s="421">
        <f t="shared" si="48"/>
        <v>127163659.87</v>
      </c>
      <c r="BP62" s="14">
        <v>127187380</v>
      </c>
      <c r="BQ62" s="14">
        <f t="shared" si="49"/>
        <v>127187380</v>
      </c>
      <c r="BR62" s="14">
        <f t="shared" si="49"/>
        <v>127187380</v>
      </c>
      <c r="BS62" s="14">
        <f t="shared" si="49"/>
        <v>127187380</v>
      </c>
      <c r="BT62" s="14">
        <f t="shared" si="49"/>
        <v>127187380</v>
      </c>
      <c r="BU62" s="14">
        <f t="shared" si="49"/>
        <v>127187380</v>
      </c>
      <c r="BV62" s="14">
        <f t="shared" si="49"/>
        <v>127187380</v>
      </c>
      <c r="BW62" s="14">
        <f t="shared" si="49"/>
        <v>127187380</v>
      </c>
      <c r="BX62" s="14">
        <f t="shared" si="49"/>
        <v>127187380</v>
      </c>
      <c r="BY62" s="230">
        <f t="shared" si="49"/>
        <v>82187380</v>
      </c>
      <c r="BZ62" s="14">
        <f t="shared" si="49"/>
        <v>82187380</v>
      </c>
      <c r="CA62" s="14">
        <f t="shared" si="49"/>
        <v>82187380</v>
      </c>
      <c r="CB62" s="14">
        <f t="shared" si="49"/>
        <v>82187380</v>
      </c>
      <c r="CC62" s="14">
        <f t="shared" si="49"/>
        <v>82187380</v>
      </c>
      <c r="CD62" s="14">
        <f t="shared" si="49"/>
        <v>82187380</v>
      </c>
      <c r="CE62" s="14">
        <f t="shared" si="49"/>
        <v>82187380</v>
      </c>
      <c r="CF62" s="14">
        <f t="shared" si="49"/>
        <v>82187380</v>
      </c>
      <c r="CG62" s="14">
        <f t="shared" si="49"/>
        <v>82187380</v>
      </c>
      <c r="CH62" s="14">
        <f t="shared" si="49"/>
        <v>82187380</v>
      </c>
      <c r="CI62" s="421">
        <f t="shared" si="49"/>
        <v>82187380</v>
      </c>
      <c r="CJ62" s="14">
        <v>82205778.099999994</v>
      </c>
      <c r="CK62" s="14">
        <f t="shared" si="49"/>
        <v>82205778.099999994</v>
      </c>
      <c r="CL62" s="14">
        <f t="shared" si="49"/>
        <v>62205778.099999994</v>
      </c>
      <c r="CM62" s="14">
        <f t="shared" si="49"/>
        <v>62205778.099999994</v>
      </c>
      <c r="CN62" s="14">
        <f t="shared" si="49"/>
        <v>62205778.099999994</v>
      </c>
      <c r="CO62" s="14">
        <f t="shared" si="49"/>
        <v>62205778.099999994</v>
      </c>
      <c r="CP62" s="14">
        <f t="shared" si="49"/>
        <v>62205778.099999994</v>
      </c>
      <c r="CQ62" s="14">
        <f t="shared" si="49"/>
        <v>62205778.099999994</v>
      </c>
      <c r="CR62" s="14">
        <f t="shared" si="49"/>
        <v>62205778.099999994</v>
      </c>
      <c r="CS62" s="14">
        <f t="shared" si="49"/>
        <v>62205778.099999994</v>
      </c>
      <c r="CT62" s="230">
        <f t="shared" si="49"/>
        <v>32205778.099999994</v>
      </c>
      <c r="CU62" s="14">
        <f t="shared" si="49"/>
        <v>32205778.099999994</v>
      </c>
      <c r="CV62" s="14">
        <f t="shared" si="49"/>
        <v>32205778.099999994</v>
      </c>
      <c r="CW62" s="14">
        <f t="shared" si="49"/>
        <v>32205778.099999994</v>
      </c>
      <c r="CX62" s="14">
        <f t="shared" si="49"/>
        <v>32205778.099999994</v>
      </c>
      <c r="CY62" s="14">
        <f t="shared" si="49"/>
        <v>32205778.099999994</v>
      </c>
      <c r="CZ62" s="14">
        <f t="shared" si="49"/>
        <v>32205778.099999994</v>
      </c>
      <c r="DA62" s="14">
        <f t="shared" si="49"/>
        <v>32205778.099999994</v>
      </c>
      <c r="DB62" s="14">
        <f t="shared" si="49"/>
        <v>32205778.099999994</v>
      </c>
      <c r="DC62" s="14">
        <f t="shared" si="49"/>
        <v>32205778.099999994</v>
      </c>
      <c r="DD62" s="14">
        <f t="shared" si="49"/>
        <v>32205778.099999994</v>
      </c>
      <c r="DE62" s="421">
        <f t="shared" si="49"/>
        <v>32205778.099999994</v>
      </c>
      <c r="DF62" s="14">
        <v>32218657.260000002</v>
      </c>
      <c r="DG62" s="14">
        <f t="shared" si="49"/>
        <v>32218657.260000002</v>
      </c>
      <c r="DH62" s="14">
        <f t="shared" si="49"/>
        <v>32218657.260000002</v>
      </c>
      <c r="DI62" s="14">
        <f t="shared" si="49"/>
        <v>32218657.260000002</v>
      </c>
      <c r="DJ62" s="14">
        <f t="shared" si="49"/>
        <v>32218657.260000002</v>
      </c>
      <c r="DK62" s="14">
        <f t="shared" si="49"/>
        <v>32218657.260000002</v>
      </c>
      <c r="DL62" s="14">
        <f t="shared" si="49"/>
        <v>32218657.260000002</v>
      </c>
      <c r="DM62" s="14">
        <f t="shared" si="49"/>
        <v>32218657.260000002</v>
      </c>
      <c r="DN62" s="14">
        <f t="shared" si="49"/>
        <v>9218657.2600000016</v>
      </c>
      <c r="DO62" s="230">
        <f t="shared" si="49"/>
        <v>9218657.2600000016</v>
      </c>
      <c r="DP62" s="14">
        <f t="shared" si="49"/>
        <v>9218657.2600000016</v>
      </c>
      <c r="DQ62" s="14">
        <f t="shared" si="49"/>
        <v>9218657.2600000016</v>
      </c>
      <c r="DR62" s="14">
        <f t="shared" si="49"/>
        <v>9218657.2600000016</v>
      </c>
      <c r="DS62" s="14">
        <f t="shared" si="49"/>
        <v>9218657.2600000016</v>
      </c>
      <c r="DT62" s="14">
        <f t="shared" si="49"/>
        <v>9218657.2600000016</v>
      </c>
      <c r="DU62" s="14">
        <f t="shared" si="49"/>
        <v>9218657.2600000016</v>
      </c>
      <c r="DV62" s="14">
        <f t="shared" si="49"/>
        <v>9218657.2600000016</v>
      </c>
      <c r="DW62" s="14">
        <f t="shared" si="49"/>
        <v>9218657.2600000016</v>
      </c>
      <c r="DX62" s="14">
        <f t="shared" si="49"/>
        <v>9218657.2600000016</v>
      </c>
      <c r="DY62" s="14">
        <f t="shared" si="49"/>
        <v>9218657.2600000016</v>
      </c>
      <c r="DZ62" s="421">
        <f t="shared" si="49"/>
        <v>9218657.2600000016</v>
      </c>
      <c r="EA62" s="14">
        <v>9220562.6799999997</v>
      </c>
      <c r="EB62" s="14">
        <f t="shared" si="49"/>
        <v>9220562.6799999997</v>
      </c>
      <c r="EC62" s="14">
        <f t="shared" si="50"/>
        <v>9220562.6799999997</v>
      </c>
      <c r="ED62" s="14">
        <f t="shared" si="50"/>
        <v>9220562.6799999997</v>
      </c>
      <c r="EE62" s="14">
        <f t="shared" si="50"/>
        <v>9220562.6799999997</v>
      </c>
      <c r="EF62" s="14">
        <f t="shared" si="50"/>
        <v>9220562.6799999997</v>
      </c>
      <c r="EG62" s="14">
        <f t="shared" si="50"/>
        <v>9220562.6799999997</v>
      </c>
      <c r="EH62" s="14">
        <f t="shared" si="50"/>
        <v>9220562.6799999997</v>
      </c>
      <c r="EI62" s="14">
        <f t="shared" si="50"/>
        <v>9220562.6799999997</v>
      </c>
      <c r="EJ62" s="230">
        <f t="shared" si="50"/>
        <v>20562.679999999702</v>
      </c>
      <c r="EK62" s="14">
        <f t="shared" si="50"/>
        <v>20562.679999999702</v>
      </c>
      <c r="EL62" s="14">
        <f t="shared" si="50"/>
        <v>20562.679999999702</v>
      </c>
      <c r="EM62" s="14">
        <f t="shared" si="50"/>
        <v>20562.679999999702</v>
      </c>
      <c r="EN62" s="14">
        <f t="shared" si="50"/>
        <v>20562.679999999702</v>
      </c>
      <c r="EO62" s="14">
        <f t="shared" si="50"/>
        <v>20562.679999999702</v>
      </c>
      <c r="EP62" s="14">
        <v>21384.65</v>
      </c>
      <c r="EQ62" s="14">
        <f t="shared" si="50"/>
        <v>0</v>
      </c>
      <c r="ER62" s="14">
        <f t="shared" si="50"/>
        <v>0</v>
      </c>
      <c r="ES62" s="14">
        <f t="shared" si="50"/>
        <v>0</v>
      </c>
      <c r="ET62" s="14">
        <f t="shared" si="50"/>
        <v>0</v>
      </c>
      <c r="EU62" s="14">
        <v>36130</v>
      </c>
      <c r="EV62" s="421">
        <f t="shared" si="50"/>
        <v>36130</v>
      </c>
      <c r="EW62" s="14">
        <f t="shared" si="50"/>
        <v>36130</v>
      </c>
      <c r="EX62" s="14">
        <f t="shared" si="50"/>
        <v>36130</v>
      </c>
      <c r="EY62" s="14">
        <f t="shared" si="50"/>
        <v>36130</v>
      </c>
      <c r="EZ62" s="14">
        <f t="shared" si="50"/>
        <v>36130</v>
      </c>
      <c r="FA62" s="14">
        <f t="shared" si="50"/>
        <v>36130</v>
      </c>
      <c r="FB62" s="14">
        <f t="shared" si="50"/>
        <v>36130</v>
      </c>
      <c r="FC62" s="14">
        <f t="shared" si="50"/>
        <v>36130</v>
      </c>
      <c r="FD62" s="14">
        <f t="shared" si="50"/>
        <v>36130</v>
      </c>
      <c r="FE62" s="14">
        <f t="shared" si="50"/>
        <v>36130</v>
      </c>
      <c r="FF62" s="230">
        <f t="shared" si="50"/>
        <v>36130</v>
      </c>
      <c r="FG62" s="14">
        <f t="shared" si="50"/>
        <v>36130</v>
      </c>
      <c r="FH62" s="14">
        <f t="shared" si="50"/>
        <v>36130</v>
      </c>
      <c r="FI62" s="14">
        <f t="shared" si="50"/>
        <v>36130</v>
      </c>
      <c r="FJ62" s="14">
        <f t="shared" si="50"/>
        <v>36130</v>
      </c>
      <c r="FK62" s="14">
        <f t="shared" si="50"/>
        <v>36130</v>
      </c>
      <c r="FL62" s="14">
        <f t="shared" si="50"/>
        <v>36130</v>
      </c>
      <c r="FM62" s="14">
        <f t="shared" si="50"/>
        <v>36130</v>
      </c>
      <c r="FN62" s="14">
        <f>FM62-FN24+7000000</f>
        <v>7036130</v>
      </c>
      <c r="FO62" s="14">
        <f>FN62-FO24+10000000</f>
        <v>17036130</v>
      </c>
      <c r="FP62" s="14">
        <f t="shared" si="50"/>
        <v>17036130</v>
      </c>
      <c r="FQ62" s="421">
        <f t="shared" si="50"/>
        <v>17036130</v>
      </c>
      <c r="FR62" s="14">
        <f t="shared" si="50"/>
        <v>17036130</v>
      </c>
      <c r="FS62" s="14">
        <f t="shared" si="50"/>
        <v>17036130</v>
      </c>
      <c r="FT62" s="14">
        <f t="shared" si="50"/>
        <v>17036130</v>
      </c>
      <c r="FU62" s="14">
        <f t="shared" si="50"/>
        <v>17036130</v>
      </c>
      <c r="FV62" s="14">
        <f t="shared" si="50"/>
        <v>17036130</v>
      </c>
      <c r="FW62" s="14">
        <f t="shared" si="50"/>
        <v>17036130</v>
      </c>
      <c r="FX62" s="14">
        <f t="shared" si="50"/>
        <v>17036130</v>
      </c>
      <c r="FY62" s="14">
        <f t="shared" si="50"/>
        <v>17036130</v>
      </c>
      <c r="FZ62" s="14">
        <f t="shared" si="50"/>
        <v>17036130</v>
      </c>
      <c r="GA62" s="230">
        <f t="shared" si="50"/>
        <v>17036130</v>
      </c>
      <c r="GB62" s="14">
        <f t="shared" si="50"/>
        <v>17036130</v>
      </c>
      <c r="GC62" s="14">
        <f t="shared" si="50"/>
        <v>17036130</v>
      </c>
      <c r="GD62" s="14">
        <f t="shared" si="50"/>
        <v>17036130</v>
      </c>
      <c r="GE62" s="14">
        <f t="shared" si="50"/>
        <v>17036130</v>
      </c>
      <c r="GF62" s="14">
        <f t="shared" si="50"/>
        <v>17036130</v>
      </c>
      <c r="GG62" s="14">
        <f t="shared" si="50"/>
        <v>17036130</v>
      </c>
      <c r="GH62" s="14">
        <f t="shared" si="50"/>
        <v>17036130</v>
      </c>
      <c r="GI62" s="14">
        <f t="shared" si="50"/>
        <v>17036130</v>
      </c>
      <c r="GJ62" s="14">
        <f t="shared" si="50"/>
        <v>17036130</v>
      </c>
      <c r="GK62" s="421">
        <f t="shared" si="50"/>
        <v>17036130</v>
      </c>
      <c r="GL62" s="14">
        <v>17374235.32</v>
      </c>
      <c r="GM62" s="14">
        <f t="shared" si="50"/>
        <v>17374235.32</v>
      </c>
      <c r="GN62" s="14">
        <f t="shared" si="50"/>
        <v>17374235.32</v>
      </c>
      <c r="GO62" s="14">
        <f t="shared" si="51"/>
        <v>17374235.32</v>
      </c>
      <c r="GP62" s="14">
        <f t="shared" si="51"/>
        <v>17374235.32</v>
      </c>
      <c r="GQ62" s="14">
        <v>21837569.82</v>
      </c>
      <c r="GR62" s="14">
        <f t="shared" si="51"/>
        <v>21837569.82</v>
      </c>
      <c r="GS62" s="14">
        <f t="shared" si="51"/>
        <v>21837569.82</v>
      </c>
      <c r="GT62" s="14">
        <f t="shared" si="51"/>
        <v>21837569.82</v>
      </c>
      <c r="GU62" s="230">
        <f t="shared" si="51"/>
        <v>21837569.82</v>
      </c>
      <c r="GV62" s="14">
        <f t="shared" si="51"/>
        <v>21837569.82</v>
      </c>
      <c r="GW62" s="14">
        <f t="shared" si="51"/>
        <v>21837569.82</v>
      </c>
      <c r="GX62" s="14">
        <f t="shared" si="51"/>
        <v>21837569.82</v>
      </c>
      <c r="GY62" s="14">
        <f t="shared" si="51"/>
        <v>21837569.82</v>
      </c>
      <c r="GZ62" s="14">
        <f t="shared" si="51"/>
        <v>21837569.82</v>
      </c>
      <c r="HA62" s="14">
        <f t="shared" si="51"/>
        <v>21837569.82</v>
      </c>
      <c r="HB62" s="14">
        <f t="shared" si="51"/>
        <v>21837569.82</v>
      </c>
      <c r="HC62" s="14">
        <f t="shared" si="51"/>
        <v>21837569.82</v>
      </c>
      <c r="HD62" s="14">
        <f t="shared" si="51"/>
        <v>21837569.82</v>
      </c>
      <c r="HE62" s="421">
        <f t="shared" si="51"/>
        <v>21837569.82</v>
      </c>
      <c r="HF62" s="14">
        <f t="shared" si="51"/>
        <v>21837569.82</v>
      </c>
      <c r="HG62" s="14">
        <f t="shared" si="51"/>
        <v>21837569.82</v>
      </c>
      <c r="HH62" s="14">
        <f t="shared" si="51"/>
        <v>21837569.82</v>
      </c>
      <c r="HI62" s="14">
        <v>22218908.899999999</v>
      </c>
      <c r="HJ62" s="14">
        <f t="shared" si="51"/>
        <v>22218908.899999999</v>
      </c>
      <c r="HK62" s="14">
        <f t="shared" si="51"/>
        <v>22218908.899999999</v>
      </c>
      <c r="HL62" s="14">
        <f t="shared" si="51"/>
        <v>22218908.899999999</v>
      </c>
      <c r="HM62" s="14">
        <f t="shared" si="51"/>
        <v>22218908.899999999</v>
      </c>
      <c r="HN62" s="14">
        <f t="shared" si="51"/>
        <v>22218908.899999999</v>
      </c>
      <c r="HO62" s="14">
        <f t="shared" si="51"/>
        <v>218908.89999999851</v>
      </c>
      <c r="HP62" s="230">
        <f t="shared" si="51"/>
        <v>218908.89999999851</v>
      </c>
      <c r="HQ62" s="14">
        <f t="shared" si="51"/>
        <v>218908.89999999851</v>
      </c>
      <c r="HR62" s="14">
        <f t="shared" si="51"/>
        <v>218908.89999999851</v>
      </c>
      <c r="HS62" s="14">
        <f t="shared" si="51"/>
        <v>218908.89999999851</v>
      </c>
      <c r="HT62" s="14">
        <f t="shared" si="51"/>
        <v>218908.89999999851</v>
      </c>
      <c r="HU62" s="14">
        <f t="shared" si="51"/>
        <v>218908.89999999851</v>
      </c>
      <c r="HV62" s="14">
        <f t="shared" si="51"/>
        <v>218908.89999999851</v>
      </c>
      <c r="HW62" s="14">
        <f t="shared" si="51"/>
        <v>218908.89999999851</v>
      </c>
      <c r="HX62" s="14">
        <f>HV62-HX24</f>
        <v>218908.89999999851</v>
      </c>
      <c r="HY62" s="14">
        <f t="shared" si="51"/>
        <v>218908.89999999851</v>
      </c>
      <c r="HZ62" s="14">
        <f t="shared" si="51"/>
        <v>218908.89999999851</v>
      </c>
      <c r="IA62" s="421">
        <f t="shared" si="51"/>
        <v>218908.89999999851</v>
      </c>
      <c r="IB62" s="14">
        <v>220046.5</v>
      </c>
      <c r="IC62" s="14">
        <f t="shared" si="51"/>
        <v>220046.5</v>
      </c>
      <c r="ID62" s="14">
        <f t="shared" si="51"/>
        <v>220046.5</v>
      </c>
      <c r="IE62" s="14">
        <f t="shared" si="51"/>
        <v>220046.5</v>
      </c>
      <c r="IF62" s="14">
        <f t="shared" si="51"/>
        <v>220046.5</v>
      </c>
      <c r="IG62" s="14">
        <f t="shared" si="51"/>
        <v>220046.5</v>
      </c>
      <c r="IH62" s="14">
        <f t="shared" si="51"/>
        <v>220046.5</v>
      </c>
      <c r="II62" s="14">
        <f t="shared" si="51"/>
        <v>220046.5</v>
      </c>
      <c r="IJ62" s="14">
        <f t="shared" si="51"/>
        <v>220046.5</v>
      </c>
      <c r="IK62" s="14">
        <f t="shared" si="51"/>
        <v>220046.5</v>
      </c>
      <c r="IL62" s="230">
        <f t="shared" si="51"/>
        <v>220046.5</v>
      </c>
      <c r="IM62" s="14">
        <v>4634287.22</v>
      </c>
      <c r="IN62" s="14">
        <f t="shared" si="51"/>
        <v>4634287.22</v>
      </c>
      <c r="IO62" s="14">
        <f t="shared" si="51"/>
        <v>4634287.22</v>
      </c>
      <c r="IP62" s="14">
        <f t="shared" si="51"/>
        <v>4634287.22</v>
      </c>
      <c r="IQ62" s="14">
        <f t="shared" si="51"/>
        <v>4634287.22</v>
      </c>
      <c r="IR62" s="14">
        <f t="shared" si="51"/>
        <v>4634287.22</v>
      </c>
      <c r="IS62" s="14">
        <f t="shared" si="51"/>
        <v>4634287.22</v>
      </c>
      <c r="IT62" s="14">
        <f t="shared" si="51"/>
        <v>4634287.22</v>
      </c>
      <c r="IU62" s="14">
        <f>IT62-IU24+100000000</f>
        <v>104634287.22</v>
      </c>
      <c r="IV62" s="14">
        <v>108872981</v>
      </c>
      <c r="IX62" s="14"/>
      <c r="IY62" s="14"/>
      <c r="IZ62" s="14"/>
      <c r="JA62" s="14"/>
      <c r="JB62" s="14"/>
      <c r="JC62" s="14"/>
      <c r="JD62" s="14"/>
      <c r="JE62" s="14"/>
      <c r="JF62" s="14"/>
      <c r="JH62" s="14" t="e">
        <f>#REF!-JH24</f>
        <v>#REF!</v>
      </c>
      <c r="JI62" s="14"/>
    </row>
    <row r="63" spans="1:269" ht="14.1" customHeight="1">
      <c r="A63" s="14" t="s">
        <v>19</v>
      </c>
      <c r="B63" s="14"/>
      <c r="C63" s="794">
        <v>20011648.100000001</v>
      </c>
      <c r="D63" s="14">
        <v>20013178</v>
      </c>
      <c r="E63" s="14">
        <f>D63-E25+20000000</f>
        <v>40013178</v>
      </c>
      <c r="F63" s="14">
        <f t="shared" si="48"/>
        <v>40013178</v>
      </c>
      <c r="G63" s="14">
        <f>F63-G25+20000000</f>
        <v>60013178</v>
      </c>
      <c r="H63" s="14">
        <f t="shared" si="48"/>
        <v>60013178</v>
      </c>
      <c r="I63" s="14">
        <f t="shared" si="48"/>
        <v>60013178</v>
      </c>
      <c r="J63" s="14">
        <f t="shared" si="48"/>
        <v>60013178</v>
      </c>
      <c r="K63" s="14">
        <f t="shared" si="48"/>
        <v>60013178</v>
      </c>
      <c r="L63" s="14">
        <f t="shared" si="48"/>
        <v>60013178</v>
      </c>
      <c r="M63" s="230">
        <f t="shared" si="48"/>
        <v>60013178</v>
      </c>
      <c r="N63" s="14">
        <f t="shared" si="48"/>
        <v>60013178</v>
      </c>
      <c r="O63" s="14">
        <f t="shared" si="48"/>
        <v>60013178</v>
      </c>
      <c r="P63" s="14">
        <f t="shared" si="48"/>
        <v>60013178</v>
      </c>
      <c r="Q63" s="14">
        <f t="shared" si="48"/>
        <v>60013178</v>
      </c>
      <c r="R63" s="14">
        <f t="shared" si="48"/>
        <v>60013178</v>
      </c>
      <c r="S63" s="14">
        <f t="shared" si="48"/>
        <v>60013178</v>
      </c>
      <c r="T63" s="14">
        <f t="shared" si="48"/>
        <v>60013178</v>
      </c>
      <c r="U63" s="14">
        <f t="shared" si="48"/>
        <v>60013178</v>
      </c>
      <c r="V63" s="39">
        <f t="shared" si="48"/>
        <v>60013178</v>
      </c>
      <c r="W63" s="14">
        <v>60020624</v>
      </c>
      <c r="X63" s="14">
        <f t="shared" si="48"/>
        <v>60020624</v>
      </c>
      <c r="Y63" s="14">
        <f t="shared" si="48"/>
        <v>60020624</v>
      </c>
      <c r="Z63" s="14">
        <f t="shared" si="48"/>
        <v>60020624</v>
      </c>
      <c r="AA63" s="14">
        <f t="shared" si="48"/>
        <v>60020624</v>
      </c>
      <c r="AB63" s="14">
        <f t="shared" si="48"/>
        <v>60020624</v>
      </c>
      <c r="AC63" s="14">
        <f t="shared" si="48"/>
        <v>60020624</v>
      </c>
      <c r="AD63" s="14">
        <f t="shared" si="48"/>
        <v>60020624</v>
      </c>
      <c r="AE63" s="14">
        <f t="shared" si="48"/>
        <v>60020624</v>
      </c>
      <c r="AF63" s="14">
        <f t="shared" si="48"/>
        <v>60020624</v>
      </c>
      <c r="AG63" s="230">
        <f t="shared" si="48"/>
        <v>60020624</v>
      </c>
      <c r="AH63" s="14">
        <f t="shared" si="48"/>
        <v>60020624</v>
      </c>
      <c r="AI63" s="14">
        <f t="shared" si="48"/>
        <v>60020624</v>
      </c>
      <c r="AJ63" s="14">
        <f t="shared" si="48"/>
        <v>60020624</v>
      </c>
      <c r="AK63" s="14">
        <f t="shared" si="48"/>
        <v>60020624</v>
      </c>
      <c r="AL63" s="14">
        <f t="shared" si="48"/>
        <v>60020624</v>
      </c>
      <c r="AM63" s="14">
        <f t="shared" si="48"/>
        <v>60020624</v>
      </c>
      <c r="AN63" s="14">
        <f t="shared" si="48"/>
        <v>60020624</v>
      </c>
      <c r="AO63" s="582">
        <f t="shared" si="48"/>
        <v>60020624</v>
      </c>
      <c r="AP63" s="14">
        <f t="shared" si="48"/>
        <v>60020624</v>
      </c>
      <c r="AQ63" s="14">
        <f t="shared" si="48"/>
        <v>60020624</v>
      </c>
      <c r="AR63" s="14">
        <f t="shared" si="48"/>
        <v>60020624</v>
      </c>
      <c r="AS63" s="421">
        <v>60029391</v>
      </c>
      <c r="AT63" s="14">
        <f t="shared" si="48"/>
        <v>60029391</v>
      </c>
      <c r="AU63" s="14">
        <f t="shared" si="48"/>
        <v>60029391</v>
      </c>
      <c r="AV63" s="14">
        <f t="shared" si="48"/>
        <v>60029391</v>
      </c>
      <c r="AW63" s="14">
        <f t="shared" si="48"/>
        <v>60029391</v>
      </c>
      <c r="AX63" s="14">
        <f t="shared" si="48"/>
        <v>60029391</v>
      </c>
      <c r="AY63" s="14">
        <f t="shared" si="48"/>
        <v>60029391</v>
      </c>
      <c r="AZ63" s="14">
        <f t="shared" si="48"/>
        <v>60029391</v>
      </c>
      <c r="BA63" s="14">
        <f t="shared" si="48"/>
        <v>60029391</v>
      </c>
      <c r="BB63" s="14">
        <f t="shared" si="48"/>
        <v>60029391</v>
      </c>
      <c r="BC63" s="14">
        <f t="shared" si="48"/>
        <v>60029391</v>
      </c>
      <c r="BD63" s="230">
        <f t="shared" si="48"/>
        <v>29391</v>
      </c>
      <c r="BE63" s="14">
        <f t="shared" si="48"/>
        <v>29391</v>
      </c>
      <c r="BF63" s="14">
        <f t="shared" si="48"/>
        <v>29391</v>
      </c>
      <c r="BG63" s="14">
        <f t="shared" si="48"/>
        <v>29391</v>
      </c>
      <c r="BH63" s="14">
        <f t="shared" si="48"/>
        <v>29391</v>
      </c>
      <c r="BI63" s="14">
        <f t="shared" si="48"/>
        <v>29391</v>
      </c>
      <c r="BJ63" s="14">
        <f t="shared" si="48"/>
        <v>29391</v>
      </c>
      <c r="BK63" s="14">
        <f t="shared" si="48"/>
        <v>29391</v>
      </c>
      <c r="BL63" s="14">
        <f t="shared" si="48"/>
        <v>29391</v>
      </c>
      <c r="BM63" s="14">
        <f t="shared" si="48"/>
        <v>29391</v>
      </c>
      <c r="BN63" s="14">
        <f t="shared" si="48"/>
        <v>29391</v>
      </c>
      <c r="BO63" s="421">
        <f t="shared" si="48"/>
        <v>29391</v>
      </c>
      <c r="BP63" s="14">
        <v>33626</v>
      </c>
      <c r="BQ63" s="14">
        <f t="shared" si="49"/>
        <v>33626</v>
      </c>
      <c r="BR63" s="14">
        <f t="shared" si="49"/>
        <v>33626</v>
      </c>
      <c r="BS63" s="14">
        <f t="shared" si="49"/>
        <v>33626</v>
      </c>
      <c r="BT63" s="14">
        <f t="shared" si="49"/>
        <v>33626</v>
      </c>
      <c r="BU63" s="14">
        <f t="shared" si="49"/>
        <v>33626</v>
      </c>
      <c r="BV63" s="14">
        <f t="shared" si="49"/>
        <v>33626</v>
      </c>
      <c r="BW63" s="14">
        <f t="shared" si="49"/>
        <v>33626</v>
      </c>
      <c r="BX63" s="14">
        <f t="shared" si="49"/>
        <v>33626</v>
      </c>
      <c r="BY63" s="230">
        <f t="shared" si="49"/>
        <v>33626</v>
      </c>
      <c r="BZ63" s="14">
        <f t="shared" si="49"/>
        <v>33626</v>
      </c>
      <c r="CA63" s="14">
        <f t="shared" si="49"/>
        <v>33626</v>
      </c>
      <c r="CB63" s="14">
        <f t="shared" si="49"/>
        <v>33626</v>
      </c>
      <c r="CC63" s="14">
        <f t="shared" si="49"/>
        <v>33626</v>
      </c>
      <c r="CD63" s="14">
        <f t="shared" si="49"/>
        <v>33626</v>
      </c>
      <c r="CE63" s="14">
        <f t="shared" si="49"/>
        <v>33626</v>
      </c>
      <c r="CF63" s="14">
        <f t="shared" si="49"/>
        <v>33626</v>
      </c>
      <c r="CG63" s="14">
        <f t="shared" si="49"/>
        <v>33626</v>
      </c>
      <c r="CH63" s="14">
        <f t="shared" si="49"/>
        <v>33626</v>
      </c>
      <c r="CI63" s="421">
        <f t="shared" si="49"/>
        <v>33626</v>
      </c>
      <c r="CJ63" s="14">
        <v>33631.75</v>
      </c>
      <c r="CK63" s="14">
        <f t="shared" si="49"/>
        <v>33631.75</v>
      </c>
      <c r="CL63" s="14">
        <f t="shared" si="49"/>
        <v>33631.75</v>
      </c>
      <c r="CM63" s="14">
        <f t="shared" si="49"/>
        <v>33631.75</v>
      </c>
      <c r="CN63" s="14">
        <f t="shared" si="49"/>
        <v>33631.75</v>
      </c>
      <c r="CO63" s="14">
        <f t="shared" si="49"/>
        <v>33631.75</v>
      </c>
      <c r="CP63" s="14">
        <f t="shared" si="49"/>
        <v>33631.75</v>
      </c>
      <c r="CQ63" s="14">
        <f t="shared" si="49"/>
        <v>33631.75</v>
      </c>
      <c r="CR63" s="14">
        <f t="shared" si="49"/>
        <v>33631.75</v>
      </c>
      <c r="CS63" s="14">
        <f t="shared" si="49"/>
        <v>33631.75</v>
      </c>
      <c r="CT63" s="230">
        <f t="shared" si="49"/>
        <v>33631.75</v>
      </c>
      <c r="CU63" s="14">
        <f t="shared" si="49"/>
        <v>33631.75</v>
      </c>
      <c r="CV63" s="14">
        <f t="shared" si="49"/>
        <v>33631.75</v>
      </c>
      <c r="CW63" s="14">
        <f t="shared" si="49"/>
        <v>33631.75</v>
      </c>
      <c r="CX63" s="14">
        <f t="shared" si="49"/>
        <v>33631.75</v>
      </c>
      <c r="CY63" s="14">
        <f t="shared" si="49"/>
        <v>33631.75</v>
      </c>
      <c r="CZ63" s="14">
        <f t="shared" si="49"/>
        <v>33631.75</v>
      </c>
      <c r="DA63" s="14">
        <f t="shared" si="49"/>
        <v>33631.75</v>
      </c>
      <c r="DB63" s="14">
        <f t="shared" si="49"/>
        <v>33631.75</v>
      </c>
      <c r="DC63" s="14">
        <f t="shared" si="49"/>
        <v>33631.75</v>
      </c>
      <c r="DD63" s="14">
        <f t="shared" si="49"/>
        <v>33631.75</v>
      </c>
      <c r="DE63" s="421">
        <f t="shared" si="49"/>
        <v>33631.75</v>
      </c>
      <c r="DF63" s="14">
        <v>33638.9</v>
      </c>
      <c r="DG63" s="14">
        <f t="shared" si="49"/>
        <v>33638.9</v>
      </c>
      <c r="DH63" s="14">
        <f t="shared" si="49"/>
        <v>33638.9</v>
      </c>
      <c r="DI63" s="14">
        <f t="shared" si="49"/>
        <v>33638.9</v>
      </c>
      <c r="DJ63" s="14">
        <f t="shared" si="49"/>
        <v>33638.9</v>
      </c>
      <c r="DK63" s="14">
        <f t="shared" si="49"/>
        <v>33638.9</v>
      </c>
      <c r="DL63" s="14">
        <f t="shared" si="49"/>
        <v>33638.9</v>
      </c>
      <c r="DM63" s="14">
        <f t="shared" si="49"/>
        <v>33638.9</v>
      </c>
      <c r="DN63" s="14">
        <f t="shared" si="49"/>
        <v>33638.9</v>
      </c>
      <c r="DO63" s="230">
        <f t="shared" si="49"/>
        <v>33638.9</v>
      </c>
      <c r="DP63" s="14">
        <f t="shared" si="49"/>
        <v>33638.9</v>
      </c>
      <c r="DQ63" s="14">
        <f t="shared" si="49"/>
        <v>33638.9</v>
      </c>
      <c r="DR63" s="14">
        <f t="shared" si="49"/>
        <v>33638.9</v>
      </c>
      <c r="DS63" s="14">
        <f t="shared" si="49"/>
        <v>33638.9</v>
      </c>
      <c r="DT63" s="14">
        <f t="shared" si="49"/>
        <v>33638.9</v>
      </c>
      <c r="DU63" s="14">
        <f t="shared" si="49"/>
        <v>33638.9</v>
      </c>
      <c r="DV63" s="14">
        <f t="shared" si="49"/>
        <v>33638.9</v>
      </c>
      <c r="DW63" s="14">
        <f t="shared" si="49"/>
        <v>33638.9</v>
      </c>
      <c r="DX63" s="14">
        <f t="shared" si="49"/>
        <v>33638.9</v>
      </c>
      <c r="DY63" s="14">
        <f t="shared" si="49"/>
        <v>33638.9</v>
      </c>
      <c r="DZ63" s="421">
        <f t="shared" si="49"/>
        <v>33638.9</v>
      </c>
      <c r="EA63" s="14">
        <v>33647.32</v>
      </c>
      <c r="EB63" s="14">
        <f t="shared" si="49"/>
        <v>33647.32</v>
      </c>
      <c r="EC63" s="14">
        <f t="shared" si="50"/>
        <v>33647.32</v>
      </c>
      <c r="ED63" s="14">
        <f t="shared" si="50"/>
        <v>33647.32</v>
      </c>
      <c r="EE63" s="14">
        <f t="shared" si="50"/>
        <v>33647.32</v>
      </c>
      <c r="EF63" s="14">
        <f t="shared" si="50"/>
        <v>33647.32</v>
      </c>
      <c r="EG63" s="14">
        <f t="shared" si="50"/>
        <v>33647.32</v>
      </c>
      <c r="EH63" s="14">
        <f t="shared" si="50"/>
        <v>33647.32</v>
      </c>
      <c r="EI63" s="14">
        <f t="shared" si="50"/>
        <v>33647.32</v>
      </c>
      <c r="EJ63" s="230">
        <f t="shared" si="50"/>
        <v>33647.32</v>
      </c>
      <c r="EK63" s="14">
        <f t="shared" si="50"/>
        <v>33647.32</v>
      </c>
      <c r="EL63" s="14">
        <f t="shared" si="50"/>
        <v>33647.32</v>
      </c>
      <c r="EM63" s="14">
        <f t="shared" si="50"/>
        <v>33647.32</v>
      </c>
      <c r="EN63" s="14">
        <f t="shared" si="50"/>
        <v>33647.32</v>
      </c>
      <c r="EO63" s="14">
        <f t="shared" si="50"/>
        <v>33647.32</v>
      </c>
      <c r="EP63" s="14">
        <f t="shared" si="50"/>
        <v>33647.32</v>
      </c>
      <c r="EQ63" s="14">
        <f t="shared" si="50"/>
        <v>0.31999999999970896</v>
      </c>
      <c r="ER63" s="14">
        <f t="shared" si="50"/>
        <v>0.31999999999970896</v>
      </c>
      <c r="ES63" s="14">
        <f t="shared" si="50"/>
        <v>0.31999999999970896</v>
      </c>
      <c r="ET63" s="14">
        <f t="shared" si="50"/>
        <v>0.31999999999970896</v>
      </c>
      <c r="EU63" s="14">
        <v>7.17</v>
      </c>
      <c r="EV63" s="421">
        <f t="shared" si="50"/>
        <v>7.17</v>
      </c>
      <c r="EW63" s="14">
        <f t="shared" si="50"/>
        <v>7.17</v>
      </c>
      <c r="EX63" s="14">
        <f t="shared" si="50"/>
        <v>7.17</v>
      </c>
      <c r="EY63" s="14">
        <f t="shared" si="50"/>
        <v>7.17</v>
      </c>
      <c r="EZ63" s="14">
        <f t="shared" si="50"/>
        <v>7.17</v>
      </c>
      <c r="FA63" s="14">
        <f t="shared" si="50"/>
        <v>7.17</v>
      </c>
      <c r="FB63" s="14">
        <f t="shared" si="50"/>
        <v>7.17</v>
      </c>
      <c r="FC63" s="14">
        <f t="shared" si="50"/>
        <v>7.17</v>
      </c>
      <c r="FD63" s="14">
        <f t="shared" si="50"/>
        <v>7.17</v>
      </c>
      <c r="FE63" s="14">
        <f t="shared" si="50"/>
        <v>7.17</v>
      </c>
      <c r="FF63" s="230">
        <f t="shared" si="50"/>
        <v>7.17</v>
      </c>
      <c r="FG63" s="14">
        <f t="shared" si="50"/>
        <v>7.17</v>
      </c>
      <c r="FH63" s="14">
        <f t="shared" si="50"/>
        <v>7.17</v>
      </c>
      <c r="FI63" s="14">
        <f t="shared" si="50"/>
        <v>7.17</v>
      </c>
      <c r="FJ63" s="14">
        <f t="shared" si="50"/>
        <v>7.17</v>
      </c>
      <c r="FK63" s="14">
        <f t="shared" si="50"/>
        <v>7.17</v>
      </c>
      <c r="FL63" s="14">
        <f t="shared" si="50"/>
        <v>7.17</v>
      </c>
      <c r="FM63" s="14">
        <f t="shared" si="50"/>
        <v>7.17</v>
      </c>
      <c r="FN63" s="14">
        <f>FM63-FN25+6000000</f>
        <v>6000007.1699999999</v>
      </c>
      <c r="FO63" s="14">
        <f>FN63-FO25+5000000</f>
        <v>11000007.17</v>
      </c>
      <c r="FP63" s="14">
        <f t="shared" si="50"/>
        <v>11000007.17</v>
      </c>
      <c r="FQ63" s="421">
        <f t="shared" si="50"/>
        <v>11000007.17</v>
      </c>
      <c r="FR63" s="14">
        <f t="shared" si="50"/>
        <v>11000007.17</v>
      </c>
      <c r="FS63" s="14">
        <f t="shared" si="50"/>
        <v>11000007.17</v>
      </c>
      <c r="FT63" s="14">
        <f t="shared" si="50"/>
        <v>11000007.17</v>
      </c>
      <c r="FU63" s="14">
        <f t="shared" si="50"/>
        <v>11000007.17</v>
      </c>
      <c r="FV63" s="14">
        <f t="shared" si="50"/>
        <v>11000007.17</v>
      </c>
      <c r="FW63" s="14">
        <f t="shared" si="50"/>
        <v>11000007.17</v>
      </c>
      <c r="FX63" s="14">
        <f t="shared" si="50"/>
        <v>11000007.17</v>
      </c>
      <c r="FY63" s="14">
        <f t="shared" si="50"/>
        <v>11000007.17</v>
      </c>
      <c r="FZ63" s="14">
        <f t="shared" si="50"/>
        <v>11000007.17</v>
      </c>
      <c r="GA63" s="230">
        <f t="shared" si="50"/>
        <v>11000007.17</v>
      </c>
      <c r="GB63" s="14">
        <f t="shared" si="50"/>
        <v>11000007.17</v>
      </c>
      <c r="GC63" s="14">
        <f t="shared" si="50"/>
        <v>11000007.17</v>
      </c>
      <c r="GD63" s="14">
        <f t="shared" si="50"/>
        <v>11000007.17</v>
      </c>
      <c r="GE63" s="14">
        <f t="shared" si="50"/>
        <v>11000007.17</v>
      </c>
      <c r="GF63" s="14">
        <f t="shared" si="50"/>
        <v>11000007.17</v>
      </c>
      <c r="GG63" s="14">
        <f t="shared" si="50"/>
        <v>11000007.17</v>
      </c>
      <c r="GH63" s="14">
        <f t="shared" si="50"/>
        <v>11000007.17</v>
      </c>
      <c r="GI63" s="14">
        <f t="shared" si="50"/>
        <v>11000007.17</v>
      </c>
      <c r="GJ63" s="14">
        <f t="shared" si="50"/>
        <v>11000007.17</v>
      </c>
      <c r="GK63" s="421">
        <f t="shared" si="50"/>
        <v>11000007.17</v>
      </c>
      <c r="GL63" s="14">
        <v>11002425.83</v>
      </c>
      <c r="GM63" s="14">
        <f t="shared" si="50"/>
        <v>11002425.83</v>
      </c>
      <c r="GN63" s="14">
        <f t="shared" si="50"/>
        <v>11002425.83</v>
      </c>
      <c r="GO63" s="14">
        <f t="shared" si="51"/>
        <v>11002425.83</v>
      </c>
      <c r="GP63" s="14">
        <f t="shared" si="51"/>
        <v>11002425.83</v>
      </c>
      <c r="GQ63" s="14">
        <f t="shared" si="51"/>
        <v>11002425.83</v>
      </c>
      <c r="GR63" s="14">
        <f t="shared" si="51"/>
        <v>11002425.83</v>
      </c>
      <c r="GS63" s="14">
        <f t="shared" si="51"/>
        <v>11002425.83</v>
      </c>
      <c r="GT63" s="14">
        <f t="shared" si="51"/>
        <v>11002425.83</v>
      </c>
      <c r="GU63" s="230">
        <f t="shared" si="51"/>
        <v>11002425.83</v>
      </c>
      <c r="GV63" s="14">
        <f t="shared" si="51"/>
        <v>11002425.83</v>
      </c>
      <c r="GW63" s="14">
        <f t="shared" si="51"/>
        <v>11002425.83</v>
      </c>
      <c r="GX63" s="14">
        <f t="shared" si="51"/>
        <v>11002425.83</v>
      </c>
      <c r="GY63" s="14">
        <f t="shared" si="51"/>
        <v>11002425.83</v>
      </c>
      <c r="GZ63" s="14">
        <f t="shared" si="51"/>
        <v>11002425.83</v>
      </c>
      <c r="HA63" s="14">
        <f t="shared" si="51"/>
        <v>11002425.83</v>
      </c>
      <c r="HB63" s="14">
        <f t="shared" si="51"/>
        <v>11002425.83</v>
      </c>
      <c r="HC63" s="14">
        <f t="shared" si="51"/>
        <v>11002425.83</v>
      </c>
      <c r="HD63" s="14">
        <f t="shared" si="51"/>
        <v>11002425.83</v>
      </c>
      <c r="HE63" s="421">
        <f t="shared" si="51"/>
        <v>11002425.83</v>
      </c>
      <c r="HF63" s="14">
        <f t="shared" si="51"/>
        <v>11002425.83</v>
      </c>
      <c r="HG63" s="14">
        <f t="shared" si="51"/>
        <v>11002425.83</v>
      </c>
      <c r="HH63" s="14">
        <f t="shared" si="51"/>
        <v>11002425.83</v>
      </c>
      <c r="HI63" s="14">
        <v>11004455.189999999</v>
      </c>
      <c r="HJ63" s="14">
        <f t="shared" si="51"/>
        <v>11004455.189999999</v>
      </c>
      <c r="HK63" s="14">
        <f t="shared" si="51"/>
        <v>11004455.189999999</v>
      </c>
      <c r="HL63" s="14">
        <f t="shared" si="51"/>
        <v>11004455.189999999</v>
      </c>
      <c r="HM63" s="14">
        <f t="shared" si="51"/>
        <v>11004455.189999999</v>
      </c>
      <c r="HN63" s="14">
        <f t="shared" si="51"/>
        <v>11004455.189999999</v>
      </c>
      <c r="HO63" s="14">
        <f t="shared" si="51"/>
        <v>11004455.189999999</v>
      </c>
      <c r="HP63" s="230">
        <f t="shared" si="51"/>
        <v>11004455.189999999</v>
      </c>
      <c r="HQ63" s="14">
        <f t="shared" si="51"/>
        <v>11004455.189999999</v>
      </c>
      <c r="HR63" s="14">
        <f t="shared" si="51"/>
        <v>11004455.189999999</v>
      </c>
      <c r="HS63" s="14">
        <f t="shared" si="51"/>
        <v>11004455.189999999</v>
      </c>
      <c r="HT63" s="14">
        <f t="shared" si="51"/>
        <v>11004455.189999999</v>
      </c>
      <c r="HU63" s="14">
        <f t="shared" si="51"/>
        <v>11004455.189999999</v>
      </c>
      <c r="HV63" s="14">
        <f t="shared" si="51"/>
        <v>11004455.189999999</v>
      </c>
      <c r="HW63" s="14">
        <f t="shared" si="51"/>
        <v>11004455.189999999</v>
      </c>
      <c r="HX63" s="14">
        <f>HV63-HX25</f>
        <v>11004455.189999999</v>
      </c>
      <c r="HY63" s="14">
        <f t="shared" si="51"/>
        <v>11004455.189999999</v>
      </c>
      <c r="HZ63" s="14">
        <f t="shared" si="51"/>
        <v>11004455.189999999</v>
      </c>
      <c r="IA63" s="421">
        <f>HZ63-IA25+53000000</f>
        <v>64004455.189999998</v>
      </c>
      <c r="IB63" s="14">
        <v>64007059.579999998</v>
      </c>
      <c r="IC63" s="14">
        <f>IB63-IC25+53300000</f>
        <v>117307059.58</v>
      </c>
      <c r="ID63" s="14">
        <f t="shared" si="51"/>
        <v>117307059.58</v>
      </c>
      <c r="IE63" s="14">
        <f t="shared" si="51"/>
        <v>117307059.58</v>
      </c>
      <c r="IF63" s="14">
        <f t="shared" si="51"/>
        <v>117307059.58</v>
      </c>
      <c r="IG63" s="14">
        <f t="shared" si="51"/>
        <v>117307059.58</v>
      </c>
      <c r="IH63" s="14">
        <f t="shared" si="51"/>
        <v>117307059.58</v>
      </c>
      <c r="II63" s="14">
        <f t="shared" si="51"/>
        <v>117307059.58</v>
      </c>
      <c r="IJ63" s="14">
        <f t="shared" si="51"/>
        <v>117307059.58</v>
      </c>
      <c r="IK63" s="14">
        <f t="shared" si="51"/>
        <v>117307059.58</v>
      </c>
      <c r="IL63" s="230">
        <f t="shared" si="51"/>
        <v>117307059.58</v>
      </c>
      <c r="IM63" s="14">
        <f t="shared" si="51"/>
        <v>117307059.58</v>
      </c>
      <c r="IN63" s="14">
        <f t="shared" si="51"/>
        <v>117307059.58</v>
      </c>
      <c r="IO63" s="14">
        <f t="shared" si="51"/>
        <v>117307059.58</v>
      </c>
      <c r="IP63" s="14">
        <f t="shared" si="51"/>
        <v>117307059.58</v>
      </c>
      <c r="IQ63" s="14">
        <f t="shared" si="51"/>
        <v>117307059.58</v>
      </c>
      <c r="IR63" s="14">
        <f t="shared" si="51"/>
        <v>117307059.58</v>
      </c>
      <c r="IS63" s="14">
        <f t="shared" si="51"/>
        <v>117307059.58</v>
      </c>
      <c r="IT63" s="14">
        <f t="shared" si="51"/>
        <v>117307059.58</v>
      </c>
      <c r="IU63" s="14">
        <f t="shared" si="51"/>
        <v>117307059.58</v>
      </c>
      <c r="IV63" s="14">
        <v>117327267</v>
      </c>
      <c r="IX63" s="14"/>
      <c r="IY63" s="14"/>
      <c r="IZ63" s="14"/>
      <c r="JA63" s="14"/>
      <c r="JB63" s="14"/>
      <c r="JC63" s="14"/>
      <c r="JD63" s="14"/>
      <c r="JE63" s="14"/>
      <c r="JF63" s="14"/>
      <c r="JH63" s="14" t="e">
        <f>#REF!-JH25</f>
        <v>#REF!</v>
      </c>
      <c r="JI63" s="14"/>
    </row>
    <row r="64" spans="1:269" ht="14.1" customHeight="1">
      <c r="A64" s="14" t="s">
        <v>56</v>
      </c>
      <c r="B64" s="14"/>
      <c r="C64" s="794">
        <v>31011602.469999999</v>
      </c>
      <c r="D64" s="14">
        <v>31014208</v>
      </c>
      <c r="E64" s="14">
        <f>+D64+20000000</f>
        <v>51014208</v>
      </c>
      <c r="F64" s="14">
        <f>+E64-F22</f>
        <v>51014208</v>
      </c>
      <c r="G64" s="14">
        <f>+F64-G22+30000000</f>
        <v>81014208</v>
      </c>
      <c r="H64" s="14">
        <f t="shared" ref="H64:BS64" si="52">+G64-H22</f>
        <v>81014208</v>
      </c>
      <c r="I64" s="14">
        <f t="shared" si="52"/>
        <v>81014208</v>
      </c>
      <c r="J64" s="14">
        <f t="shared" si="52"/>
        <v>81014208</v>
      </c>
      <c r="K64" s="14">
        <f t="shared" si="52"/>
        <v>81014208</v>
      </c>
      <c r="L64" s="14">
        <f t="shared" si="52"/>
        <v>81014208</v>
      </c>
      <c r="M64" s="230">
        <f t="shared" si="52"/>
        <v>81014208</v>
      </c>
      <c r="N64" s="14">
        <f t="shared" si="52"/>
        <v>81014208</v>
      </c>
      <c r="O64" s="14">
        <f t="shared" si="52"/>
        <v>81014208</v>
      </c>
      <c r="P64" s="14">
        <f t="shared" si="52"/>
        <v>81014208</v>
      </c>
      <c r="Q64" s="14">
        <f t="shared" si="52"/>
        <v>81014208</v>
      </c>
      <c r="R64" s="14">
        <f t="shared" si="52"/>
        <v>81014208</v>
      </c>
      <c r="S64" s="14">
        <f t="shared" si="52"/>
        <v>81014208</v>
      </c>
      <c r="T64" s="14">
        <f t="shared" si="52"/>
        <v>81014208</v>
      </c>
      <c r="U64" s="14">
        <f t="shared" si="52"/>
        <v>81014208</v>
      </c>
      <c r="V64" s="39">
        <f t="shared" si="52"/>
        <v>81014208</v>
      </c>
      <c r="W64" s="14">
        <v>81024062</v>
      </c>
      <c r="X64" s="14">
        <f t="shared" si="52"/>
        <v>81024062</v>
      </c>
      <c r="Y64" s="14">
        <f t="shared" si="52"/>
        <v>81024062</v>
      </c>
      <c r="Z64" s="14">
        <f t="shared" si="52"/>
        <v>81024062</v>
      </c>
      <c r="AA64" s="14">
        <f t="shared" si="52"/>
        <v>81024062</v>
      </c>
      <c r="AB64" s="14">
        <f t="shared" si="52"/>
        <v>81024062</v>
      </c>
      <c r="AC64" s="14">
        <f t="shared" si="52"/>
        <v>81024062</v>
      </c>
      <c r="AD64" s="14">
        <f t="shared" si="52"/>
        <v>81024062</v>
      </c>
      <c r="AE64" s="14">
        <f t="shared" si="52"/>
        <v>81024062</v>
      </c>
      <c r="AF64" s="14">
        <f t="shared" si="52"/>
        <v>81024062</v>
      </c>
      <c r="AG64" s="230">
        <f t="shared" si="52"/>
        <v>81024062</v>
      </c>
      <c r="AH64" s="14">
        <f t="shared" si="52"/>
        <v>81024062</v>
      </c>
      <c r="AI64" s="14">
        <f t="shared" si="52"/>
        <v>81024062</v>
      </c>
      <c r="AJ64" s="14">
        <f t="shared" si="52"/>
        <v>81024062</v>
      </c>
      <c r="AK64" s="14">
        <f t="shared" si="52"/>
        <v>81024062</v>
      </c>
      <c r="AL64" s="14">
        <f t="shared" si="52"/>
        <v>81024062</v>
      </c>
      <c r="AM64" s="14">
        <f t="shared" si="52"/>
        <v>81024062</v>
      </c>
      <c r="AN64" s="14">
        <f t="shared" si="52"/>
        <v>81024062</v>
      </c>
      <c r="AO64" s="582">
        <f t="shared" si="52"/>
        <v>81024062</v>
      </c>
      <c r="AP64" s="14">
        <f t="shared" si="52"/>
        <v>81024062</v>
      </c>
      <c r="AQ64" s="14">
        <f t="shared" si="52"/>
        <v>81024062</v>
      </c>
      <c r="AR64" s="14">
        <f t="shared" si="52"/>
        <v>81024062</v>
      </c>
      <c r="AS64" s="421">
        <v>81036615</v>
      </c>
      <c r="AT64" s="14">
        <f t="shared" si="52"/>
        <v>81036615</v>
      </c>
      <c r="AU64" s="14">
        <f t="shared" si="52"/>
        <v>81036615</v>
      </c>
      <c r="AV64" s="14">
        <f t="shared" si="52"/>
        <v>81036615</v>
      </c>
      <c r="AW64" s="14">
        <f t="shared" si="52"/>
        <v>81036615</v>
      </c>
      <c r="AX64" s="14">
        <f t="shared" si="52"/>
        <v>81036615</v>
      </c>
      <c r="AY64" s="14">
        <f t="shared" si="52"/>
        <v>81036615</v>
      </c>
      <c r="AZ64" s="14">
        <f t="shared" si="52"/>
        <v>81036615</v>
      </c>
      <c r="BA64" s="14">
        <f t="shared" si="52"/>
        <v>81036615</v>
      </c>
      <c r="BB64" s="14">
        <f t="shared" si="52"/>
        <v>81036615</v>
      </c>
      <c r="BC64" s="14">
        <f t="shared" si="52"/>
        <v>81036615</v>
      </c>
      <c r="BD64" s="230">
        <f t="shared" si="52"/>
        <v>81036615</v>
      </c>
      <c r="BE64" s="14">
        <f t="shared" si="52"/>
        <v>81036615</v>
      </c>
      <c r="BF64" s="14">
        <f t="shared" si="52"/>
        <v>81036615</v>
      </c>
      <c r="BG64" s="14">
        <f t="shared" si="52"/>
        <v>81036615</v>
      </c>
      <c r="BH64" s="14">
        <f t="shared" si="52"/>
        <v>81036615</v>
      </c>
      <c r="BI64" s="14">
        <f t="shared" si="52"/>
        <v>81036615</v>
      </c>
      <c r="BJ64" s="14">
        <f t="shared" si="52"/>
        <v>81036615</v>
      </c>
      <c r="BK64" s="14">
        <f t="shared" si="52"/>
        <v>81036615</v>
      </c>
      <c r="BL64" s="14">
        <f t="shared" si="52"/>
        <v>81036615</v>
      </c>
      <c r="BM64" s="14">
        <f t="shared" si="52"/>
        <v>81036615</v>
      </c>
      <c r="BN64" s="14">
        <f t="shared" si="52"/>
        <v>81036615</v>
      </c>
      <c r="BO64" s="421">
        <f t="shared" si="52"/>
        <v>81036615</v>
      </c>
      <c r="BP64" s="14">
        <v>81049486</v>
      </c>
      <c r="BQ64" s="14">
        <f t="shared" si="52"/>
        <v>81049486</v>
      </c>
      <c r="BR64" s="14">
        <f t="shared" si="52"/>
        <v>81049486</v>
      </c>
      <c r="BS64" s="14">
        <f t="shared" si="52"/>
        <v>81049486</v>
      </c>
      <c r="BT64" s="14">
        <f t="shared" ref="BT64:EE64" si="53">+BS64-BT22</f>
        <v>81049486</v>
      </c>
      <c r="BU64" s="14">
        <f t="shared" si="53"/>
        <v>81049486</v>
      </c>
      <c r="BV64" s="14">
        <f t="shared" si="53"/>
        <v>81049486</v>
      </c>
      <c r="BW64" s="14">
        <f t="shared" si="53"/>
        <v>81049486</v>
      </c>
      <c r="BX64" s="14">
        <f t="shared" si="53"/>
        <v>81049486</v>
      </c>
      <c r="BY64" s="230">
        <f t="shared" si="53"/>
        <v>56049486</v>
      </c>
      <c r="BZ64" s="14">
        <f t="shared" si="53"/>
        <v>56049486</v>
      </c>
      <c r="CA64" s="14">
        <f t="shared" si="53"/>
        <v>56049486</v>
      </c>
      <c r="CB64" s="14">
        <f t="shared" si="53"/>
        <v>56049486</v>
      </c>
      <c r="CC64" s="14">
        <f t="shared" si="53"/>
        <v>56049486</v>
      </c>
      <c r="CD64" s="14">
        <f t="shared" si="53"/>
        <v>56049486</v>
      </c>
      <c r="CE64" s="14">
        <f t="shared" si="53"/>
        <v>56049486</v>
      </c>
      <c r="CF64" s="14">
        <f t="shared" si="53"/>
        <v>56049486</v>
      </c>
      <c r="CG64" s="14">
        <f t="shared" si="53"/>
        <v>56049486</v>
      </c>
      <c r="CH64" s="14">
        <f t="shared" si="53"/>
        <v>56049486</v>
      </c>
      <c r="CI64" s="421">
        <f t="shared" si="53"/>
        <v>56049486</v>
      </c>
      <c r="CJ64" s="14">
        <v>56060298.799999997</v>
      </c>
      <c r="CK64" s="14">
        <f t="shared" si="53"/>
        <v>56060298.799999997</v>
      </c>
      <c r="CL64" s="14">
        <f t="shared" si="53"/>
        <v>46060298.799999997</v>
      </c>
      <c r="CM64" s="14">
        <f t="shared" si="53"/>
        <v>46060298.799999997</v>
      </c>
      <c r="CN64" s="14">
        <f t="shared" si="53"/>
        <v>46060298.799999997</v>
      </c>
      <c r="CO64" s="14">
        <f t="shared" si="53"/>
        <v>46060298.799999997</v>
      </c>
      <c r="CP64" s="14">
        <f t="shared" si="53"/>
        <v>46060298.799999997</v>
      </c>
      <c r="CQ64" s="14">
        <f t="shared" si="53"/>
        <v>46060298.799999997</v>
      </c>
      <c r="CR64" s="14">
        <f t="shared" si="53"/>
        <v>46060298.799999997</v>
      </c>
      <c r="CS64" s="14">
        <f t="shared" si="53"/>
        <v>46060298.799999997</v>
      </c>
      <c r="CT64" s="230">
        <f t="shared" si="53"/>
        <v>26060298.799999997</v>
      </c>
      <c r="CU64" s="14">
        <f t="shared" si="53"/>
        <v>26060298.799999997</v>
      </c>
      <c r="CV64" s="14">
        <f t="shared" si="53"/>
        <v>26060298.799999997</v>
      </c>
      <c r="CW64" s="14">
        <f t="shared" si="53"/>
        <v>26060298.799999997</v>
      </c>
      <c r="CX64" s="14">
        <f t="shared" si="53"/>
        <v>26060298.799999997</v>
      </c>
      <c r="CY64" s="14">
        <f t="shared" si="53"/>
        <v>26060298.799999997</v>
      </c>
      <c r="CZ64" s="14">
        <f t="shared" si="53"/>
        <v>26060298.799999997</v>
      </c>
      <c r="DA64" s="14">
        <f t="shared" si="53"/>
        <v>26060298.799999997</v>
      </c>
      <c r="DB64" s="14">
        <f t="shared" si="53"/>
        <v>26060298.799999997</v>
      </c>
      <c r="DC64" s="14">
        <f t="shared" si="53"/>
        <v>26060298.799999997</v>
      </c>
      <c r="DD64" s="14">
        <f t="shared" si="53"/>
        <v>26060298.799999997</v>
      </c>
      <c r="DE64" s="421">
        <f t="shared" si="53"/>
        <v>26060298.799999997</v>
      </c>
      <c r="DF64" s="14">
        <v>26066586.43</v>
      </c>
      <c r="DG64" s="14">
        <f t="shared" si="53"/>
        <v>26066586.43</v>
      </c>
      <c r="DH64" s="14">
        <f t="shared" si="53"/>
        <v>26066586.43</v>
      </c>
      <c r="DI64" s="14">
        <f t="shared" si="53"/>
        <v>26066586.43</v>
      </c>
      <c r="DJ64" s="14">
        <f t="shared" si="53"/>
        <v>26066586.43</v>
      </c>
      <c r="DK64" s="14">
        <f t="shared" si="53"/>
        <v>26066586.43</v>
      </c>
      <c r="DL64" s="14">
        <f t="shared" si="53"/>
        <v>26066586.43</v>
      </c>
      <c r="DM64" s="14">
        <f t="shared" si="53"/>
        <v>26066586.43</v>
      </c>
      <c r="DN64" s="14">
        <f t="shared" si="53"/>
        <v>66586.429999999702</v>
      </c>
      <c r="DO64" s="230">
        <f t="shared" si="53"/>
        <v>66586.429999999702</v>
      </c>
      <c r="DP64" s="14">
        <f t="shared" si="53"/>
        <v>66586.429999999702</v>
      </c>
      <c r="DQ64" s="14">
        <f t="shared" si="53"/>
        <v>66586.429999999702</v>
      </c>
      <c r="DR64" s="14">
        <f t="shared" si="53"/>
        <v>66586.429999999702</v>
      </c>
      <c r="DS64" s="14">
        <f t="shared" si="53"/>
        <v>66586.429999999702</v>
      </c>
      <c r="DT64" s="14">
        <f t="shared" si="53"/>
        <v>66586.429999999702</v>
      </c>
      <c r="DU64" s="14">
        <f t="shared" si="53"/>
        <v>66586.429999999702</v>
      </c>
      <c r="DV64" s="14">
        <f t="shared" si="53"/>
        <v>66586.429999999702</v>
      </c>
      <c r="DW64" s="14">
        <f t="shared" si="53"/>
        <v>66586.429999999702</v>
      </c>
      <c r="DX64" s="14">
        <f t="shared" si="53"/>
        <v>66586.429999999702</v>
      </c>
      <c r="DY64" s="14">
        <f t="shared" si="53"/>
        <v>66586.429999999702</v>
      </c>
      <c r="DZ64" s="421">
        <f t="shared" si="53"/>
        <v>66586.429999999702</v>
      </c>
      <c r="EA64" s="14">
        <v>68768.42</v>
      </c>
      <c r="EB64" s="14">
        <f t="shared" si="53"/>
        <v>68768.42</v>
      </c>
      <c r="EC64" s="14">
        <f t="shared" si="53"/>
        <v>68768.42</v>
      </c>
      <c r="ED64" s="14">
        <f t="shared" si="53"/>
        <v>68768.42</v>
      </c>
      <c r="EE64" s="14">
        <f t="shared" si="53"/>
        <v>68768.42</v>
      </c>
      <c r="EF64" s="14">
        <f t="shared" ref="EF64:GQ64" si="54">+EE64-EF22</f>
        <v>68768.42</v>
      </c>
      <c r="EG64" s="14">
        <f t="shared" si="54"/>
        <v>68768.42</v>
      </c>
      <c r="EH64" s="14">
        <f t="shared" si="54"/>
        <v>68768.42</v>
      </c>
      <c r="EI64" s="14">
        <f t="shared" si="54"/>
        <v>68768.42</v>
      </c>
      <c r="EJ64" s="230">
        <f t="shared" si="54"/>
        <v>68768.42</v>
      </c>
      <c r="EK64" s="14">
        <f t="shared" si="54"/>
        <v>68768.42</v>
      </c>
      <c r="EL64" s="14">
        <f t="shared" si="54"/>
        <v>68768.42</v>
      </c>
      <c r="EM64" s="14">
        <f t="shared" si="54"/>
        <v>68768.42</v>
      </c>
      <c r="EN64" s="14">
        <f t="shared" si="54"/>
        <v>68768.42</v>
      </c>
      <c r="EO64" s="14">
        <f t="shared" si="54"/>
        <v>68768.42</v>
      </c>
      <c r="EP64" s="14">
        <f t="shared" si="54"/>
        <v>68768.42</v>
      </c>
      <c r="EQ64" s="14">
        <f t="shared" si="54"/>
        <v>0.41999999999825377</v>
      </c>
      <c r="ER64" s="14">
        <f t="shared" si="54"/>
        <v>0.41999999999825377</v>
      </c>
      <c r="ES64" s="14">
        <f t="shared" si="54"/>
        <v>0.41999999999825377</v>
      </c>
      <c r="ET64" s="14">
        <f t="shared" si="54"/>
        <v>0.41999999999825377</v>
      </c>
      <c r="EU64" s="14">
        <v>10.66</v>
      </c>
      <c r="EV64" s="421">
        <f t="shared" si="54"/>
        <v>10.66</v>
      </c>
      <c r="EW64" s="14">
        <f t="shared" si="54"/>
        <v>10.66</v>
      </c>
      <c r="EX64" s="14">
        <f t="shared" si="54"/>
        <v>10.66</v>
      </c>
      <c r="EY64" s="14">
        <f t="shared" si="54"/>
        <v>10.66</v>
      </c>
      <c r="EZ64" s="14">
        <f t="shared" si="54"/>
        <v>10.66</v>
      </c>
      <c r="FA64" s="14">
        <f t="shared" si="54"/>
        <v>10.66</v>
      </c>
      <c r="FB64" s="14">
        <f t="shared" si="54"/>
        <v>10.66</v>
      </c>
      <c r="FC64" s="14">
        <f t="shared" si="54"/>
        <v>10.66</v>
      </c>
      <c r="FD64" s="14">
        <f t="shared" si="54"/>
        <v>10.66</v>
      </c>
      <c r="FE64" s="14">
        <f t="shared" si="54"/>
        <v>10.66</v>
      </c>
      <c r="FF64" s="230">
        <f t="shared" si="54"/>
        <v>10.66</v>
      </c>
      <c r="FG64" s="14">
        <f t="shared" si="54"/>
        <v>10.66</v>
      </c>
      <c r="FH64" s="14">
        <f t="shared" si="54"/>
        <v>10.66</v>
      </c>
      <c r="FI64" s="14">
        <f t="shared" si="54"/>
        <v>10.66</v>
      </c>
      <c r="FJ64" s="14">
        <f t="shared" si="54"/>
        <v>10.66</v>
      </c>
      <c r="FK64" s="14">
        <f t="shared" si="54"/>
        <v>10.66</v>
      </c>
      <c r="FL64" s="14">
        <f t="shared" si="54"/>
        <v>10.66</v>
      </c>
      <c r="FM64" s="14">
        <f t="shared" si="54"/>
        <v>10.66</v>
      </c>
      <c r="FN64" s="14">
        <f>+FM64-FN22+5000000</f>
        <v>5000010.66</v>
      </c>
      <c r="FO64" s="14">
        <f>+FN64-FO22+7200000-6480000</f>
        <v>5720010.6600000001</v>
      </c>
      <c r="FP64" s="14">
        <f>+FO64-FP22+6480000</f>
        <v>12200010.66</v>
      </c>
      <c r="FQ64" s="421">
        <f t="shared" si="54"/>
        <v>12200010.66</v>
      </c>
      <c r="FR64" s="14">
        <f t="shared" si="54"/>
        <v>12200010.66</v>
      </c>
      <c r="FS64" s="14">
        <f t="shared" si="54"/>
        <v>12200010.66</v>
      </c>
      <c r="FT64" s="14">
        <f t="shared" si="54"/>
        <v>12200010.66</v>
      </c>
      <c r="FU64" s="14">
        <f t="shared" si="54"/>
        <v>12200010.66</v>
      </c>
      <c r="FV64" s="14">
        <f t="shared" si="54"/>
        <v>12200010.66</v>
      </c>
      <c r="FW64" s="14">
        <f t="shared" si="54"/>
        <v>12200010.66</v>
      </c>
      <c r="FX64" s="14">
        <f t="shared" si="54"/>
        <v>12200010.66</v>
      </c>
      <c r="FY64" s="14">
        <f t="shared" si="54"/>
        <v>12200010.66</v>
      </c>
      <c r="FZ64" s="14">
        <f t="shared" si="54"/>
        <v>12200010.66</v>
      </c>
      <c r="GA64" s="230">
        <f t="shared" si="54"/>
        <v>12200010.66</v>
      </c>
      <c r="GB64" s="14">
        <f t="shared" si="54"/>
        <v>12200010.66</v>
      </c>
      <c r="GC64" s="14">
        <f t="shared" si="54"/>
        <v>12200010.66</v>
      </c>
      <c r="GD64" s="14">
        <f t="shared" si="54"/>
        <v>12200010.66</v>
      </c>
      <c r="GE64" s="14">
        <f t="shared" si="54"/>
        <v>12200010.66</v>
      </c>
      <c r="GF64" s="14">
        <f t="shared" si="54"/>
        <v>12200010.66</v>
      </c>
      <c r="GG64" s="14">
        <f t="shared" si="54"/>
        <v>12200010.66</v>
      </c>
      <c r="GH64" s="14">
        <f t="shared" si="54"/>
        <v>12200010.66</v>
      </c>
      <c r="GI64" s="14">
        <f t="shared" si="54"/>
        <v>12200010.66</v>
      </c>
      <c r="GJ64" s="14">
        <f t="shared" si="54"/>
        <v>12200010.66</v>
      </c>
      <c r="GK64" s="421">
        <f t="shared" si="54"/>
        <v>12200010.66</v>
      </c>
      <c r="GL64" s="14">
        <v>12202099.42</v>
      </c>
      <c r="GM64" s="14">
        <f t="shared" si="54"/>
        <v>12202099.42</v>
      </c>
      <c r="GN64" s="14">
        <f t="shared" si="54"/>
        <v>12202099.42</v>
      </c>
      <c r="GO64" s="14">
        <f t="shared" si="54"/>
        <v>12202099.42</v>
      </c>
      <c r="GP64" s="14">
        <f t="shared" si="54"/>
        <v>12202099.42</v>
      </c>
      <c r="GQ64" s="14">
        <f t="shared" si="54"/>
        <v>12202099.42</v>
      </c>
      <c r="GR64" s="14">
        <f t="shared" ref="GR64:IU64" si="55">+GQ64-GR22</f>
        <v>12202099.42</v>
      </c>
      <c r="GS64" s="14">
        <f t="shared" si="55"/>
        <v>12202099.42</v>
      </c>
      <c r="GT64" s="14">
        <f t="shared" si="55"/>
        <v>12202099.42</v>
      </c>
      <c r="GU64" s="230">
        <f t="shared" si="55"/>
        <v>12202099.42</v>
      </c>
      <c r="GV64" s="14">
        <f t="shared" si="55"/>
        <v>12202099.42</v>
      </c>
      <c r="GW64" s="14">
        <f t="shared" si="55"/>
        <v>12202099.42</v>
      </c>
      <c r="GX64" s="14">
        <f t="shared" si="55"/>
        <v>12202099.42</v>
      </c>
      <c r="GY64" s="14">
        <f t="shared" si="55"/>
        <v>12202099.42</v>
      </c>
      <c r="GZ64" s="14">
        <f t="shared" si="55"/>
        <v>12202099.42</v>
      </c>
      <c r="HA64" s="14">
        <f t="shared" si="55"/>
        <v>12202099.42</v>
      </c>
      <c r="HB64" s="14">
        <f t="shared" si="55"/>
        <v>12202099.42</v>
      </c>
      <c r="HC64" s="14">
        <f t="shared" si="55"/>
        <v>12202099.42</v>
      </c>
      <c r="HD64" s="14">
        <f t="shared" si="55"/>
        <v>12202099.42</v>
      </c>
      <c r="HE64" s="421">
        <f t="shared" si="55"/>
        <v>12202099.42</v>
      </c>
      <c r="HF64" s="14">
        <f t="shared" si="55"/>
        <v>12202099.42</v>
      </c>
      <c r="HG64" s="14">
        <f t="shared" si="55"/>
        <v>12202099.42</v>
      </c>
      <c r="HH64" s="14">
        <f t="shared" si="55"/>
        <v>12202099.42</v>
      </c>
      <c r="HI64" s="14">
        <v>14109436.26</v>
      </c>
      <c r="HJ64" s="14">
        <f t="shared" si="55"/>
        <v>14109436.26</v>
      </c>
      <c r="HK64" s="14">
        <f t="shared" si="55"/>
        <v>14109436.26</v>
      </c>
      <c r="HL64" s="14">
        <f t="shared" si="55"/>
        <v>14109436.26</v>
      </c>
      <c r="HM64" s="14">
        <f t="shared" si="55"/>
        <v>14109436.26</v>
      </c>
      <c r="HN64" s="14">
        <f t="shared" si="55"/>
        <v>14109436.26</v>
      </c>
      <c r="HO64" s="14">
        <f t="shared" si="55"/>
        <v>109436.25999999978</v>
      </c>
      <c r="HP64" s="230">
        <f t="shared" si="55"/>
        <v>109436.25999999978</v>
      </c>
      <c r="HQ64" s="14">
        <f t="shared" si="55"/>
        <v>109436.25999999978</v>
      </c>
      <c r="HR64" s="14">
        <f t="shared" si="55"/>
        <v>109436.25999999978</v>
      </c>
      <c r="HS64" s="14">
        <f t="shared" si="55"/>
        <v>109436.25999999978</v>
      </c>
      <c r="HT64" s="14">
        <f t="shared" si="55"/>
        <v>109436.25999999978</v>
      </c>
      <c r="HU64" s="14">
        <f t="shared" si="55"/>
        <v>109436.25999999978</v>
      </c>
      <c r="HV64" s="14">
        <f t="shared" si="55"/>
        <v>109436.25999999978</v>
      </c>
      <c r="HW64" s="14">
        <f t="shared" si="55"/>
        <v>109436.25999999978</v>
      </c>
      <c r="HX64" s="14">
        <f>+HV64-HX22</f>
        <v>109436.25999999978</v>
      </c>
      <c r="HY64" s="14">
        <f t="shared" si="55"/>
        <v>109436.25999999978</v>
      </c>
      <c r="HZ64" s="14">
        <f t="shared" si="55"/>
        <v>109436.25999999978</v>
      </c>
      <c r="IA64" s="421">
        <f t="shared" si="55"/>
        <v>109436.25999999978</v>
      </c>
      <c r="IB64" s="14">
        <v>29243.89</v>
      </c>
      <c r="IC64" s="14">
        <f t="shared" si="55"/>
        <v>29243.89</v>
      </c>
      <c r="ID64" s="14">
        <f>+IC64-ID22+14092441.96+170079.33</f>
        <v>14291765.180000002</v>
      </c>
      <c r="IE64" s="14">
        <f t="shared" si="55"/>
        <v>14291765.180000002</v>
      </c>
      <c r="IF64" s="14">
        <f t="shared" si="55"/>
        <v>14291765.180000002</v>
      </c>
      <c r="IG64" s="14">
        <f t="shared" si="55"/>
        <v>14291765.180000002</v>
      </c>
      <c r="IH64" s="14">
        <f>+IG64-IH22+443245.79</f>
        <v>14735010.970000001</v>
      </c>
      <c r="II64" s="14">
        <f t="shared" si="55"/>
        <v>14735010.970000001</v>
      </c>
      <c r="IJ64" s="14">
        <f t="shared" si="55"/>
        <v>14735010.970000001</v>
      </c>
      <c r="IK64" s="14">
        <f t="shared" si="55"/>
        <v>14735010.970000001</v>
      </c>
      <c r="IL64" s="230">
        <f t="shared" si="55"/>
        <v>14735010.970000001</v>
      </c>
      <c r="IM64" s="14">
        <f t="shared" si="55"/>
        <v>14735010.970000001</v>
      </c>
      <c r="IN64" s="14">
        <f t="shared" si="55"/>
        <v>14735010.970000001</v>
      </c>
      <c r="IO64" s="14">
        <f t="shared" si="55"/>
        <v>14735010.970000001</v>
      </c>
      <c r="IP64" s="14">
        <f t="shared" si="55"/>
        <v>14735010.970000001</v>
      </c>
      <c r="IQ64" s="14">
        <f t="shared" si="55"/>
        <v>14735010.970000001</v>
      </c>
      <c r="IR64" s="14">
        <f t="shared" si="55"/>
        <v>14735010.970000001</v>
      </c>
      <c r="IS64" s="14">
        <f t="shared" si="55"/>
        <v>14735010.970000001</v>
      </c>
      <c r="IT64" s="14">
        <f t="shared" si="55"/>
        <v>14735010.970000001</v>
      </c>
      <c r="IU64" s="14">
        <f t="shared" si="55"/>
        <v>14735010.970000001</v>
      </c>
      <c r="IV64" s="14">
        <v>14931497</v>
      </c>
      <c r="IX64" s="14"/>
      <c r="IY64" s="14"/>
      <c r="IZ64" s="14"/>
      <c r="JA64" s="14"/>
      <c r="JB64" s="14"/>
      <c r="JC64" s="14"/>
      <c r="JD64" s="14"/>
      <c r="JE64" s="14"/>
      <c r="JF64" s="14"/>
      <c r="JH64" s="14" t="e">
        <f>+#REF!-JH22</f>
        <v>#REF!</v>
      </c>
      <c r="JI64" s="14" t="e">
        <f>+JH64-JI22</f>
        <v>#REF!</v>
      </c>
    </row>
    <row r="65" spans="1:269" ht="14.1" customHeight="1">
      <c r="A65" s="14" t="s">
        <v>20</v>
      </c>
      <c r="B65" s="22"/>
      <c r="C65" s="794">
        <v>8446</v>
      </c>
      <c r="D65" s="23">
        <v>8448</v>
      </c>
      <c r="E65" s="23">
        <f t="shared" ref="E65:BO65" si="56">D65-E26</f>
        <v>8448</v>
      </c>
      <c r="F65" s="23">
        <f t="shared" si="56"/>
        <v>8448</v>
      </c>
      <c r="G65" s="23">
        <f t="shared" si="56"/>
        <v>8448</v>
      </c>
      <c r="H65" s="23">
        <f t="shared" si="56"/>
        <v>8448</v>
      </c>
      <c r="I65" s="23">
        <f t="shared" si="56"/>
        <v>8448</v>
      </c>
      <c r="J65" s="23">
        <f t="shared" si="56"/>
        <v>8448</v>
      </c>
      <c r="K65" s="23">
        <f t="shared" si="56"/>
        <v>8448</v>
      </c>
      <c r="L65" s="23">
        <f t="shared" si="56"/>
        <v>8448</v>
      </c>
      <c r="M65" s="231">
        <f t="shared" si="56"/>
        <v>8448</v>
      </c>
      <c r="N65" s="23">
        <f t="shared" si="56"/>
        <v>8448</v>
      </c>
      <c r="O65" s="23">
        <f t="shared" si="56"/>
        <v>8448</v>
      </c>
      <c r="P65" s="23">
        <f t="shared" si="56"/>
        <v>8448</v>
      </c>
      <c r="Q65" s="23">
        <f t="shared" si="56"/>
        <v>8448</v>
      </c>
      <c r="R65" s="23">
        <f t="shared" si="56"/>
        <v>8448</v>
      </c>
      <c r="S65" s="23">
        <f t="shared" si="56"/>
        <v>8448</v>
      </c>
      <c r="T65" s="23">
        <f t="shared" si="56"/>
        <v>8448</v>
      </c>
      <c r="U65" s="23">
        <f t="shared" si="56"/>
        <v>8448</v>
      </c>
      <c r="V65" s="41">
        <f t="shared" si="56"/>
        <v>8448</v>
      </c>
      <c r="W65" s="23">
        <v>8449</v>
      </c>
      <c r="X65" s="23">
        <f t="shared" si="56"/>
        <v>8449</v>
      </c>
      <c r="Y65" s="23">
        <f t="shared" si="56"/>
        <v>8449</v>
      </c>
      <c r="Z65" s="23">
        <f t="shared" si="56"/>
        <v>8449</v>
      </c>
      <c r="AA65" s="23">
        <f t="shared" si="56"/>
        <v>8449</v>
      </c>
      <c r="AB65" s="23">
        <f t="shared" si="56"/>
        <v>8449</v>
      </c>
      <c r="AC65" s="23">
        <f t="shared" si="56"/>
        <v>8449</v>
      </c>
      <c r="AD65" s="23">
        <f t="shared" si="56"/>
        <v>8449</v>
      </c>
      <c r="AE65" s="23">
        <f t="shared" si="56"/>
        <v>8449</v>
      </c>
      <c r="AF65" s="23">
        <f t="shared" si="56"/>
        <v>8449</v>
      </c>
      <c r="AG65" s="231">
        <f t="shared" si="56"/>
        <v>8449</v>
      </c>
      <c r="AH65" s="23">
        <f t="shared" si="56"/>
        <v>8449</v>
      </c>
      <c r="AI65" s="23">
        <f t="shared" si="56"/>
        <v>8449</v>
      </c>
      <c r="AJ65" s="23">
        <f t="shared" si="56"/>
        <v>8449</v>
      </c>
      <c r="AK65" s="23">
        <f t="shared" si="56"/>
        <v>8449</v>
      </c>
      <c r="AL65" s="23">
        <f t="shared" si="56"/>
        <v>8449</v>
      </c>
      <c r="AM65" s="23">
        <f t="shared" si="56"/>
        <v>8449</v>
      </c>
      <c r="AN65" s="23">
        <f t="shared" si="56"/>
        <v>8449</v>
      </c>
      <c r="AO65" s="583">
        <f t="shared" si="56"/>
        <v>8449</v>
      </c>
      <c r="AP65" s="23">
        <f t="shared" si="56"/>
        <v>8449</v>
      </c>
      <c r="AQ65" s="23">
        <f t="shared" si="56"/>
        <v>8449</v>
      </c>
      <c r="AR65" s="23">
        <f t="shared" si="56"/>
        <v>8449</v>
      </c>
      <c r="AS65" s="422">
        <v>8450</v>
      </c>
      <c r="AT65" s="23">
        <f t="shared" si="56"/>
        <v>8450</v>
      </c>
      <c r="AU65" s="23">
        <f t="shared" si="56"/>
        <v>8450</v>
      </c>
      <c r="AV65" s="23">
        <f t="shared" si="56"/>
        <v>8450</v>
      </c>
      <c r="AW65" s="23">
        <f t="shared" si="56"/>
        <v>8450</v>
      </c>
      <c r="AX65" s="23">
        <f t="shared" si="56"/>
        <v>8450</v>
      </c>
      <c r="AY65" s="23">
        <f t="shared" si="56"/>
        <v>8450</v>
      </c>
      <c r="AZ65" s="23">
        <f t="shared" si="56"/>
        <v>8450</v>
      </c>
      <c r="BA65" s="23">
        <f t="shared" si="56"/>
        <v>8450</v>
      </c>
      <c r="BB65" s="23">
        <f t="shared" si="56"/>
        <v>8450</v>
      </c>
      <c r="BC65" s="23">
        <f t="shared" si="56"/>
        <v>8450</v>
      </c>
      <c r="BD65" s="231">
        <f t="shared" si="56"/>
        <v>8450</v>
      </c>
      <c r="BE65" s="23">
        <f t="shared" si="56"/>
        <v>8450</v>
      </c>
      <c r="BF65" s="23">
        <f t="shared" si="56"/>
        <v>8450</v>
      </c>
      <c r="BG65" s="23">
        <f t="shared" si="56"/>
        <v>8450</v>
      </c>
      <c r="BH65" s="23">
        <f t="shared" si="56"/>
        <v>8450</v>
      </c>
      <c r="BI65" s="23">
        <f t="shared" si="56"/>
        <v>8450</v>
      </c>
      <c r="BJ65" s="23">
        <f t="shared" si="56"/>
        <v>8450</v>
      </c>
      <c r="BK65" s="23">
        <f t="shared" si="56"/>
        <v>8450</v>
      </c>
      <c r="BL65" s="23">
        <f t="shared" si="56"/>
        <v>8450</v>
      </c>
      <c r="BM65" s="23">
        <f t="shared" si="56"/>
        <v>8450</v>
      </c>
      <c r="BN65" s="23">
        <f t="shared" si="56"/>
        <v>8450</v>
      </c>
      <c r="BO65" s="422">
        <f t="shared" si="56"/>
        <v>8450</v>
      </c>
      <c r="BP65" s="23">
        <v>8451</v>
      </c>
      <c r="BQ65" s="23">
        <f t="shared" ref="BQ65:EB65" si="57">BP65-BQ26</f>
        <v>8451</v>
      </c>
      <c r="BR65" s="23">
        <f t="shared" si="57"/>
        <v>8451</v>
      </c>
      <c r="BS65" s="23">
        <f t="shared" si="57"/>
        <v>8451</v>
      </c>
      <c r="BT65" s="23">
        <f t="shared" si="57"/>
        <v>8451</v>
      </c>
      <c r="BU65" s="23">
        <f t="shared" si="57"/>
        <v>8451</v>
      </c>
      <c r="BV65" s="23">
        <f t="shared" si="57"/>
        <v>8451</v>
      </c>
      <c r="BW65" s="23">
        <f t="shared" si="57"/>
        <v>8451</v>
      </c>
      <c r="BX65" s="23">
        <f t="shared" si="57"/>
        <v>8451</v>
      </c>
      <c r="BY65" s="231">
        <f t="shared" si="57"/>
        <v>8451</v>
      </c>
      <c r="BZ65" s="23">
        <f t="shared" si="57"/>
        <v>8451</v>
      </c>
      <c r="CA65" s="23">
        <f t="shared" si="57"/>
        <v>8451</v>
      </c>
      <c r="CB65" s="23">
        <f t="shared" si="57"/>
        <v>8451</v>
      </c>
      <c r="CC65" s="23">
        <f t="shared" si="57"/>
        <v>8451</v>
      </c>
      <c r="CD65" s="23">
        <f t="shared" si="57"/>
        <v>8451</v>
      </c>
      <c r="CE65" s="23">
        <f t="shared" si="57"/>
        <v>8451</v>
      </c>
      <c r="CF65" s="23">
        <f t="shared" si="57"/>
        <v>8451</v>
      </c>
      <c r="CG65" s="23">
        <f t="shared" si="57"/>
        <v>8451</v>
      </c>
      <c r="CH65" s="23">
        <f t="shared" si="57"/>
        <v>8451</v>
      </c>
      <c r="CI65" s="422">
        <f t="shared" si="57"/>
        <v>8451</v>
      </c>
      <c r="CJ65" s="23">
        <v>8452.7199999999993</v>
      </c>
      <c r="CK65" s="23">
        <f t="shared" si="57"/>
        <v>8452.7199999999993</v>
      </c>
      <c r="CL65" s="23">
        <f t="shared" si="57"/>
        <v>8452.7199999999993</v>
      </c>
      <c r="CM65" s="23">
        <f t="shared" si="57"/>
        <v>8452.7199999999993</v>
      </c>
      <c r="CN65" s="23">
        <f t="shared" si="57"/>
        <v>8452.7199999999993</v>
      </c>
      <c r="CO65" s="23">
        <f t="shared" si="57"/>
        <v>8452.7199999999993</v>
      </c>
      <c r="CP65" s="23">
        <f t="shared" si="57"/>
        <v>8452.7199999999993</v>
      </c>
      <c r="CQ65" s="23">
        <f t="shared" si="57"/>
        <v>8452.7199999999993</v>
      </c>
      <c r="CR65" s="23">
        <f t="shared" si="57"/>
        <v>8452.7199999999993</v>
      </c>
      <c r="CS65" s="23">
        <f t="shared" si="57"/>
        <v>8452.7199999999993</v>
      </c>
      <c r="CT65" s="231">
        <f t="shared" si="57"/>
        <v>8452.7199999999993</v>
      </c>
      <c r="CU65" s="23">
        <f t="shared" si="57"/>
        <v>8452.7199999999993</v>
      </c>
      <c r="CV65" s="23">
        <f t="shared" si="57"/>
        <v>8452.7199999999993</v>
      </c>
      <c r="CW65" s="23">
        <f t="shared" si="57"/>
        <v>8452.7199999999993</v>
      </c>
      <c r="CX65" s="23">
        <f t="shared" si="57"/>
        <v>8452.7199999999993</v>
      </c>
      <c r="CY65" s="23">
        <f t="shared" si="57"/>
        <v>8452.7199999999993</v>
      </c>
      <c r="CZ65" s="23">
        <f t="shared" si="57"/>
        <v>8452.7199999999993</v>
      </c>
      <c r="DA65" s="23">
        <f t="shared" si="57"/>
        <v>8452.7199999999993</v>
      </c>
      <c r="DB65" s="23">
        <f t="shared" si="57"/>
        <v>8452.7199999999993</v>
      </c>
      <c r="DC65" s="23">
        <f t="shared" si="57"/>
        <v>8452.7199999999993</v>
      </c>
      <c r="DD65" s="23">
        <f t="shared" si="57"/>
        <v>8452.7199999999993</v>
      </c>
      <c r="DE65" s="422">
        <f t="shared" si="57"/>
        <v>8452.7199999999993</v>
      </c>
      <c r="DF65" s="23">
        <v>8454.0300000000007</v>
      </c>
      <c r="DG65" s="23">
        <f t="shared" si="57"/>
        <v>8454.0300000000007</v>
      </c>
      <c r="DH65" s="23">
        <f t="shared" si="57"/>
        <v>8454.0300000000007</v>
      </c>
      <c r="DI65" s="23">
        <f t="shared" si="57"/>
        <v>8454.0300000000007</v>
      </c>
      <c r="DJ65" s="23">
        <f t="shared" si="57"/>
        <v>8454.0300000000007</v>
      </c>
      <c r="DK65" s="23">
        <f t="shared" si="57"/>
        <v>8454.0300000000007</v>
      </c>
      <c r="DL65" s="23">
        <f t="shared" si="57"/>
        <v>8454.0300000000007</v>
      </c>
      <c r="DM65" s="23">
        <f t="shared" si="57"/>
        <v>8454.0300000000007</v>
      </c>
      <c r="DN65" s="23">
        <f t="shared" si="57"/>
        <v>8454.0300000000007</v>
      </c>
      <c r="DO65" s="231">
        <f t="shared" si="57"/>
        <v>8454.0300000000007</v>
      </c>
      <c r="DP65" s="23">
        <f t="shared" si="57"/>
        <v>8454.0300000000007</v>
      </c>
      <c r="DQ65" s="23">
        <f t="shared" si="57"/>
        <v>8454.0300000000007</v>
      </c>
      <c r="DR65" s="23">
        <f t="shared" si="57"/>
        <v>8454.0300000000007</v>
      </c>
      <c r="DS65" s="23">
        <f t="shared" si="57"/>
        <v>8454.0300000000007</v>
      </c>
      <c r="DT65" s="23">
        <f t="shared" si="57"/>
        <v>8454.0300000000007</v>
      </c>
      <c r="DU65" s="23">
        <f t="shared" si="57"/>
        <v>8454.0300000000007</v>
      </c>
      <c r="DV65" s="23">
        <f t="shared" si="57"/>
        <v>8454.0300000000007</v>
      </c>
      <c r="DW65" s="23">
        <f t="shared" si="57"/>
        <v>8454.0300000000007</v>
      </c>
      <c r="DX65" s="23">
        <f t="shared" si="57"/>
        <v>8454.0300000000007</v>
      </c>
      <c r="DY65" s="23">
        <f t="shared" si="57"/>
        <v>8454.0300000000007</v>
      </c>
      <c r="DZ65" s="422">
        <f t="shared" si="57"/>
        <v>8454.0300000000007</v>
      </c>
      <c r="EA65" s="23">
        <v>8455.61</v>
      </c>
      <c r="EB65" s="23">
        <f t="shared" si="57"/>
        <v>8455.61</v>
      </c>
      <c r="EC65" s="23">
        <f t="shared" ref="EC65:GN65" si="58">EB65-EC26</f>
        <v>8455.61</v>
      </c>
      <c r="ED65" s="23">
        <f t="shared" si="58"/>
        <v>8455.61</v>
      </c>
      <c r="EE65" s="23">
        <f t="shared" si="58"/>
        <v>8455.61</v>
      </c>
      <c r="EF65" s="23">
        <f t="shared" si="58"/>
        <v>8455.61</v>
      </c>
      <c r="EG65" s="23">
        <f t="shared" si="58"/>
        <v>8455.61</v>
      </c>
      <c r="EH65" s="23">
        <f t="shared" si="58"/>
        <v>8455.61</v>
      </c>
      <c r="EI65" s="23">
        <f t="shared" si="58"/>
        <v>8455.61</v>
      </c>
      <c r="EJ65" s="231">
        <f t="shared" si="58"/>
        <v>8455.61</v>
      </c>
      <c r="EK65" s="23">
        <f t="shared" si="58"/>
        <v>8455.61</v>
      </c>
      <c r="EL65" s="23">
        <f t="shared" si="58"/>
        <v>8455.61</v>
      </c>
      <c r="EM65" s="23">
        <f t="shared" si="58"/>
        <v>8455.61</v>
      </c>
      <c r="EN65" s="23">
        <f t="shared" si="58"/>
        <v>8455.61</v>
      </c>
      <c r="EO65" s="23">
        <f t="shared" si="58"/>
        <v>8455.61</v>
      </c>
      <c r="EP65" s="23">
        <f t="shared" si="58"/>
        <v>8455.61</v>
      </c>
      <c r="EQ65" s="23">
        <f t="shared" si="58"/>
        <v>0</v>
      </c>
      <c r="ER65" s="23">
        <f t="shared" si="58"/>
        <v>0</v>
      </c>
      <c r="ES65" s="23">
        <f t="shared" si="58"/>
        <v>0</v>
      </c>
      <c r="ET65" s="23">
        <f t="shared" si="58"/>
        <v>0</v>
      </c>
      <c r="EU65" s="23">
        <v>1.27</v>
      </c>
      <c r="EV65" s="422">
        <f t="shared" si="58"/>
        <v>1.27</v>
      </c>
      <c r="EW65" s="23">
        <f t="shared" si="58"/>
        <v>1.27</v>
      </c>
      <c r="EX65" s="23">
        <f t="shared" si="58"/>
        <v>1.27</v>
      </c>
      <c r="EY65" s="23">
        <f t="shared" si="58"/>
        <v>1.27</v>
      </c>
      <c r="EZ65" s="23">
        <f t="shared" si="58"/>
        <v>1.27</v>
      </c>
      <c r="FA65" s="23">
        <f t="shared" si="58"/>
        <v>1.27</v>
      </c>
      <c r="FB65" s="23">
        <f t="shared" si="58"/>
        <v>1.27</v>
      </c>
      <c r="FC65" s="23">
        <f t="shared" si="58"/>
        <v>1.27</v>
      </c>
      <c r="FD65" s="23">
        <f t="shared" si="58"/>
        <v>1.27</v>
      </c>
      <c r="FE65" s="23">
        <f t="shared" si="58"/>
        <v>1.27</v>
      </c>
      <c r="FF65" s="231">
        <f t="shared" si="58"/>
        <v>1.27</v>
      </c>
      <c r="FG65" s="23">
        <f t="shared" si="58"/>
        <v>1.27</v>
      </c>
      <c r="FH65" s="23">
        <f t="shared" si="58"/>
        <v>1.27</v>
      </c>
      <c r="FI65" s="23">
        <f t="shared" si="58"/>
        <v>1.27</v>
      </c>
      <c r="FJ65" s="23">
        <f t="shared" si="58"/>
        <v>1.27</v>
      </c>
      <c r="FK65" s="23">
        <f t="shared" si="58"/>
        <v>1.27</v>
      </c>
      <c r="FL65" s="23">
        <f t="shared" si="58"/>
        <v>1.27</v>
      </c>
      <c r="FM65" s="23">
        <f t="shared" si="58"/>
        <v>1.27</v>
      </c>
      <c r="FN65" s="23">
        <f>FM65-FN26+5000000</f>
        <v>5000001.2699999996</v>
      </c>
      <c r="FO65" s="23">
        <f>FN65-FO26+15000000</f>
        <v>20000001.27</v>
      </c>
      <c r="FP65" s="23">
        <f t="shared" si="58"/>
        <v>20000001.27</v>
      </c>
      <c r="FQ65" s="422">
        <f t="shared" si="58"/>
        <v>20000001.27</v>
      </c>
      <c r="FR65" s="23">
        <f t="shared" si="58"/>
        <v>20000001.27</v>
      </c>
      <c r="FS65" s="23">
        <f t="shared" si="58"/>
        <v>20000001.27</v>
      </c>
      <c r="FT65" s="23">
        <f t="shared" si="58"/>
        <v>20000001.27</v>
      </c>
      <c r="FU65" s="23">
        <f t="shared" si="58"/>
        <v>20000001.27</v>
      </c>
      <c r="FV65" s="23">
        <f t="shared" si="58"/>
        <v>20000001.27</v>
      </c>
      <c r="FW65" s="23">
        <f t="shared" si="58"/>
        <v>20000001.27</v>
      </c>
      <c r="FX65" s="23">
        <f t="shared" si="58"/>
        <v>20000001.27</v>
      </c>
      <c r="FY65" s="23">
        <f t="shared" si="58"/>
        <v>20000001.27</v>
      </c>
      <c r="FZ65" s="23">
        <f t="shared" si="58"/>
        <v>20000001.27</v>
      </c>
      <c r="GA65" s="231">
        <f t="shared" si="58"/>
        <v>20000001.27</v>
      </c>
      <c r="GB65" s="23">
        <f t="shared" si="58"/>
        <v>20000001.27</v>
      </c>
      <c r="GC65" s="23">
        <f t="shared" si="58"/>
        <v>20000001.27</v>
      </c>
      <c r="GD65" s="23">
        <f t="shared" si="58"/>
        <v>20000001.27</v>
      </c>
      <c r="GE65" s="23">
        <f t="shared" si="58"/>
        <v>20000001.27</v>
      </c>
      <c r="GF65" s="23">
        <f t="shared" si="58"/>
        <v>20000001.27</v>
      </c>
      <c r="GG65" s="23">
        <f t="shared" si="58"/>
        <v>20000001.27</v>
      </c>
      <c r="GH65" s="23">
        <f t="shared" si="58"/>
        <v>20000001.27</v>
      </c>
      <c r="GI65" s="23">
        <f t="shared" si="58"/>
        <v>20000001.27</v>
      </c>
      <c r="GJ65" s="23">
        <f t="shared" si="58"/>
        <v>20000001.27</v>
      </c>
      <c r="GK65" s="422">
        <f t="shared" si="58"/>
        <v>20000001.27</v>
      </c>
      <c r="GL65" s="23">
        <v>20003699.280000001</v>
      </c>
      <c r="GM65" s="23">
        <f t="shared" si="58"/>
        <v>20003699.280000001</v>
      </c>
      <c r="GN65" s="23">
        <f t="shared" si="58"/>
        <v>20003699.280000001</v>
      </c>
      <c r="GO65" s="23">
        <f t="shared" ref="GO65:IV65" si="59">GN65-GO26</f>
        <v>20003699.280000001</v>
      </c>
      <c r="GP65" s="23">
        <f t="shared" si="59"/>
        <v>20003699.280000001</v>
      </c>
      <c r="GQ65" s="23">
        <f t="shared" si="59"/>
        <v>20003699.280000001</v>
      </c>
      <c r="GR65" s="23">
        <f t="shared" si="59"/>
        <v>20003699.280000001</v>
      </c>
      <c r="GS65" s="23">
        <f t="shared" si="59"/>
        <v>20003699.280000001</v>
      </c>
      <c r="GT65" s="23">
        <f t="shared" si="59"/>
        <v>20003699.280000001</v>
      </c>
      <c r="GU65" s="231">
        <f t="shared" si="59"/>
        <v>20003699.280000001</v>
      </c>
      <c r="GV65" s="23">
        <f t="shared" si="59"/>
        <v>20003699.280000001</v>
      </c>
      <c r="GW65" s="23">
        <f t="shared" si="59"/>
        <v>20003699.280000001</v>
      </c>
      <c r="GX65" s="23">
        <f t="shared" si="59"/>
        <v>20003699.280000001</v>
      </c>
      <c r="GY65" s="23">
        <f t="shared" si="59"/>
        <v>20003699.280000001</v>
      </c>
      <c r="GZ65" s="23">
        <f t="shared" si="59"/>
        <v>20003699.280000001</v>
      </c>
      <c r="HA65" s="23">
        <f t="shared" si="59"/>
        <v>20003699.280000001</v>
      </c>
      <c r="HB65" s="23">
        <f t="shared" si="59"/>
        <v>20003699.280000001</v>
      </c>
      <c r="HC65" s="23">
        <f t="shared" si="59"/>
        <v>20003699.280000001</v>
      </c>
      <c r="HD65" s="23">
        <f t="shared" si="59"/>
        <v>20003699.280000001</v>
      </c>
      <c r="HE65" s="422">
        <f t="shared" si="59"/>
        <v>20003699.280000001</v>
      </c>
      <c r="HF65" s="23">
        <f t="shared" si="59"/>
        <v>20003699.280000001</v>
      </c>
      <c r="HG65" s="23">
        <f t="shared" si="59"/>
        <v>20003699.280000001</v>
      </c>
      <c r="HH65" s="23">
        <f t="shared" si="59"/>
        <v>20003699.280000001</v>
      </c>
      <c r="HI65" s="23">
        <v>20006737.91</v>
      </c>
      <c r="HJ65" s="23">
        <f t="shared" si="59"/>
        <v>20006737.91</v>
      </c>
      <c r="HK65" s="23">
        <f t="shared" si="59"/>
        <v>20006737.91</v>
      </c>
      <c r="HL65" s="23">
        <f t="shared" si="59"/>
        <v>20006737.91</v>
      </c>
      <c r="HM65" s="23">
        <f t="shared" si="59"/>
        <v>20006737.91</v>
      </c>
      <c r="HN65" s="23">
        <f t="shared" si="59"/>
        <v>20006737.91</v>
      </c>
      <c r="HO65" s="23">
        <f t="shared" si="59"/>
        <v>20006737.91</v>
      </c>
      <c r="HP65" s="231">
        <f t="shared" si="59"/>
        <v>20006737.91</v>
      </c>
      <c r="HQ65" s="23">
        <f t="shared" si="59"/>
        <v>20006737.91</v>
      </c>
      <c r="HR65" s="23">
        <f t="shared" si="59"/>
        <v>20006737.91</v>
      </c>
      <c r="HS65" s="23">
        <f t="shared" si="59"/>
        <v>20006737.91</v>
      </c>
      <c r="HT65" s="23">
        <f t="shared" si="59"/>
        <v>20006737.91</v>
      </c>
      <c r="HU65" s="23">
        <f t="shared" si="59"/>
        <v>20006737.91</v>
      </c>
      <c r="HV65" s="23">
        <f t="shared" si="59"/>
        <v>20006737.91</v>
      </c>
      <c r="HW65" s="23">
        <f t="shared" si="59"/>
        <v>20006737.91</v>
      </c>
      <c r="HX65" s="23">
        <f>HV65-HX26</f>
        <v>20006737.91</v>
      </c>
      <c r="HY65" s="23">
        <f t="shared" si="59"/>
        <v>20006737.91</v>
      </c>
      <c r="HZ65" s="23">
        <f t="shared" si="59"/>
        <v>20006737.91</v>
      </c>
      <c r="IA65" s="422">
        <f t="shared" si="59"/>
        <v>20006737.91</v>
      </c>
      <c r="IB65" s="23">
        <v>26326.94</v>
      </c>
      <c r="IC65" s="23">
        <f t="shared" si="59"/>
        <v>26326.94</v>
      </c>
      <c r="ID65" s="23">
        <f>IC65-ID26+5256295.75</f>
        <v>5282622.6900000004</v>
      </c>
      <c r="IE65" s="23">
        <f t="shared" si="59"/>
        <v>5282622.6900000004</v>
      </c>
      <c r="IF65" s="23">
        <f t="shared" si="59"/>
        <v>5282622.6900000004</v>
      </c>
      <c r="IG65" s="23">
        <f t="shared" si="59"/>
        <v>5282622.6900000004</v>
      </c>
      <c r="IH65" s="23">
        <f>IG65-IH26+26215.87</f>
        <v>5308838.5600000005</v>
      </c>
      <c r="II65" s="23">
        <f t="shared" si="59"/>
        <v>5308838.5600000005</v>
      </c>
      <c r="IJ65" s="23">
        <f t="shared" si="59"/>
        <v>5308838.5600000005</v>
      </c>
      <c r="IK65" s="23">
        <f t="shared" si="59"/>
        <v>5308838.5600000005</v>
      </c>
      <c r="IL65" s="231">
        <f t="shared" si="59"/>
        <v>5308838.5600000005</v>
      </c>
      <c r="IM65" s="23">
        <v>5316657.18</v>
      </c>
      <c r="IN65" s="23">
        <f t="shared" si="59"/>
        <v>5316657.18</v>
      </c>
      <c r="IO65" s="23">
        <v>0</v>
      </c>
      <c r="IP65" s="23">
        <f t="shared" si="59"/>
        <v>0</v>
      </c>
      <c r="IQ65" s="23">
        <f t="shared" si="59"/>
        <v>0</v>
      </c>
      <c r="IR65" s="23">
        <f t="shared" si="59"/>
        <v>0</v>
      </c>
      <c r="IS65" s="23">
        <f t="shared" si="59"/>
        <v>0</v>
      </c>
      <c r="IT65" s="23">
        <f t="shared" si="59"/>
        <v>0</v>
      </c>
      <c r="IU65" s="23">
        <f t="shared" si="59"/>
        <v>0</v>
      </c>
      <c r="IV65" s="23">
        <f t="shared" si="59"/>
        <v>0</v>
      </c>
      <c r="IW65" s="586"/>
      <c r="IX65" s="23"/>
      <c r="IY65" s="23"/>
      <c r="IZ65" s="23"/>
      <c r="JA65" s="23"/>
      <c r="JB65" s="23"/>
      <c r="JC65" s="23"/>
      <c r="JD65" s="23"/>
      <c r="JE65" s="23"/>
      <c r="JF65" s="23"/>
      <c r="JH65" s="23">
        <f>IW65-JH26</f>
        <v>0</v>
      </c>
      <c r="JI65" s="23"/>
    </row>
    <row r="66" spans="1:269" ht="14.1" customHeight="1">
      <c r="A66" s="9" t="s">
        <v>21</v>
      </c>
      <c r="B66" s="15"/>
      <c r="C66" s="795">
        <v>341966919.95000005</v>
      </c>
      <c r="D66" s="9">
        <f t="shared" ref="D66:BN66" si="60">SUM(D58:D65)</f>
        <v>357778489</v>
      </c>
      <c r="E66" s="9">
        <f t="shared" si="60"/>
        <v>452328489</v>
      </c>
      <c r="F66" s="9">
        <f t="shared" si="60"/>
        <v>483928489</v>
      </c>
      <c r="G66" s="9">
        <f t="shared" si="60"/>
        <v>508628489</v>
      </c>
      <c r="H66" s="9">
        <f t="shared" si="60"/>
        <v>511378489</v>
      </c>
      <c r="I66" s="9">
        <f t="shared" si="60"/>
        <v>515578489</v>
      </c>
      <c r="J66" s="9">
        <f t="shared" si="60"/>
        <v>557228489</v>
      </c>
      <c r="K66" s="9">
        <f t="shared" si="60"/>
        <v>575328489</v>
      </c>
      <c r="L66" s="9">
        <f t="shared" si="60"/>
        <v>589528489</v>
      </c>
      <c r="M66" s="232">
        <f t="shared" si="60"/>
        <v>433128489</v>
      </c>
      <c r="N66" s="9">
        <f t="shared" si="60"/>
        <v>431178489</v>
      </c>
      <c r="O66" s="9">
        <f t="shared" si="60"/>
        <v>430828489</v>
      </c>
      <c r="P66" s="9">
        <f t="shared" si="60"/>
        <v>431028489</v>
      </c>
      <c r="Q66" s="9">
        <f t="shared" si="60"/>
        <v>429428489</v>
      </c>
      <c r="R66" s="9">
        <f t="shared" si="60"/>
        <v>426928489</v>
      </c>
      <c r="S66" s="9">
        <f t="shared" si="60"/>
        <v>438428489</v>
      </c>
      <c r="T66" s="9">
        <f t="shared" si="60"/>
        <v>438228489</v>
      </c>
      <c r="U66" s="9">
        <f t="shared" si="60"/>
        <v>440128489</v>
      </c>
      <c r="V66" s="40">
        <f t="shared" si="60"/>
        <v>438128489</v>
      </c>
      <c r="W66" s="9">
        <f t="shared" si="60"/>
        <v>434659973</v>
      </c>
      <c r="X66" s="9">
        <f t="shared" si="60"/>
        <v>435659973</v>
      </c>
      <c r="Y66" s="9">
        <f t="shared" si="60"/>
        <v>441559973</v>
      </c>
      <c r="Z66" s="9">
        <f t="shared" si="60"/>
        <v>453359973</v>
      </c>
      <c r="AA66" s="9">
        <f t="shared" si="60"/>
        <v>434709973</v>
      </c>
      <c r="AB66" s="9">
        <f t="shared" si="60"/>
        <v>437159973</v>
      </c>
      <c r="AC66" s="9">
        <f t="shared" si="60"/>
        <v>442459973</v>
      </c>
      <c r="AD66" s="9">
        <f t="shared" si="60"/>
        <v>438359973</v>
      </c>
      <c r="AE66" s="9">
        <f t="shared" si="60"/>
        <v>436859973</v>
      </c>
      <c r="AF66" s="9">
        <f t="shared" si="60"/>
        <v>426109973</v>
      </c>
      <c r="AG66" s="232">
        <f t="shared" si="60"/>
        <v>364809973</v>
      </c>
      <c r="AH66" s="9">
        <f t="shared" si="60"/>
        <v>364159973</v>
      </c>
      <c r="AI66" s="9">
        <f t="shared" si="60"/>
        <v>371309973</v>
      </c>
      <c r="AJ66" s="9">
        <f t="shared" si="60"/>
        <v>370509973</v>
      </c>
      <c r="AK66" s="9">
        <f t="shared" si="60"/>
        <v>366609973</v>
      </c>
      <c r="AL66" s="9">
        <f t="shared" si="60"/>
        <v>366609973</v>
      </c>
      <c r="AM66" s="9">
        <f t="shared" si="60"/>
        <v>369259973</v>
      </c>
      <c r="AN66" s="9">
        <f t="shared" si="60"/>
        <v>368859973</v>
      </c>
      <c r="AO66" s="584">
        <f t="shared" si="60"/>
        <v>370009973</v>
      </c>
      <c r="AP66" s="9">
        <f t="shared" si="60"/>
        <v>377509973</v>
      </c>
      <c r="AQ66" s="9">
        <f t="shared" si="60"/>
        <v>370309973</v>
      </c>
      <c r="AR66" s="9">
        <f t="shared" si="60"/>
        <v>371309973</v>
      </c>
      <c r="AS66" s="423">
        <f t="shared" si="60"/>
        <v>371567416.87</v>
      </c>
      <c r="AT66" s="9">
        <f t="shared" si="60"/>
        <v>373538478.10000002</v>
      </c>
      <c r="AU66" s="9">
        <f t="shared" si="60"/>
        <v>388038478.10000002</v>
      </c>
      <c r="AV66" s="9">
        <f t="shared" si="60"/>
        <v>389838478.10000002</v>
      </c>
      <c r="AW66" s="9">
        <f t="shared" si="60"/>
        <v>376538478.10000002</v>
      </c>
      <c r="AX66" s="9">
        <f t="shared" si="60"/>
        <v>377438478.10000002</v>
      </c>
      <c r="AY66" s="9">
        <f t="shared" si="60"/>
        <v>377138478.10000002</v>
      </c>
      <c r="AZ66" s="9">
        <f t="shared" si="60"/>
        <v>376088478.10000002</v>
      </c>
      <c r="BA66" s="9">
        <f t="shared" si="60"/>
        <v>369688478.10000002</v>
      </c>
      <c r="BB66" s="9">
        <f t="shared" si="60"/>
        <v>373188478.10000002</v>
      </c>
      <c r="BC66" s="9">
        <f t="shared" si="60"/>
        <v>369138478.10000002</v>
      </c>
      <c r="BD66" s="232">
        <f t="shared" si="60"/>
        <v>302988478.10000002</v>
      </c>
      <c r="BE66" s="9">
        <f t="shared" si="60"/>
        <v>297688478.10000002</v>
      </c>
      <c r="BF66" s="9">
        <f t="shared" si="60"/>
        <v>300688478.10000002</v>
      </c>
      <c r="BG66" s="9">
        <f t="shared" si="60"/>
        <v>302788478.10000002</v>
      </c>
      <c r="BH66" s="9">
        <f t="shared" si="60"/>
        <v>298638478.10000002</v>
      </c>
      <c r="BI66" s="9">
        <f t="shared" si="60"/>
        <v>298088478.10000002</v>
      </c>
      <c r="BJ66" s="9">
        <f t="shared" si="60"/>
        <v>309538478.10000002</v>
      </c>
      <c r="BK66" s="9">
        <f t="shared" si="60"/>
        <v>305888478.10000002</v>
      </c>
      <c r="BL66" s="9">
        <f t="shared" si="60"/>
        <v>307738478.10000002</v>
      </c>
      <c r="BM66" s="9">
        <f t="shared" si="60"/>
        <v>306488478.10000002</v>
      </c>
      <c r="BN66" s="9">
        <f t="shared" si="60"/>
        <v>302638478.10000002</v>
      </c>
      <c r="BO66" s="423">
        <f t="shared" ref="BO66:DZ66" si="61">SUM(BO58:BO65)</f>
        <v>298788478.10000002</v>
      </c>
      <c r="BP66" s="9">
        <f t="shared" si="61"/>
        <v>305909382</v>
      </c>
      <c r="BQ66" s="9">
        <f t="shared" si="61"/>
        <v>316809382</v>
      </c>
      <c r="BR66" s="9">
        <f t="shared" si="61"/>
        <v>315309382</v>
      </c>
      <c r="BS66" s="9">
        <f t="shared" si="61"/>
        <v>309959382</v>
      </c>
      <c r="BT66" s="9">
        <f t="shared" si="61"/>
        <v>310259382</v>
      </c>
      <c r="BU66" s="9">
        <f t="shared" si="61"/>
        <v>309359382</v>
      </c>
      <c r="BV66" s="9">
        <f t="shared" si="61"/>
        <v>310309382</v>
      </c>
      <c r="BW66" s="9">
        <f t="shared" si="61"/>
        <v>307559382</v>
      </c>
      <c r="BX66" s="9">
        <f t="shared" si="61"/>
        <v>307359382</v>
      </c>
      <c r="BY66" s="232">
        <f t="shared" si="61"/>
        <v>233609382</v>
      </c>
      <c r="BZ66" s="9">
        <f t="shared" si="61"/>
        <v>229759382</v>
      </c>
      <c r="CA66" s="9">
        <f t="shared" si="61"/>
        <v>232409382</v>
      </c>
      <c r="CB66" s="9">
        <f t="shared" si="61"/>
        <v>227409382</v>
      </c>
      <c r="CC66" s="9">
        <f t="shared" si="61"/>
        <v>221709382</v>
      </c>
      <c r="CD66" s="9">
        <f t="shared" si="61"/>
        <v>220259382</v>
      </c>
      <c r="CE66" s="9">
        <f t="shared" si="61"/>
        <v>212259382</v>
      </c>
      <c r="CF66" s="9">
        <f t="shared" si="61"/>
        <v>226759382</v>
      </c>
      <c r="CG66" s="9">
        <f t="shared" si="61"/>
        <v>225359382</v>
      </c>
      <c r="CH66" s="9">
        <f t="shared" si="61"/>
        <v>225359382</v>
      </c>
      <c r="CI66" s="423">
        <f t="shared" si="61"/>
        <v>221459382</v>
      </c>
      <c r="CJ66" s="9">
        <f t="shared" si="61"/>
        <v>218216249.66999999</v>
      </c>
      <c r="CK66" s="9">
        <f t="shared" si="61"/>
        <v>218766249.66999999</v>
      </c>
      <c r="CL66" s="9">
        <f t="shared" si="61"/>
        <v>214966249.66999999</v>
      </c>
      <c r="CM66" s="9">
        <f t="shared" si="61"/>
        <v>206566249.66999999</v>
      </c>
      <c r="CN66" s="9">
        <f t="shared" si="61"/>
        <v>206566249.66999999</v>
      </c>
      <c r="CO66" s="9">
        <f t="shared" si="61"/>
        <v>212766249.66999999</v>
      </c>
      <c r="CP66" s="9">
        <f t="shared" si="61"/>
        <v>211366249.66999999</v>
      </c>
      <c r="CQ66" s="9">
        <f t="shared" si="61"/>
        <v>210366249.66999999</v>
      </c>
      <c r="CR66" s="9">
        <f t="shared" si="61"/>
        <v>205866249.66999999</v>
      </c>
      <c r="CS66" s="9">
        <f t="shared" si="61"/>
        <v>203766249.66999999</v>
      </c>
      <c r="CT66" s="232">
        <f t="shared" si="61"/>
        <v>155316249.66999999</v>
      </c>
      <c r="CU66" s="9">
        <f t="shared" si="61"/>
        <v>139516249.66999999</v>
      </c>
      <c r="CV66" s="9">
        <f t="shared" si="61"/>
        <v>139916249.66999999</v>
      </c>
      <c r="CW66" s="9">
        <f t="shared" si="61"/>
        <v>137266249.66999999</v>
      </c>
      <c r="CX66" s="9">
        <f t="shared" si="61"/>
        <v>136866249.66999999</v>
      </c>
      <c r="CY66" s="9">
        <f t="shared" si="61"/>
        <v>145166249.66999999</v>
      </c>
      <c r="CZ66" s="9">
        <f t="shared" si="61"/>
        <v>140916249.66999999</v>
      </c>
      <c r="DA66" s="9">
        <f t="shared" si="61"/>
        <v>137666249.66999999</v>
      </c>
      <c r="DB66" s="9">
        <f t="shared" si="61"/>
        <v>140566249.66999999</v>
      </c>
      <c r="DC66" s="9">
        <f t="shared" si="61"/>
        <v>140166249.66999999</v>
      </c>
      <c r="DD66" s="9">
        <f t="shared" si="61"/>
        <v>143466249.66999999</v>
      </c>
      <c r="DE66" s="423">
        <f t="shared" si="61"/>
        <v>135966249.66999999</v>
      </c>
      <c r="DF66" s="9">
        <f t="shared" si="61"/>
        <v>134814157.57000002</v>
      </c>
      <c r="DG66" s="9">
        <f t="shared" si="61"/>
        <v>133864157.57000002</v>
      </c>
      <c r="DH66" s="9">
        <f t="shared" si="61"/>
        <v>132114157.57000002</v>
      </c>
      <c r="DI66" s="9">
        <f t="shared" si="61"/>
        <v>132664157.57000002</v>
      </c>
      <c r="DJ66" s="9">
        <f t="shared" si="61"/>
        <v>132114157.57000002</v>
      </c>
      <c r="DK66" s="9">
        <f t="shared" si="61"/>
        <v>130914157.57000002</v>
      </c>
      <c r="DL66" s="9">
        <f t="shared" si="61"/>
        <v>130064157.57000002</v>
      </c>
      <c r="DM66" s="9">
        <f t="shared" si="61"/>
        <v>135914157.57000002</v>
      </c>
      <c r="DN66" s="9">
        <f t="shared" si="61"/>
        <v>129914157.57000002</v>
      </c>
      <c r="DO66" s="232">
        <f t="shared" si="61"/>
        <v>75414157.569999993</v>
      </c>
      <c r="DP66" s="9">
        <f t="shared" si="61"/>
        <v>47414157.569999993</v>
      </c>
      <c r="DQ66" s="9">
        <f t="shared" si="61"/>
        <v>67914157.569999993</v>
      </c>
      <c r="DR66" s="9">
        <f t="shared" si="61"/>
        <v>68414157.569999993</v>
      </c>
      <c r="DS66" s="9">
        <f t="shared" si="61"/>
        <v>65214157.569999993</v>
      </c>
      <c r="DT66" s="9">
        <f t="shared" si="61"/>
        <v>63414157.569999993</v>
      </c>
      <c r="DU66" s="9">
        <f t="shared" si="61"/>
        <v>55564157.569999993</v>
      </c>
      <c r="DV66" s="9">
        <f t="shared" si="61"/>
        <v>60364157.569999993</v>
      </c>
      <c r="DW66" s="9">
        <f t="shared" si="61"/>
        <v>65914157.569999993</v>
      </c>
      <c r="DX66" s="9">
        <f t="shared" si="61"/>
        <v>62114157.569999993</v>
      </c>
      <c r="DY66" s="9">
        <f t="shared" si="61"/>
        <v>61864157.569999993</v>
      </c>
      <c r="DZ66" s="423">
        <f t="shared" si="61"/>
        <v>57764157.569999993</v>
      </c>
      <c r="EA66" s="9">
        <f t="shared" ref="EA66:GL66" si="62">SUM(EA58:EA65)</f>
        <v>55895402.309999995</v>
      </c>
      <c r="EB66" s="9">
        <f t="shared" si="62"/>
        <v>54745402.309999995</v>
      </c>
      <c r="EC66" s="9">
        <f t="shared" si="62"/>
        <v>54495402.309999995</v>
      </c>
      <c r="ED66" s="9">
        <f t="shared" si="62"/>
        <v>53595402.309999995</v>
      </c>
      <c r="EE66" s="9">
        <f t="shared" si="62"/>
        <v>34495402.309999995</v>
      </c>
      <c r="EF66" s="9">
        <f t="shared" si="62"/>
        <v>43545402.309999995</v>
      </c>
      <c r="EG66" s="9">
        <f t="shared" si="62"/>
        <v>76195402.309999987</v>
      </c>
      <c r="EH66" s="9">
        <f t="shared" si="62"/>
        <v>73045402.309999987</v>
      </c>
      <c r="EI66" s="9">
        <f t="shared" si="62"/>
        <v>73045402.309999987</v>
      </c>
      <c r="EJ66" s="232">
        <f t="shared" si="62"/>
        <v>20345402.309999999</v>
      </c>
      <c r="EK66" s="9">
        <f t="shared" si="62"/>
        <v>12295402.309999997</v>
      </c>
      <c r="EL66" s="9">
        <f t="shared" si="62"/>
        <v>11595402.309999997</v>
      </c>
      <c r="EM66" s="9">
        <f t="shared" si="62"/>
        <v>5795402.3099999977</v>
      </c>
      <c r="EN66" s="9">
        <f t="shared" si="62"/>
        <v>5795402.3099999977</v>
      </c>
      <c r="EO66" s="9">
        <f t="shared" si="62"/>
        <v>3795402.3099999968</v>
      </c>
      <c r="EP66" s="9">
        <f t="shared" si="62"/>
        <v>2496224.279999997</v>
      </c>
      <c r="EQ66" s="9">
        <f t="shared" si="62"/>
        <v>0.73999999722322141</v>
      </c>
      <c r="ER66" s="9">
        <f t="shared" si="62"/>
        <v>48200000.740000002</v>
      </c>
      <c r="ES66" s="9">
        <f t="shared" si="62"/>
        <v>48400000.740000002</v>
      </c>
      <c r="ET66" s="9">
        <f t="shared" si="62"/>
        <v>48200000.740000002</v>
      </c>
      <c r="EU66" s="9">
        <f t="shared" si="62"/>
        <v>43686149.100000001</v>
      </c>
      <c r="EV66" s="423">
        <f t="shared" si="62"/>
        <v>47247227.890000001</v>
      </c>
      <c r="EW66" s="9">
        <f t="shared" si="62"/>
        <v>44747227.890000001</v>
      </c>
      <c r="EX66" s="9">
        <f t="shared" si="62"/>
        <v>44147227.890000001</v>
      </c>
      <c r="EY66" s="9">
        <f t="shared" si="62"/>
        <v>28347227.890000001</v>
      </c>
      <c r="EZ66" s="9">
        <f t="shared" si="62"/>
        <v>24497227.890000001</v>
      </c>
      <c r="FA66" s="9">
        <f t="shared" si="62"/>
        <v>30547227.890000001</v>
      </c>
      <c r="FB66" s="9">
        <f t="shared" si="62"/>
        <v>27547227.890000001</v>
      </c>
      <c r="FC66" s="9">
        <f t="shared" si="62"/>
        <v>99897227.889999986</v>
      </c>
      <c r="FD66" s="9">
        <f t="shared" si="62"/>
        <v>96647227.889999986</v>
      </c>
      <c r="FE66" s="9">
        <f t="shared" si="62"/>
        <v>101047227.88999999</v>
      </c>
      <c r="FF66" s="232">
        <f t="shared" si="62"/>
        <v>37147227.889999993</v>
      </c>
      <c r="FG66" s="9">
        <f t="shared" si="62"/>
        <v>26947227.889999993</v>
      </c>
      <c r="FH66" s="9">
        <f t="shared" si="62"/>
        <v>24047227.889999993</v>
      </c>
      <c r="FI66" s="9">
        <f t="shared" si="62"/>
        <v>27747227.889999993</v>
      </c>
      <c r="FJ66" s="9">
        <f t="shared" si="62"/>
        <v>26747227.889999993</v>
      </c>
      <c r="FK66" s="9">
        <f t="shared" si="62"/>
        <v>18047227.889999993</v>
      </c>
      <c r="FL66" s="9">
        <f t="shared" si="62"/>
        <v>17547227.889999993</v>
      </c>
      <c r="FM66" s="9">
        <f t="shared" si="62"/>
        <v>17097227.889999993</v>
      </c>
      <c r="FN66" s="9">
        <f t="shared" si="62"/>
        <v>123597227.88999999</v>
      </c>
      <c r="FO66" s="9">
        <f t="shared" si="62"/>
        <v>189317227.88999999</v>
      </c>
      <c r="FP66" s="9">
        <f t="shared" si="62"/>
        <v>187497227.88999999</v>
      </c>
      <c r="FQ66" s="423">
        <f t="shared" si="62"/>
        <v>187097227.88999999</v>
      </c>
      <c r="FR66" s="9">
        <f t="shared" si="62"/>
        <v>182197227.88999999</v>
      </c>
      <c r="FS66" s="9">
        <f t="shared" si="62"/>
        <v>185197227.88999999</v>
      </c>
      <c r="FT66" s="9">
        <f t="shared" si="62"/>
        <v>186447227.88999999</v>
      </c>
      <c r="FU66" s="9">
        <f t="shared" si="62"/>
        <v>167147227.88999999</v>
      </c>
      <c r="FV66" s="9">
        <f t="shared" si="62"/>
        <v>169847227.88999999</v>
      </c>
      <c r="FW66" s="9">
        <f t="shared" si="62"/>
        <v>165347227.89000002</v>
      </c>
      <c r="FX66" s="9">
        <f t="shared" si="62"/>
        <v>166847227.88999999</v>
      </c>
      <c r="FY66" s="9">
        <f t="shared" si="62"/>
        <v>165297227.89000002</v>
      </c>
      <c r="FZ66" s="9">
        <f t="shared" si="62"/>
        <v>165597227.89000002</v>
      </c>
      <c r="GA66" s="232">
        <f t="shared" si="62"/>
        <v>106097227.88999999</v>
      </c>
      <c r="GB66" s="9">
        <f t="shared" si="62"/>
        <v>97047227.889999986</v>
      </c>
      <c r="GC66" s="9">
        <f t="shared" si="62"/>
        <v>109747227.88999999</v>
      </c>
      <c r="GD66" s="9">
        <f t="shared" si="62"/>
        <v>110247227.88999999</v>
      </c>
      <c r="GE66" s="9">
        <f t="shared" si="62"/>
        <v>103447227.88999999</v>
      </c>
      <c r="GF66" s="9">
        <f t="shared" si="62"/>
        <v>104097227.88999999</v>
      </c>
      <c r="GG66" s="9">
        <f t="shared" si="62"/>
        <v>163997227.89000002</v>
      </c>
      <c r="GH66" s="9">
        <f t="shared" si="62"/>
        <v>176597227.88999999</v>
      </c>
      <c r="GI66" s="9">
        <f t="shared" si="62"/>
        <v>175247227.88999999</v>
      </c>
      <c r="GJ66" s="9">
        <f t="shared" si="62"/>
        <v>182197227.88999999</v>
      </c>
      <c r="GK66" s="423">
        <f t="shared" si="62"/>
        <v>178047227.88999999</v>
      </c>
      <c r="GL66" s="9">
        <f t="shared" si="62"/>
        <v>177878709.09999999</v>
      </c>
      <c r="GM66" s="9">
        <f t="shared" ref="GM66:JH66" si="63">SUM(GM58:GM65)</f>
        <v>178128709.09999999</v>
      </c>
      <c r="GN66" s="9">
        <f t="shared" si="63"/>
        <v>175828709.09999999</v>
      </c>
      <c r="GO66" s="9">
        <f t="shared" si="63"/>
        <v>177228709.09999999</v>
      </c>
      <c r="GP66" s="9">
        <f t="shared" si="63"/>
        <v>162528709.09999999</v>
      </c>
      <c r="GQ66" s="9">
        <f t="shared" si="63"/>
        <v>161592043.59999999</v>
      </c>
      <c r="GR66" s="9">
        <f t="shared" si="63"/>
        <v>160992043.59999999</v>
      </c>
      <c r="GS66" s="9">
        <f t="shared" si="63"/>
        <v>155092043.59999999</v>
      </c>
      <c r="GT66" s="9">
        <f t="shared" si="63"/>
        <v>155092043.59999999</v>
      </c>
      <c r="GU66" s="232">
        <f t="shared" si="63"/>
        <v>107792043.60000001</v>
      </c>
      <c r="GV66" s="9">
        <f t="shared" si="63"/>
        <v>122642043.59999999</v>
      </c>
      <c r="GW66" s="9">
        <f t="shared" si="63"/>
        <v>118442043.59999999</v>
      </c>
      <c r="GX66" s="9">
        <f t="shared" si="63"/>
        <v>120092043.59999999</v>
      </c>
      <c r="GY66" s="9">
        <f t="shared" si="63"/>
        <v>121742043.59999999</v>
      </c>
      <c r="GZ66" s="9">
        <f t="shared" si="63"/>
        <v>109342043.60000001</v>
      </c>
      <c r="HA66" s="9">
        <f t="shared" si="63"/>
        <v>105742043.60000001</v>
      </c>
      <c r="HB66" s="9">
        <f t="shared" si="63"/>
        <v>105742043.60000001</v>
      </c>
      <c r="HC66" s="9">
        <f t="shared" si="63"/>
        <v>116342043.59999999</v>
      </c>
      <c r="HD66" s="9">
        <f t="shared" si="63"/>
        <v>131142043.59999999</v>
      </c>
      <c r="HE66" s="423">
        <f t="shared" si="63"/>
        <v>131142043.59999999</v>
      </c>
      <c r="HF66" s="9">
        <f t="shared" si="63"/>
        <v>128042043.59999999</v>
      </c>
      <c r="HG66" s="9">
        <f t="shared" si="63"/>
        <v>126442043.59999999</v>
      </c>
      <c r="HH66" s="9">
        <f t="shared" si="63"/>
        <v>127742043.59999999</v>
      </c>
      <c r="HI66" s="9">
        <f t="shared" si="63"/>
        <v>115255846.71999998</v>
      </c>
      <c r="HJ66" s="9">
        <f t="shared" si="63"/>
        <v>117055846.71999998</v>
      </c>
      <c r="HK66" s="9">
        <f t="shared" si="63"/>
        <v>114955846.71999998</v>
      </c>
      <c r="HL66" s="9">
        <f t="shared" si="63"/>
        <v>117255846.71999998</v>
      </c>
      <c r="HM66" s="9">
        <f t="shared" si="63"/>
        <v>118455846.71999998</v>
      </c>
      <c r="HN66" s="9">
        <f t="shared" si="63"/>
        <v>121655846.71999998</v>
      </c>
      <c r="HO66" s="9">
        <f t="shared" si="63"/>
        <v>123355846.71999998</v>
      </c>
      <c r="HP66" s="232">
        <f t="shared" si="63"/>
        <v>78705846.719999984</v>
      </c>
      <c r="HQ66" s="9">
        <f t="shared" si="63"/>
        <v>73305846.719999984</v>
      </c>
      <c r="HR66" s="9">
        <f t="shared" si="63"/>
        <v>77405846.719999984</v>
      </c>
      <c r="HS66" s="9">
        <f t="shared" si="63"/>
        <v>64505846.719999984</v>
      </c>
      <c r="HT66" s="9">
        <f t="shared" si="63"/>
        <v>73505846.719999984</v>
      </c>
      <c r="HU66" s="9">
        <f t="shared" si="63"/>
        <v>78405846.719999984</v>
      </c>
      <c r="HV66" s="9">
        <f t="shared" si="63"/>
        <v>83105846.719999984</v>
      </c>
      <c r="HW66" s="9">
        <f t="shared" ref="HW66" si="64">SUM(HW58:HW65)</f>
        <v>83105846.719999984</v>
      </c>
      <c r="HX66" s="9">
        <f t="shared" si="63"/>
        <v>88005846.719999999</v>
      </c>
      <c r="HY66" s="9">
        <f t="shared" si="63"/>
        <v>87805846.719999999</v>
      </c>
      <c r="HZ66" s="9">
        <f t="shared" si="63"/>
        <v>89405846.719999999</v>
      </c>
      <c r="IA66" s="423">
        <f t="shared" si="63"/>
        <v>142405846.72</v>
      </c>
      <c r="IB66" s="9">
        <f t="shared" ref="IB66" si="65">SUM(IB58:IB65)</f>
        <v>154551835.51999998</v>
      </c>
      <c r="IC66" s="9">
        <f t="shared" si="63"/>
        <v>207851835.51999998</v>
      </c>
      <c r="ID66" s="9">
        <f t="shared" si="63"/>
        <v>226370652.56</v>
      </c>
      <c r="IE66" s="9">
        <f t="shared" si="63"/>
        <v>237070652.56</v>
      </c>
      <c r="IF66" s="9">
        <f t="shared" si="63"/>
        <v>236220652.56</v>
      </c>
      <c r="IG66" s="9">
        <f t="shared" si="63"/>
        <v>245220652.56</v>
      </c>
      <c r="IH66" s="9">
        <f t="shared" si="63"/>
        <v>247590114.22</v>
      </c>
      <c r="II66" s="9">
        <f t="shared" si="63"/>
        <v>259790114.22</v>
      </c>
      <c r="IJ66" s="9">
        <f t="shared" si="63"/>
        <v>268890114.21999997</v>
      </c>
      <c r="IK66" s="9">
        <f t="shared" si="63"/>
        <v>276890114.22000003</v>
      </c>
      <c r="IL66" s="232">
        <f t="shared" si="63"/>
        <v>227490114.22</v>
      </c>
      <c r="IM66" s="9">
        <f t="shared" si="63"/>
        <v>223912173.56</v>
      </c>
      <c r="IN66" s="9">
        <f t="shared" si="63"/>
        <v>237212173.56</v>
      </c>
      <c r="IO66" s="9">
        <f t="shared" si="63"/>
        <v>248195516.38</v>
      </c>
      <c r="IP66" s="9">
        <f t="shared" si="63"/>
        <v>261995516.38</v>
      </c>
      <c r="IQ66" s="9">
        <f t="shared" si="63"/>
        <v>272995516.38000005</v>
      </c>
      <c r="IR66" s="9">
        <f t="shared" si="63"/>
        <v>291895516.38000005</v>
      </c>
      <c r="IS66" s="9">
        <f t="shared" si="63"/>
        <v>307095516.38000005</v>
      </c>
      <c r="IT66" s="9">
        <f t="shared" si="63"/>
        <v>325095516.38000005</v>
      </c>
      <c r="IU66" s="9">
        <f t="shared" si="63"/>
        <v>352795516.38</v>
      </c>
      <c r="IV66" s="9">
        <f t="shared" si="63"/>
        <v>392268112</v>
      </c>
      <c r="IW66" s="9"/>
      <c r="IX66" s="9"/>
      <c r="IY66" s="9"/>
      <c r="IZ66" s="9"/>
      <c r="JA66" s="9"/>
      <c r="JB66" s="9"/>
      <c r="JC66" s="9"/>
      <c r="JD66" s="9"/>
      <c r="JE66" s="9"/>
      <c r="JF66" s="9"/>
      <c r="JH66" s="9" t="e">
        <f t="shared" si="63"/>
        <v>#REF!</v>
      </c>
      <c r="JI66" s="9"/>
    </row>
    <row r="67" spans="1:269" ht="15" thickBot="1">
      <c r="C67" s="796"/>
      <c r="M67" s="213"/>
      <c r="AG67" s="213"/>
      <c r="BD67" s="213"/>
      <c r="BY67" s="213"/>
      <c r="CT67" s="213"/>
      <c r="CZ67" s="8"/>
      <c r="DO67" s="213"/>
      <c r="DR67" s="8"/>
      <c r="EB67" s="8"/>
      <c r="EJ67" s="213"/>
      <c r="EK67" s="140"/>
      <c r="EQ67" s="8"/>
      <c r="FD67" s="8"/>
      <c r="FF67" s="213"/>
      <c r="FJ67" s="140"/>
      <c r="GA67" s="213"/>
      <c r="GU67" s="213"/>
      <c r="HP67" s="213"/>
      <c r="IL67" s="213"/>
      <c r="IX67" s="773"/>
      <c r="IY67" s="140"/>
      <c r="IZ67" s="140"/>
      <c r="JA67" s="140"/>
      <c r="JB67" s="140"/>
      <c r="JC67" s="140"/>
      <c r="JD67" s="140"/>
      <c r="JE67" s="140"/>
      <c r="JF67" s="140"/>
    </row>
    <row r="68" spans="1:269" s="149" customFormat="1" ht="16.5">
      <c r="A68" s="62" t="s">
        <v>220</v>
      </c>
      <c r="B68" s="63"/>
      <c r="C68" s="233">
        <v>342068647.99749988</v>
      </c>
      <c r="D68" s="61">
        <f t="shared" ref="D68:BN68" si="66">D54+D66</f>
        <v>359288719.04749984</v>
      </c>
      <c r="E68" s="61">
        <f t="shared" si="66"/>
        <v>452740390.08749986</v>
      </c>
      <c r="F68" s="61">
        <f t="shared" si="66"/>
        <v>484117889.0474999</v>
      </c>
      <c r="G68" s="61">
        <f t="shared" si="66"/>
        <v>508815687.0474999</v>
      </c>
      <c r="H68" s="61">
        <f t="shared" si="66"/>
        <v>511511377.0474999</v>
      </c>
      <c r="I68" s="61">
        <f t="shared" si="66"/>
        <v>515723091.0474999</v>
      </c>
      <c r="J68" s="61">
        <f t="shared" si="66"/>
        <v>557382288.0474999</v>
      </c>
      <c r="K68" s="61">
        <f t="shared" si="66"/>
        <v>575500201.0474999</v>
      </c>
      <c r="L68" s="61">
        <f t="shared" si="66"/>
        <v>589649498.0474999</v>
      </c>
      <c r="M68" s="233">
        <f t="shared" si="66"/>
        <v>433234275.0474999</v>
      </c>
      <c r="N68" s="61">
        <f t="shared" si="66"/>
        <v>431280536.0474999</v>
      </c>
      <c r="O68" s="61">
        <f t="shared" si="66"/>
        <v>430936336.0474999</v>
      </c>
      <c r="P68" s="61">
        <f t="shared" si="66"/>
        <v>431138210.0474999</v>
      </c>
      <c r="Q68" s="61">
        <f t="shared" si="66"/>
        <v>429539309.0474999</v>
      </c>
      <c r="R68" s="61">
        <f t="shared" si="66"/>
        <v>430796667.0474999</v>
      </c>
      <c r="S68" s="61">
        <f t="shared" si="66"/>
        <v>438958476.39749986</v>
      </c>
      <c r="T68" s="61">
        <f t="shared" si="66"/>
        <v>438558821.64749986</v>
      </c>
      <c r="U68" s="61">
        <f t="shared" si="66"/>
        <v>440245145.99749988</v>
      </c>
      <c r="V68" s="61">
        <f t="shared" si="66"/>
        <v>438342365.99749988</v>
      </c>
      <c r="W68" s="61">
        <f t="shared" si="66"/>
        <v>434901800.99749988</v>
      </c>
      <c r="X68" s="61">
        <f t="shared" si="66"/>
        <v>435824917.99749988</v>
      </c>
      <c r="Y68" s="61">
        <f t="shared" si="66"/>
        <v>441674596.99749988</v>
      </c>
      <c r="Z68" s="61">
        <f t="shared" si="66"/>
        <v>453525640.99749988</v>
      </c>
      <c r="AA68" s="61">
        <f t="shared" si="66"/>
        <v>434899230.99749988</v>
      </c>
      <c r="AB68" s="61">
        <f t="shared" si="66"/>
        <v>437309443.99749988</v>
      </c>
      <c r="AC68" s="61">
        <f t="shared" si="66"/>
        <v>442669870.99749988</v>
      </c>
      <c r="AD68" s="61">
        <f t="shared" si="66"/>
        <v>438525537.99749988</v>
      </c>
      <c r="AE68" s="61">
        <f t="shared" si="66"/>
        <v>436978643.99749988</v>
      </c>
      <c r="AF68" s="61">
        <f t="shared" si="66"/>
        <v>426217055.99749988</v>
      </c>
      <c r="AG68" s="233">
        <f t="shared" si="66"/>
        <v>364939954.99749988</v>
      </c>
      <c r="AH68" s="61">
        <f t="shared" si="66"/>
        <v>364264332.99749988</v>
      </c>
      <c r="AI68" s="61">
        <f t="shared" si="66"/>
        <v>371410245.99749988</v>
      </c>
      <c r="AJ68" s="61">
        <f t="shared" si="66"/>
        <v>370609973.99749988</v>
      </c>
      <c r="AK68" s="61">
        <f t="shared" si="66"/>
        <v>366709972.99749988</v>
      </c>
      <c r="AL68" s="61">
        <f t="shared" si="66"/>
        <v>366709972.99749988</v>
      </c>
      <c r="AM68" s="61">
        <f t="shared" si="66"/>
        <v>369360800.99749988</v>
      </c>
      <c r="AN68" s="61">
        <f t="shared" si="66"/>
        <v>369006213.99749988</v>
      </c>
      <c r="AO68" s="585">
        <f t="shared" si="66"/>
        <v>370120565.99749988</v>
      </c>
      <c r="AP68" s="61">
        <f t="shared" si="66"/>
        <v>377670689.99749988</v>
      </c>
      <c r="AQ68" s="61">
        <f t="shared" si="66"/>
        <v>370493615.99749988</v>
      </c>
      <c r="AR68" s="61">
        <f t="shared" si="66"/>
        <v>371528674.99749988</v>
      </c>
      <c r="AS68" s="61">
        <f t="shared" si="66"/>
        <v>371946667.6674999</v>
      </c>
      <c r="AT68" s="61">
        <f t="shared" si="66"/>
        <v>373641808.09749991</v>
      </c>
      <c r="AU68" s="61">
        <f t="shared" si="66"/>
        <v>388195901.09749991</v>
      </c>
      <c r="AV68" s="61">
        <f t="shared" si="66"/>
        <v>389950344.09749991</v>
      </c>
      <c r="AW68" s="61">
        <f t="shared" si="66"/>
        <v>376693796.09749991</v>
      </c>
      <c r="AX68" s="61">
        <f t="shared" si="66"/>
        <v>377599079.09749991</v>
      </c>
      <c r="AY68" s="61">
        <f t="shared" si="66"/>
        <v>377277801.09749991</v>
      </c>
      <c r="AZ68" s="61">
        <f t="shared" si="66"/>
        <v>376255029.09749991</v>
      </c>
      <c r="BA68" s="61">
        <f t="shared" si="66"/>
        <v>369812053.09749991</v>
      </c>
      <c r="BB68" s="61">
        <f t="shared" si="66"/>
        <v>373554558.09749991</v>
      </c>
      <c r="BC68" s="61">
        <f t="shared" si="66"/>
        <v>369261350.09749991</v>
      </c>
      <c r="BD68" s="233">
        <f t="shared" si="66"/>
        <v>303108284.6674999</v>
      </c>
      <c r="BE68" s="61">
        <f t="shared" si="66"/>
        <v>297825774.6674999</v>
      </c>
      <c r="BF68" s="61">
        <f t="shared" si="66"/>
        <v>301005843.6674999</v>
      </c>
      <c r="BG68" s="61">
        <f t="shared" si="66"/>
        <v>302914914.6674999</v>
      </c>
      <c r="BH68" s="61">
        <f t="shared" si="66"/>
        <v>298744986.6674999</v>
      </c>
      <c r="BI68" s="61">
        <f t="shared" si="66"/>
        <v>298197201.6674999</v>
      </c>
      <c r="BJ68" s="61">
        <f t="shared" si="66"/>
        <v>309682249.6674999</v>
      </c>
      <c r="BK68" s="61">
        <f t="shared" si="66"/>
        <v>305997571.6674999</v>
      </c>
      <c r="BL68" s="61">
        <f t="shared" si="66"/>
        <v>307854114.6674999</v>
      </c>
      <c r="BM68" s="61">
        <f t="shared" si="66"/>
        <v>308665091.98749989</v>
      </c>
      <c r="BN68" s="61">
        <f t="shared" si="66"/>
        <v>302932039.67749989</v>
      </c>
      <c r="BO68" s="61">
        <f t="shared" ref="BO68:DZ68" si="67">BO54+BO66</f>
        <v>299085037.09749991</v>
      </c>
      <c r="BP68" s="61">
        <f t="shared" si="67"/>
        <v>306206071.69749987</v>
      </c>
      <c r="BQ68" s="61">
        <f t="shared" si="67"/>
        <v>317137217.13749987</v>
      </c>
      <c r="BR68" s="61">
        <f t="shared" si="67"/>
        <v>315601249.03749985</v>
      </c>
      <c r="BS68" s="61">
        <f t="shared" si="67"/>
        <v>310249096.64749986</v>
      </c>
      <c r="BT68" s="61">
        <f t="shared" si="67"/>
        <v>310596451.76749986</v>
      </c>
      <c r="BU68" s="61">
        <f t="shared" si="67"/>
        <v>309624907.09749985</v>
      </c>
      <c r="BV68" s="61">
        <f t="shared" si="67"/>
        <v>310621780.03749985</v>
      </c>
      <c r="BW68" s="61">
        <f t="shared" si="67"/>
        <v>307999083.09749985</v>
      </c>
      <c r="BX68" s="61">
        <f t="shared" si="67"/>
        <v>307643293.77749985</v>
      </c>
      <c r="BY68" s="233">
        <f t="shared" si="67"/>
        <v>233922428.63749987</v>
      </c>
      <c r="BZ68" s="61">
        <f t="shared" si="67"/>
        <v>230123664.70749986</v>
      </c>
      <c r="CA68" s="61">
        <f t="shared" si="67"/>
        <v>232726392.29749987</v>
      </c>
      <c r="CB68" s="61">
        <f t="shared" si="67"/>
        <v>227769450.47749984</v>
      </c>
      <c r="CC68" s="61">
        <f t="shared" si="67"/>
        <v>222132942.44749984</v>
      </c>
      <c r="CD68" s="61">
        <f t="shared" si="67"/>
        <v>220583005.81749985</v>
      </c>
      <c r="CE68" s="61">
        <f t="shared" si="67"/>
        <v>212556932.71749985</v>
      </c>
      <c r="CF68" s="61">
        <f t="shared" si="67"/>
        <v>227074129.34749985</v>
      </c>
      <c r="CG68" s="61">
        <f t="shared" si="67"/>
        <v>226534234.42749986</v>
      </c>
      <c r="CH68" s="61">
        <f t="shared" si="67"/>
        <v>225788035.64749986</v>
      </c>
      <c r="CI68" s="61">
        <f t="shared" si="67"/>
        <v>221781289.56749985</v>
      </c>
      <c r="CJ68" s="61">
        <f t="shared" si="67"/>
        <v>218502857.81749985</v>
      </c>
      <c r="CK68" s="61">
        <f t="shared" si="67"/>
        <v>219112023.48749983</v>
      </c>
      <c r="CL68" s="61">
        <f t="shared" si="67"/>
        <v>215380961.56549984</v>
      </c>
      <c r="CM68" s="61">
        <f t="shared" si="67"/>
        <v>206909313.09549984</v>
      </c>
      <c r="CN68" s="61">
        <f t="shared" si="67"/>
        <v>206960767.43549985</v>
      </c>
      <c r="CO68" s="61">
        <f t="shared" si="67"/>
        <v>213077991.72549984</v>
      </c>
      <c r="CP68" s="61">
        <f t="shared" si="67"/>
        <v>211611074.41549984</v>
      </c>
      <c r="CQ68" s="61">
        <f t="shared" si="67"/>
        <v>210705072.78549984</v>
      </c>
      <c r="CR68" s="61">
        <f t="shared" si="67"/>
        <v>206167512.86549985</v>
      </c>
      <c r="CS68" s="61">
        <f t="shared" si="67"/>
        <v>204014368.00549984</v>
      </c>
      <c r="CT68" s="233">
        <f t="shared" si="67"/>
        <v>155615232.46549985</v>
      </c>
      <c r="CU68" s="61">
        <f t="shared" si="67"/>
        <v>139792686.24549985</v>
      </c>
      <c r="CV68" s="61">
        <f t="shared" si="67"/>
        <v>140199480.83549985</v>
      </c>
      <c r="CW68" s="61">
        <f t="shared" si="67"/>
        <v>137544830.53549984</v>
      </c>
      <c r="CX68" s="61">
        <f t="shared" si="67"/>
        <v>137133267.83549985</v>
      </c>
      <c r="CY68" s="61">
        <f t="shared" si="67"/>
        <v>145643649.62549984</v>
      </c>
      <c r="CZ68" s="61">
        <f t="shared" si="67"/>
        <v>141213356.25549984</v>
      </c>
      <c r="DA68" s="61">
        <f t="shared" si="67"/>
        <v>140377580.96549985</v>
      </c>
      <c r="DB68" s="61">
        <f t="shared" si="67"/>
        <v>141012070.65549985</v>
      </c>
      <c r="DC68" s="61">
        <f t="shared" si="67"/>
        <v>140461253.98549986</v>
      </c>
      <c r="DD68" s="61">
        <f t="shared" si="67"/>
        <v>143699383.16549984</v>
      </c>
      <c r="DE68" s="61">
        <f t="shared" si="67"/>
        <v>136178871.72549984</v>
      </c>
      <c r="DF68" s="61">
        <f t="shared" si="67"/>
        <v>135050650.45549989</v>
      </c>
      <c r="DG68" s="61">
        <f t="shared" si="67"/>
        <v>134107400.43549988</v>
      </c>
      <c r="DH68" s="61">
        <f t="shared" si="67"/>
        <v>132250350.03549989</v>
      </c>
      <c r="DI68" s="61">
        <f t="shared" si="67"/>
        <v>132874844.21549988</v>
      </c>
      <c r="DJ68" s="61">
        <f t="shared" si="67"/>
        <v>132355524.47549988</v>
      </c>
      <c r="DK68" s="61">
        <f t="shared" si="67"/>
        <v>131130969.06549989</v>
      </c>
      <c r="DL68" s="61">
        <f t="shared" si="67"/>
        <v>130290101.57549988</v>
      </c>
      <c r="DM68" s="61">
        <f t="shared" si="67"/>
        <v>136698653.70549989</v>
      </c>
      <c r="DN68" s="61">
        <f t="shared" si="67"/>
        <v>135614410.0654999</v>
      </c>
      <c r="DO68" s="537">
        <f t="shared" si="67"/>
        <v>75989884.865499854</v>
      </c>
      <c r="DP68" s="61">
        <f t="shared" si="67"/>
        <v>47241795.845499858</v>
      </c>
      <c r="DQ68" s="61">
        <f t="shared" si="67"/>
        <v>68182002.685499847</v>
      </c>
      <c r="DR68" s="61">
        <f t="shared" si="67"/>
        <v>69089100.595499858</v>
      </c>
      <c r="DS68" s="61">
        <f t="shared" si="67"/>
        <v>65453514.015499853</v>
      </c>
      <c r="DT68" s="61">
        <f t="shared" si="67"/>
        <v>63752231.505499855</v>
      </c>
      <c r="DU68" s="61">
        <f t="shared" si="67"/>
        <v>55791400.515499853</v>
      </c>
      <c r="DV68" s="61">
        <f t="shared" si="67"/>
        <v>60590696.035499856</v>
      </c>
      <c r="DW68" s="61">
        <f t="shared" si="67"/>
        <v>66340603.085499853</v>
      </c>
      <c r="DX68" s="61">
        <f t="shared" si="67"/>
        <v>62328481.555499852</v>
      </c>
      <c r="DY68" s="61">
        <f t="shared" si="67"/>
        <v>62144337.225499853</v>
      </c>
      <c r="DZ68" s="61">
        <f t="shared" si="67"/>
        <v>58015757.485499851</v>
      </c>
      <c r="EA68" s="61">
        <f t="shared" ref="EA68:GL68" si="68">EA54+EA66</f>
        <v>56152160.455499858</v>
      </c>
      <c r="EB68" s="61">
        <f t="shared" si="68"/>
        <v>55187560.805499859</v>
      </c>
      <c r="EC68" s="61">
        <f t="shared" si="68"/>
        <v>54781687.19549986</v>
      </c>
      <c r="ED68" s="61">
        <f t="shared" si="68"/>
        <v>53858909.575499855</v>
      </c>
      <c r="EE68" s="248">
        <f t="shared" si="68"/>
        <v>34749843.115499854</v>
      </c>
      <c r="EF68" s="61">
        <f t="shared" si="68"/>
        <v>43767833.115499854</v>
      </c>
      <c r="EG68" s="61">
        <f t="shared" si="68"/>
        <v>76440458.225499853</v>
      </c>
      <c r="EH68" s="61">
        <f t="shared" si="68"/>
        <v>73497896.575499848</v>
      </c>
      <c r="EI68" s="61">
        <f t="shared" si="68"/>
        <v>73369812.615499854</v>
      </c>
      <c r="EJ68" s="233">
        <f t="shared" si="68"/>
        <v>20793213.48549987</v>
      </c>
      <c r="EK68" s="248">
        <f t="shared" si="68"/>
        <v>12522400.125499871</v>
      </c>
      <c r="EL68" s="61">
        <f t="shared" si="68"/>
        <v>11909526.525499871</v>
      </c>
      <c r="EM68" s="61">
        <f t="shared" si="68"/>
        <v>6035399.0554998713</v>
      </c>
      <c r="EN68" s="61">
        <f t="shared" si="68"/>
        <v>6016915.0354998717</v>
      </c>
      <c r="EO68" s="61">
        <f t="shared" si="68"/>
        <v>4061352.6054998711</v>
      </c>
      <c r="EP68" s="61">
        <f t="shared" si="68"/>
        <v>2714978.4954998712</v>
      </c>
      <c r="EQ68" s="692">
        <f t="shared" si="68"/>
        <v>296830.77549987123</v>
      </c>
      <c r="ER68" s="61">
        <f t="shared" si="68"/>
        <v>48474594.615499869</v>
      </c>
      <c r="ES68" s="61">
        <f t="shared" si="68"/>
        <v>48668837.115499869</v>
      </c>
      <c r="ET68" s="61">
        <f t="shared" si="68"/>
        <v>48467087.07549987</v>
      </c>
      <c r="EU68" s="61">
        <f t="shared" si="68"/>
        <v>43963358.71549987</v>
      </c>
      <c r="EV68" s="61">
        <f t="shared" si="68"/>
        <v>47551202.555499867</v>
      </c>
      <c r="EW68" s="61">
        <f t="shared" si="68"/>
        <v>45212222.385499865</v>
      </c>
      <c r="EX68" s="61">
        <f t="shared" si="68"/>
        <v>44472621.045499869</v>
      </c>
      <c r="EY68" s="61">
        <f t="shared" si="68"/>
        <v>28662378.895499863</v>
      </c>
      <c r="EZ68" s="61">
        <f t="shared" si="68"/>
        <v>24693131.465499863</v>
      </c>
      <c r="FA68" s="61">
        <f t="shared" si="68"/>
        <v>31070745.515499867</v>
      </c>
      <c r="FB68" s="545">
        <f t="shared" si="68"/>
        <v>78751348.065499872</v>
      </c>
      <c r="FC68" s="61">
        <f t="shared" si="68"/>
        <v>100205589.98549986</v>
      </c>
      <c r="FD68" s="61">
        <f t="shared" si="68"/>
        <v>96926925.475499853</v>
      </c>
      <c r="FE68" s="61">
        <f t="shared" si="68"/>
        <v>101328498.07549986</v>
      </c>
      <c r="FF68" s="233">
        <f t="shared" si="68"/>
        <v>37427779.515499882</v>
      </c>
      <c r="FG68" s="61">
        <f t="shared" si="68"/>
        <v>27337244.035499882</v>
      </c>
      <c r="FH68" s="248">
        <f t="shared" si="68"/>
        <v>24485346.095499881</v>
      </c>
      <c r="FI68" s="61">
        <f t="shared" si="68"/>
        <v>28079836.075499881</v>
      </c>
      <c r="FJ68" s="248">
        <f t="shared" si="68"/>
        <v>27069452.505499881</v>
      </c>
      <c r="FK68" s="248">
        <f t="shared" si="68"/>
        <v>18332891.035499882</v>
      </c>
      <c r="FL68" s="61">
        <f t="shared" si="68"/>
        <v>17867142.005499881</v>
      </c>
      <c r="FM68" s="692">
        <f t="shared" si="68"/>
        <v>17377661.52549988</v>
      </c>
      <c r="FN68" s="61">
        <f t="shared" si="68"/>
        <v>123994549.14549989</v>
      </c>
      <c r="FO68" s="61">
        <f t="shared" si="68"/>
        <v>196156329.33549991</v>
      </c>
      <c r="FP68" s="61">
        <f t="shared" si="68"/>
        <v>187760912.9154999</v>
      </c>
      <c r="FQ68" s="61">
        <f t="shared" si="68"/>
        <v>187394844.5954999</v>
      </c>
      <c r="FR68" s="61">
        <f t="shared" si="68"/>
        <v>182430573.54549992</v>
      </c>
      <c r="FS68" s="61">
        <f t="shared" si="68"/>
        <v>185508704.46549991</v>
      </c>
      <c r="FT68" s="61">
        <f t="shared" si="68"/>
        <v>186745115.29549992</v>
      </c>
      <c r="FU68" s="61">
        <f t="shared" si="68"/>
        <v>167548666.79549992</v>
      </c>
      <c r="FV68" s="61">
        <f t="shared" si="68"/>
        <v>170187671.68549991</v>
      </c>
      <c r="FW68" s="61">
        <f t="shared" si="68"/>
        <v>166092975.11549994</v>
      </c>
      <c r="FX68" s="61">
        <f t="shared" si="68"/>
        <v>167531865.1254999</v>
      </c>
      <c r="FY68" s="61">
        <f t="shared" si="68"/>
        <v>165657176.11549994</v>
      </c>
      <c r="FZ68" s="61">
        <f t="shared" si="68"/>
        <v>165941886.07549992</v>
      </c>
      <c r="GA68" s="233">
        <f t="shared" si="68"/>
        <v>106659757.10549991</v>
      </c>
      <c r="GB68" s="61">
        <f t="shared" si="68"/>
        <v>97343333.195499912</v>
      </c>
      <c r="GC68" s="61">
        <f t="shared" si="68"/>
        <v>110061515.64549991</v>
      </c>
      <c r="GD68" s="61">
        <f t="shared" si="68"/>
        <v>110520857.10549991</v>
      </c>
      <c r="GE68" s="61">
        <f t="shared" si="68"/>
        <v>103718062.29549992</v>
      </c>
      <c r="GF68" s="248">
        <f t="shared" si="68"/>
        <v>104395350.21549991</v>
      </c>
      <c r="GG68" s="61">
        <f t="shared" si="68"/>
        <v>164271477.85549995</v>
      </c>
      <c r="GH68" s="61">
        <f t="shared" si="68"/>
        <v>176807689.29549992</v>
      </c>
      <c r="GI68" s="61">
        <f t="shared" si="68"/>
        <v>177811813.8154999</v>
      </c>
      <c r="GJ68" s="61">
        <f t="shared" si="68"/>
        <v>182483733.89549991</v>
      </c>
      <c r="GK68" s="61">
        <f t="shared" si="68"/>
        <v>178361036.16549993</v>
      </c>
      <c r="GL68" s="61">
        <f t="shared" si="68"/>
        <v>178157160.79549992</v>
      </c>
      <c r="GM68" s="61">
        <f t="shared" ref="GM68:JH68" si="69">GM54+GM66</f>
        <v>178439364.79549992</v>
      </c>
      <c r="GN68" s="61">
        <f t="shared" si="69"/>
        <v>176155194.80549991</v>
      </c>
      <c r="GO68" s="61">
        <f t="shared" si="69"/>
        <v>177551655.34549993</v>
      </c>
      <c r="GP68" s="61">
        <f t="shared" si="69"/>
        <v>162821593.23549992</v>
      </c>
      <c r="GQ68" s="61">
        <f t="shared" si="69"/>
        <v>165411478.94549993</v>
      </c>
      <c r="GR68" s="61">
        <f t="shared" si="69"/>
        <v>161287956.02549994</v>
      </c>
      <c r="GS68" s="61">
        <f t="shared" si="69"/>
        <v>155373759.70549995</v>
      </c>
      <c r="GT68" s="61">
        <f t="shared" si="69"/>
        <v>155443325.02549994</v>
      </c>
      <c r="GU68" s="233">
        <f t="shared" si="69"/>
        <v>108053981.20549996</v>
      </c>
      <c r="GV68" s="61">
        <f t="shared" si="69"/>
        <v>122951736.97549994</v>
      </c>
      <c r="GW68" s="61">
        <f t="shared" si="69"/>
        <v>118718214.03549995</v>
      </c>
      <c r="GX68" s="61">
        <f t="shared" si="69"/>
        <v>120360491.06549995</v>
      </c>
      <c r="GY68" s="61">
        <f t="shared" si="69"/>
        <v>122053973.60549995</v>
      </c>
      <c r="GZ68" s="61">
        <f t="shared" si="69"/>
        <v>109618553.93549997</v>
      </c>
      <c r="HA68" s="61">
        <f t="shared" si="69"/>
        <v>105994224.92549996</v>
      </c>
      <c r="HB68" s="61">
        <f t="shared" si="69"/>
        <v>105963571.81549996</v>
      </c>
      <c r="HC68" s="61">
        <f t="shared" si="69"/>
        <v>116550333.15549995</v>
      </c>
      <c r="HD68" s="61">
        <f t="shared" si="69"/>
        <v>131107230.80549994</v>
      </c>
      <c r="HE68" s="61">
        <f t="shared" si="69"/>
        <v>131622998.93549994</v>
      </c>
      <c r="HF68" s="61">
        <f t="shared" si="69"/>
        <v>128502590.60549994</v>
      </c>
      <c r="HG68" s="61">
        <f t="shared" si="69"/>
        <v>126877182.98549995</v>
      </c>
      <c r="HH68" s="61">
        <f t="shared" si="69"/>
        <v>128134618.99549994</v>
      </c>
      <c r="HI68" s="61">
        <f t="shared" si="69"/>
        <v>115805688.83549993</v>
      </c>
      <c r="HJ68" s="61">
        <f t="shared" si="69"/>
        <v>117621189.07549994</v>
      </c>
      <c r="HK68" s="61">
        <f t="shared" si="69"/>
        <v>115312383.56549993</v>
      </c>
      <c r="HL68" s="61">
        <f t="shared" si="69"/>
        <v>117718683.89549993</v>
      </c>
      <c r="HM68" s="61">
        <f t="shared" si="69"/>
        <v>118861726.47549993</v>
      </c>
      <c r="HN68" s="61">
        <f t="shared" si="69"/>
        <v>122022090.39549993</v>
      </c>
      <c r="HO68" s="61">
        <f t="shared" si="69"/>
        <v>123737238.32549992</v>
      </c>
      <c r="HP68" s="233">
        <f t="shared" si="69"/>
        <v>79089215.345499933</v>
      </c>
      <c r="HQ68" s="61">
        <f t="shared" si="69"/>
        <v>73949888.655499935</v>
      </c>
      <c r="HR68" s="61">
        <f t="shared" si="69"/>
        <v>77857114.265499935</v>
      </c>
      <c r="HS68" s="61">
        <f t="shared" si="69"/>
        <v>65197370.255499937</v>
      </c>
      <c r="HT68" s="61">
        <f t="shared" si="69"/>
        <v>75875384.565499932</v>
      </c>
      <c r="HU68" s="61">
        <f t="shared" si="69"/>
        <v>78699767.265499935</v>
      </c>
      <c r="HV68" s="61">
        <f t="shared" si="69"/>
        <v>83453970.295499936</v>
      </c>
      <c r="HW68" s="61">
        <f t="shared" ref="HW68" si="70">HW54+HW66</f>
        <v>88561873.135499939</v>
      </c>
      <c r="HX68" s="61">
        <f t="shared" si="69"/>
        <v>88305326.775499955</v>
      </c>
      <c r="HY68" s="61">
        <f t="shared" si="69"/>
        <v>88125801.585499942</v>
      </c>
      <c r="HZ68" s="61">
        <f t="shared" si="69"/>
        <v>89644893.285499945</v>
      </c>
      <c r="IA68" s="61">
        <f t="shared" si="69"/>
        <v>142821201.02549994</v>
      </c>
      <c r="IB68" s="61">
        <f t="shared" ref="IB68" si="71">IB54+IB66</f>
        <v>155125390.91549993</v>
      </c>
      <c r="IC68" s="61">
        <f t="shared" si="69"/>
        <v>208163607.39549994</v>
      </c>
      <c r="ID68" s="61">
        <f t="shared" si="69"/>
        <v>226748528.37549996</v>
      </c>
      <c r="IE68" s="61">
        <f t="shared" si="69"/>
        <v>237485355.28549996</v>
      </c>
      <c r="IF68" s="61">
        <f t="shared" si="69"/>
        <v>236668229.77549994</v>
      </c>
      <c r="IG68" s="61">
        <f t="shared" si="69"/>
        <v>245598020.27549994</v>
      </c>
      <c r="IH68" s="61">
        <f t="shared" si="69"/>
        <v>248000616.57549995</v>
      </c>
      <c r="II68" s="61">
        <f t="shared" si="69"/>
        <v>260124130.72549996</v>
      </c>
      <c r="IJ68" s="61">
        <f t="shared" si="69"/>
        <v>269370429.83549994</v>
      </c>
      <c r="IK68" s="61">
        <f t="shared" si="69"/>
        <v>277295554.29549998</v>
      </c>
      <c r="IL68" s="233">
        <f t="shared" si="69"/>
        <v>227969529.82549995</v>
      </c>
      <c r="IM68" s="61">
        <f t="shared" si="69"/>
        <v>224280873.93549997</v>
      </c>
      <c r="IN68" s="61">
        <f t="shared" si="69"/>
        <v>237784399.46549994</v>
      </c>
      <c r="IO68" s="61">
        <f t="shared" si="69"/>
        <v>248850855.49549994</v>
      </c>
      <c r="IP68" s="61">
        <f t="shared" si="69"/>
        <v>262355286.11549994</v>
      </c>
      <c r="IQ68" s="61">
        <f t="shared" si="69"/>
        <v>273475279.92549998</v>
      </c>
      <c r="IR68" s="61">
        <f t="shared" si="69"/>
        <v>292328984.82550001</v>
      </c>
      <c r="IS68" s="61">
        <f t="shared" si="69"/>
        <v>307515138.86549997</v>
      </c>
      <c r="IT68" s="61">
        <f t="shared" si="69"/>
        <v>325393539.31550002</v>
      </c>
      <c r="IU68" s="61">
        <f t="shared" si="69"/>
        <v>353182941.81549996</v>
      </c>
      <c r="IV68" s="61">
        <f t="shared" si="69"/>
        <v>392568417.80549997</v>
      </c>
      <c r="IW68" s="504"/>
      <c r="IX68" s="775"/>
      <c r="IY68" s="766"/>
      <c r="IZ68" s="766"/>
      <c r="JA68" s="766"/>
      <c r="JB68" s="766"/>
      <c r="JC68" s="766"/>
      <c r="JD68" s="766"/>
      <c r="JE68" s="766"/>
      <c r="JF68" s="766"/>
      <c r="JH68" s="504" t="e">
        <f t="shared" si="69"/>
        <v>#REF!</v>
      </c>
      <c r="JI68" s="767"/>
    </row>
    <row r="69" spans="1:269" s="149" customFormat="1" ht="17.25" thickBot="1">
      <c r="A69" s="62" t="s">
        <v>219</v>
      </c>
      <c r="B69" s="63"/>
      <c r="C69" s="797"/>
      <c r="D69" s="61"/>
      <c r="E69" s="61"/>
      <c r="F69" s="61"/>
      <c r="G69" s="61"/>
      <c r="H69" s="61"/>
      <c r="I69" s="61"/>
      <c r="J69" s="61"/>
      <c r="K69" s="61"/>
      <c r="L69" s="61"/>
      <c r="M69" s="233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233"/>
      <c r="AH69" s="61"/>
      <c r="AI69" s="61"/>
      <c r="AJ69" s="61"/>
      <c r="AK69" s="61"/>
      <c r="AL69" s="61"/>
      <c r="AM69" s="61"/>
      <c r="AN69" s="61"/>
      <c r="AO69" s="585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233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233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233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537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248"/>
      <c r="EF69" s="61"/>
      <c r="EG69" s="61">
        <f>EG68-$EG$11</f>
        <v>46440458.225499853</v>
      </c>
      <c r="EH69" s="61">
        <f t="shared" ref="EH69:FA69" si="72">EH68-$EG$11</f>
        <v>43497896.575499848</v>
      </c>
      <c r="EI69" s="61">
        <f t="shared" si="72"/>
        <v>43369812.615499854</v>
      </c>
      <c r="EJ69" s="233">
        <f t="shared" si="72"/>
        <v>-9206786.51450013</v>
      </c>
      <c r="EK69" s="61">
        <f t="shared" si="72"/>
        <v>-17477599.874500129</v>
      </c>
      <c r="EL69" s="61">
        <f t="shared" si="72"/>
        <v>-18090473.474500127</v>
      </c>
      <c r="EM69" s="61">
        <f t="shared" si="72"/>
        <v>-23964600.94450013</v>
      </c>
      <c r="EN69" s="61">
        <f t="shared" si="72"/>
        <v>-23983084.964500129</v>
      </c>
      <c r="EO69" s="61">
        <f t="shared" si="72"/>
        <v>-25938647.394500129</v>
      </c>
      <c r="EP69" s="61">
        <f t="shared" si="72"/>
        <v>-27285021.504500128</v>
      </c>
      <c r="EQ69" s="233">
        <f t="shared" si="72"/>
        <v>-29703169.224500127</v>
      </c>
      <c r="ER69" s="61">
        <f t="shared" si="72"/>
        <v>18474594.615499869</v>
      </c>
      <c r="ES69" s="61">
        <f t="shared" si="72"/>
        <v>18668837.115499869</v>
      </c>
      <c r="ET69" s="61">
        <f t="shared" si="72"/>
        <v>18467087.07549987</v>
      </c>
      <c r="EU69" s="61">
        <f t="shared" si="72"/>
        <v>13963358.71549987</v>
      </c>
      <c r="EV69" s="61">
        <f t="shared" si="72"/>
        <v>17551202.555499867</v>
      </c>
      <c r="EW69" s="61">
        <f t="shared" si="72"/>
        <v>15212222.385499865</v>
      </c>
      <c r="EX69" s="61">
        <f t="shared" si="72"/>
        <v>14472621.045499869</v>
      </c>
      <c r="EY69" s="61">
        <f t="shared" si="72"/>
        <v>-1337621.1045001373</v>
      </c>
      <c r="EZ69" s="61">
        <f t="shared" si="72"/>
        <v>-5306868.534500137</v>
      </c>
      <c r="FA69" s="61">
        <f t="shared" si="72"/>
        <v>1070745.5154998675</v>
      </c>
      <c r="FB69" s="61">
        <f>FB68-$EG$11-FB11</f>
        <v>-1248651.934500128</v>
      </c>
      <c r="FC69" s="61">
        <f>FC68-$EG$11-$FB$11</f>
        <v>20205589.985499859</v>
      </c>
      <c r="FD69" s="61">
        <f t="shared" ref="FD69:HO69" si="73">FD68-$EG$11-$FB$11</f>
        <v>16926925.475499853</v>
      </c>
      <c r="FE69" s="61">
        <f t="shared" si="73"/>
        <v>21328498.075499862</v>
      </c>
      <c r="FF69" s="233">
        <f t="shared" si="73"/>
        <v>-42572220.484500118</v>
      </c>
      <c r="FG69" s="61">
        <f t="shared" si="73"/>
        <v>-52662755.964500114</v>
      </c>
      <c r="FH69" s="248">
        <f t="shared" si="73"/>
        <v>-55514653.904500119</v>
      </c>
      <c r="FI69" s="61">
        <f t="shared" si="73"/>
        <v>-51920163.924500123</v>
      </c>
      <c r="FJ69" s="61">
        <f t="shared" si="73"/>
        <v>-52930547.494500116</v>
      </c>
      <c r="FK69" s="248">
        <f t="shared" si="73"/>
        <v>-61667108.964500114</v>
      </c>
      <c r="FL69" s="61">
        <f t="shared" si="73"/>
        <v>-62132857.994500116</v>
      </c>
      <c r="FM69" s="233">
        <f t="shared" si="73"/>
        <v>-62622338.47450012</v>
      </c>
      <c r="FN69" s="61">
        <f t="shared" si="73"/>
        <v>43994549.145499885</v>
      </c>
      <c r="FO69" s="61">
        <f t="shared" si="73"/>
        <v>116156329.33549991</v>
      </c>
      <c r="FP69" s="61">
        <f t="shared" si="73"/>
        <v>107760912.9154999</v>
      </c>
      <c r="FQ69" s="61">
        <f t="shared" si="73"/>
        <v>107394844.5954999</v>
      </c>
      <c r="FR69" s="61">
        <f t="shared" si="73"/>
        <v>102430573.54549992</v>
      </c>
      <c r="FS69" s="61">
        <f t="shared" si="73"/>
        <v>105508704.46549991</v>
      </c>
      <c r="FT69" s="61">
        <f t="shared" si="73"/>
        <v>106745115.29549992</v>
      </c>
      <c r="FU69" s="61">
        <f t="shared" si="73"/>
        <v>87548666.795499921</v>
      </c>
      <c r="FV69" s="61">
        <f t="shared" si="73"/>
        <v>90187671.685499907</v>
      </c>
      <c r="FW69" s="61">
        <f t="shared" si="73"/>
        <v>86092975.115499943</v>
      </c>
      <c r="FX69" s="61">
        <f t="shared" si="73"/>
        <v>87531865.125499904</v>
      </c>
      <c r="FY69" s="61">
        <f t="shared" si="73"/>
        <v>85657176.115499943</v>
      </c>
      <c r="FZ69" s="61">
        <f t="shared" si="73"/>
        <v>85941886.075499922</v>
      </c>
      <c r="GA69" s="233">
        <f t="shared" si="73"/>
        <v>26659757.105499908</v>
      </c>
      <c r="GB69" s="61">
        <f t="shared" si="73"/>
        <v>17343333.195499912</v>
      </c>
      <c r="GC69" s="61">
        <f t="shared" si="73"/>
        <v>30061515.645499915</v>
      </c>
      <c r="GD69" s="61">
        <f t="shared" si="73"/>
        <v>30520857.105499908</v>
      </c>
      <c r="GE69" s="61">
        <f t="shared" si="73"/>
        <v>23718062.295499921</v>
      </c>
      <c r="GF69" s="61">
        <f t="shared" si="73"/>
        <v>24395350.215499908</v>
      </c>
      <c r="GG69" s="61">
        <f t="shared" si="73"/>
        <v>84271477.855499953</v>
      </c>
      <c r="GH69" s="61">
        <f t="shared" si="73"/>
        <v>96807689.295499921</v>
      </c>
      <c r="GI69" s="61">
        <f t="shared" si="73"/>
        <v>97811813.815499902</v>
      </c>
      <c r="GJ69" s="61">
        <f t="shared" si="73"/>
        <v>102483733.89549991</v>
      </c>
      <c r="GK69" s="61">
        <f t="shared" si="73"/>
        <v>98361036.165499926</v>
      </c>
      <c r="GL69" s="61">
        <f t="shared" si="73"/>
        <v>98157160.795499921</v>
      </c>
      <c r="GM69" s="61">
        <f t="shared" si="73"/>
        <v>98439364.795499921</v>
      </c>
      <c r="GN69" s="61">
        <f t="shared" si="73"/>
        <v>96155194.805499911</v>
      </c>
      <c r="GO69" s="61">
        <f t="shared" si="73"/>
        <v>97551655.345499933</v>
      </c>
      <c r="GP69" s="61">
        <f t="shared" si="73"/>
        <v>82821593.235499918</v>
      </c>
      <c r="GQ69" s="61">
        <f t="shared" si="73"/>
        <v>85411478.945499927</v>
      </c>
      <c r="GR69" s="61">
        <f t="shared" si="73"/>
        <v>81287956.02549994</v>
      </c>
      <c r="GS69" s="61">
        <f t="shared" si="73"/>
        <v>75373759.705499947</v>
      </c>
      <c r="GT69" s="61">
        <f t="shared" si="73"/>
        <v>75443325.02549994</v>
      </c>
      <c r="GU69" s="233">
        <f t="shared" si="73"/>
        <v>28053981.205499962</v>
      </c>
      <c r="GV69" s="61">
        <f t="shared" si="73"/>
        <v>42951736.975499943</v>
      </c>
      <c r="GW69" s="61">
        <f t="shared" si="73"/>
        <v>38718214.035499945</v>
      </c>
      <c r="GX69" s="61">
        <f t="shared" si="73"/>
        <v>40360491.065499946</v>
      </c>
      <c r="GY69" s="61">
        <f t="shared" si="73"/>
        <v>42053973.605499953</v>
      </c>
      <c r="GZ69" s="61">
        <f t="shared" si="73"/>
        <v>29618553.935499966</v>
      </c>
      <c r="HA69" s="61">
        <f t="shared" si="73"/>
        <v>25994224.925499961</v>
      </c>
      <c r="HB69" s="61">
        <f t="shared" si="73"/>
        <v>25963571.815499961</v>
      </c>
      <c r="HC69" s="61">
        <f t="shared" si="73"/>
        <v>36550333.15549995</v>
      </c>
      <c r="HD69" s="61">
        <f t="shared" si="73"/>
        <v>51107230.805499941</v>
      </c>
      <c r="HE69" s="61">
        <f t="shared" si="73"/>
        <v>51622998.935499936</v>
      </c>
      <c r="HF69" s="61">
        <f t="shared" si="73"/>
        <v>48502590.605499938</v>
      </c>
      <c r="HG69" s="61">
        <f t="shared" si="73"/>
        <v>46877182.985499948</v>
      </c>
      <c r="HH69" s="61">
        <f t="shared" si="73"/>
        <v>48134618.995499939</v>
      </c>
      <c r="HI69" s="61">
        <f t="shared" si="73"/>
        <v>35805688.835499927</v>
      </c>
      <c r="HJ69" s="61">
        <f t="shared" si="73"/>
        <v>37621189.075499937</v>
      </c>
      <c r="HK69" s="61">
        <f t="shared" si="73"/>
        <v>35312383.565499932</v>
      </c>
      <c r="HL69" s="61">
        <f t="shared" si="73"/>
        <v>37718683.89549993</v>
      </c>
      <c r="HM69" s="61">
        <f t="shared" si="73"/>
        <v>38861726.475499928</v>
      </c>
      <c r="HN69" s="61">
        <f t="shared" si="73"/>
        <v>42022090.39549993</v>
      </c>
      <c r="HO69" s="61">
        <f t="shared" si="73"/>
        <v>43737238.325499922</v>
      </c>
      <c r="HP69" s="233">
        <f t="shared" ref="HP69:IV69" si="74">HP68-$EG$11-$FB$11</f>
        <v>-910784.65450006723</v>
      </c>
      <c r="HQ69" s="61">
        <f t="shared" si="74"/>
        <v>-6050111.3445000648</v>
      </c>
      <c r="HR69" s="61">
        <f t="shared" si="74"/>
        <v>-2142885.7345000654</v>
      </c>
      <c r="HS69" s="61">
        <f t="shared" si="74"/>
        <v>-14802629.744500063</v>
      </c>
      <c r="HT69" s="61">
        <f t="shared" si="74"/>
        <v>-4124615.4345000684</v>
      </c>
      <c r="HU69" s="61">
        <f t="shared" si="74"/>
        <v>-1300232.7345000654</v>
      </c>
      <c r="HV69" s="61">
        <f t="shared" si="74"/>
        <v>3453970.2954999357</v>
      </c>
      <c r="HW69" s="61">
        <f t="shared" ref="HW69" si="75">HW68-$EG$11-$FB$11</f>
        <v>8561873.1354999393</v>
      </c>
      <c r="HX69" s="61">
        <f t="shared" si="74"/>
        <v>8305326.7754999548</v>
      </c>
      <c r="HY69" s="61">
        <f t="shared" si="74"/>
        <v>8125801.5854999423</v>
      </c>
      <c r="HZ69" s="61">
        <f t="shared" si="74"/>
        <v>9644893.2854999453</v>
      </c>
      <c r="IA69" s="61">
        <f t="shared" si="74"/>
        <v>62821201.02549994</v>
      </c>
      <c r="IB69" s="61">
        <f t="shared" si="74"/>
        <v>75125390.915499926</v>
      </c>
      <c r="IC69" s="61">
        <f t="shared" si="74"/>
        <v>128163607.39549994</v>
      </c>
      <c r="ID69" s="61">
        <f t="shared" si="74"/>
        <v>146748528.37549996</v>
      </c>
      <c r="IE69" s="61">
        <f t="shared" si="74"/>
        <v>157485355.28549996</v>
      </c>
      <c r="IF69" s="61">
        <f t="shared" si="74"/>
        <v>156668229.77549994</v>
      </c>
      <c r="IG69" s="61">
        <f t="shared" si="74"/>
        <v>165598020.27549994</v>
      </c>
      <c r="IH69" s="61">
        <f t="shared" si="74"/>
        <v>168000616.57549995</v>
      </c>
      <c r="II69" s="61">
        <f t="shared" si="74"/>
        <v>180124130.72549996</v>
      </c>
      <c r="IJ69" s="61">
        <f t="shared" si="74"/>
        <v>189370429.83549994</v>
      </c>
      <c r="IK69" s="61">
        <f t="shared" si="74"/>
        <v>197295554.29549998</v>
      </c>
      <c r="IL69" s="233">
        <f t="shared" si="74"/>
        <v>147969529.82549995</v>
      </c>
      <c r="IM69" s="61">
        <f t="shared" si="74"/>
        <v>144280873.93549997</v>
      </c>
      <c r="IN69" s="61">
        <f t="shared" si="74"/>
        <v>157784399.46549994</v>
      </c>
      <c r="IO69" s="61">
        <f t="shared" si="74"/>
        <v>168850855.49549994</v>
      </c>
      <c r="IP69" s="61">
        <f t="shared" si="74"/>
        <v>182355286.11549994</v>
      </c>
      <c r="IQ69" s="61">
        <f t="shared" si="74"/>
        <v>193475279.92549998</v>
      </c>
      <c r="IR69" s="61">
        <f t="shared" si="74"/>
        <v>212328984.82550001</v>
      </c>
      <c r="IS69" s="61">
        <f t="shared" si="74"/>
        <v>227515138.86549997</v>
      </c>
      <c r="IT69" s="61">
        <f t="shared" si="74"/>
        <v>245393539.31550002</v>
      </c>
      <c r="IU69" s="61">
        <f t="shared" si="74"/>
        <v>273182941.81549996</v>
      </c>
      <c r="IV69" s="61">
        <f t="shared" si="74"/>
        <v>312568417.80549997</v>
      </c>
      <c r="IW69" s="504"/>
      <c r="IX69" s="775"/>
      <c r="IY69" s="766"/>
      <c r="IZ69" s="766"/>
      <c r="JA69" s="766"/>
      <c r="JB69" s="766"/>
      <c r="JC69" s="766"/>
      <c r="JD69" s="766"/>
      <c r="JE69" s="766"/>
      <c r="JF69" s="766"/>
      <c r="JH69" s="504"/>
      <c r="JI69" s="767"/>
    </row>
    <row r="70" spans="1:269" ht="15" thickBot="1">
      <c r="M70" s="237"/>
      <c r="AG70" s="237"/>
      <c r="BD70" s="237"/>
      <c r="BY70" s="237"/>
      <c r="CT70" s="237"/>
      <c r="DO70" s="237"/>
      <c r="ED70" s="146" t="s">
        <v>49</v>
      </c>
      <c r="EE70" s="146"/>
      <c r="EJ70" s="690" t="s">
        <v>96</v>
      </c>
      <c r="EK70" s="489"/>
      <c r="EL70" s="496"/>
      <c r="EM70" s="496"/>
      <c r="EN70" s="496"/>
      <c r="EO70" s="496"/>
      <c r="EP70" s="496"/>
      <c r="EQ70" s="694" t="s">
        <v>224</v>
      </c>
      <c r="ER70" s="438"/>
      <c r="ES70" s="438"/>
      <c r="ET70" s="438"/>
      <c r="EU70" s="438"/>
      <c r="EV70" s="438"/>
      <c r="EW70" s="438"/>
      <c r="EX70" s="438"/>
      <c r="EY70" s="689" t="s">
        <v>49</v>
      </c>
      <c r="EZ70" s="496"/>
      <c r="FA70" s="438"/>
      <c r="FB70" s="496"/>
      <c r="FC70" s="438"/>
      <c r="FD70" s="691"/>
      <c r="FE70" s="438"/>
      <c r="FF70" s="538" t="s">
        <v>97</v>
      </c>
      <c r="FG70" s="496"/>
      <c r="FH70" s="698"/>
      <c r="FI70" s="42"/>
      <c r="FJ70" s="489"/>
      <c r="FK70" s="698"/>
      <c r="FL70" s="42"/>
      <c r="FM70" s="693" t="s">
        <v>225</v>
      </c>
      <c r="FN70" s="539" t="s">
        <v>159</v>
      </c>
      <c r="GA70" s="358">
        <v>3</v>
      </c>
      <c r="GB70" s="604"/>
      <c r="GF70" s="383" t="s">
        <v>49</v>
      </c>
      <c r="GG70" s="686" t="s">
        <v>159</v>
      </c>
      <c r="GU70" s="704">
        <v>4</v>
      </c>
      <c r="GV70" s="604" t="s">
        <v>49</v>
      </c>
      <c r="HP70" s="538">
        <v>5</v>
      </c>
      <c r="HQ70" s="696" t="s">
        <v>49</v>
      </c>
      <c r="HR70" s="496"/>
      <c r="HS70" s="496"/>
      <c r="HT70" s="496"/>
      <c r="HU70" s="496"/>
      <c r="HV70" s="438"/>
      <c r="HW70" s="438"/>
      <c r="HX70" s="438"/>
      <c r="HY70" s="438"/>
      <c r="HZ70" s="438"/>
      <c r="IL70" s="237"/>
    </row>
    <row r="71" spans="1:269">
      <c r="M71" s="456" t="s">
        <v>161</v>
      </c>
      <c r="CM71" s="219" t="s">
        <v>49</v>
      </c>
      <c r="DO71" s="260"/>
      <c r="EG71" s="170" t="s">
        <v>193</v>
      </c>
      <c r="EJ71" s="546">
        <f>+'FY-09, FEB-09 - JAN-10, w TANs'!EJ68</f>
        <v>11041683.255499929</v>
      </c>
      <c r="EK71" s="547" t="s">
        <v>195</v>
      </c>
      <c r="EM71" s="124"/>
      <c r="ER71" s="685" t="s">
        <v>159</v>
      </c>
      <c r="FB71" s="170" t="s">
        <v>193</v>
      </c>
      <c r="FC71" s="170"/>
      <c r="FF71" s="546">
        <f>+'FY-09, FEB-09 - JAN-10, w TANs'!FE68</f>
        <v>14916083.23549993</v>
      </c>
      <c r="FG71" s="547" t="s">
        <v>195</v>
      </c>
      <c r="FJ71" s="488"/>
      <c r="GA71" s="550">
        <f>+'FY-09, FEB-09 - JAN-10, w TANs'!FZ68</f>
        <v>40774642.485499881</v>
      </c>
      <c r="GB71" s="547" t="s">
        <v>195</v>
      </c>
      <c r="GK71" s="170" t="s">
        <v>193</v>
      </c>
      <c r="GU71" s="546">
        <f>+'FY-09, FEB-09 - JAN-10, w TANs'!GT68</f>
        <v>65762514.485499866</v>
      </c>
      <c r="GV71" s="547" t="s">
        <v>195</v>
      </c>
      <c r="HE71" s="170" t="s">
        <v>193</v>
      </c>
      <c r="HP71" s="548">
        <f>+'FY-09, FEB-09 - JAN-10, w TANs'!HO68</f>
        <v>7588884.8374998532</v>
      </c>
      <c r="HQ71" s="547" t="s">
        <v>195</v>
      </c>
    </row>
    <row r="72" spans="1:269">
      <c r="M72" s="323" t="s">
        <v>172</v>
      </c>
      <c r="DO72" s="457"/>
      <c r="EG72" s="383" t="s">
        <v>144</v>
      </c>
      <c r="EJ72" s="546">
        <f>+'FY-09, FEB-09 - JAN-10 wo TANs'!EJ68</f>
        <v>-38958316.744500078</v>
      </c>
      <c r="EK72" s="547" t="s">
        <v>194</v>
      </c>
      <c r="FB72" s="383" t="s">
        <v>144</v>
      </c>
      <c r="FC72" s="383"/>
      <c r="FF72" s="546">
        <f>+'FY-09, FEB-09 - JAN-10 wo TANs'!FE68</f>
        <v>-50083916.764500067</v>
      </c>
      <c r="FG72" s="547" t="s">
        <v>194</v>
      </c>
      <c r="FI72" s="140"/>
      <c r="GA72" s="549">
        <f>+'FY-09, FEB-09 - JAN-10 wo TANs'!FZ68</f>
        <v>-24225357.514500104</v>
      </c>
      <c r="GB72" s="547" t="s">
        <v>194</v>
      </c>
      <c r="GK72" s="383" t="s">
        <v>144</v>
      </c>
      <c r="GU72" s="546">
        <f>+'FY-09, FEB-09 - JAN-10 wo TANs'!GT68</f>
        <v>-19237485.514500104</v>
      </c>
      <c r="GV72" s="547" t="s">
        <v>194</v>
      </c>
      <c r="HE72" s="383" t="s">
        <v>144</v>
      </c>
      <c r="HP72" s="549">
        <f>+'FY-09, FEB-09 - JAN-10 wo TANs'!HO68</f>
        <v>-77411115.162500098</v>
      </c>
      <c r="HQ72" s="547" t="s">
        <v>194</v>
      </c>
      <c r="IU72" s="481" t="s">
        <v>88</v>
      </c>
      <c r="IV72" s="481" t="s">
        <v>168</v>
      </c>
    </row>
    <row r="73" spans="1:269" ht="16.5" customHeight="1">
      <c r="M73" s="323"/>
      <c r="DO73" s="457"/>
      <c r="EG73" s="676" t="s">
        <v>216</v>
      </c>
      <c r="EH73" s="124"/>
      <c r="EI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676" t="s">
        <v>174</v>
      </c>
      <c r="FC73" s="382"/>
      <c r="FD73" s="124"/>
      <c r="FE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D73" s="124"/>
      <c r="GE73" s="124"/>
      <c r="GF73" s="124"/>
      <c r="GG73" s="124"/>
      <c r="GH73" s="124"/>
      <c r="GI73" s="124"/>
      <c r="GK73" s="676" t="s">
        <v>229</v>
      </c>
      <c r="GL73" s="124"/>
      <c r="GM73" s="124"/>
      <c r="GN73" s="124"/>
      <c r="GO73" s="124"/>
      <c r="GP73" s="124"/>
      <c r="GQ73" s="124"/>
      <c r="GR73" s="124"/>
      <c r="GS73" s="124"/>
      <c r="GT73" s="124"/>
      <c r="GW73" s="124"/>
      <c r="GX73" s="124"/>
      <c r="GY73" s="124"/>
      <c r="GZ73" s="124"/>
      <c r="HA73" s="124"/>
      <c r="HB73" s="124"/>
      <c r="HC73" s="124"/>
      <c r="HD73" s="124"/>
      <c r="HE73" s="676" t="s">
        <v>229</v>
      </c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R73" s="124"/>
      <c r="HS73" s="124"/>
      <c r="IU73" s="461" t="s">
        <v>164</v>
      </c>
      <c r="IV73" s="461" t="s">
        <v>169</v>
      </c>
    </row>
    <row r="74" spans="1:269">
      <c r="Q74" s="140"/>
      <c r="DO74" s="8" t="s">
        <v>49</v>
      </c>
      <c r="EG74" s="675">
        <v>40400</v>
      </c>
      <c r="EJ74" s="124"/>
      <c r="FB74" s="675">
        <v>40430</v>
      </c>
      <c r="FC74" s="384"/>
      <c r="FZ74" s="459" t="s">
        <v>162</v>
      </c>
      <c r="GA74" s="462">
        <f>+GA33/+GA47</f>
        <v>2.6913712224862867E-2</v>
      </c>
      <c r="GK74" s="675">
        <v>40480</v>
      </c>
      <c r="GT74" s="459" t="s">
        <v>162</v>
      </c>
      <c r="GU74" s="462">
        <f>+GU33/+GU47</f>
        <v>2.5888593572160362E-2</v>
      </c>
      <c r="HB74" s="459" t="s">
        <v>162</v>
      </c>
      <c r="HC74" s="464">
        <f>+HC33/+HC47</f>
        <v>0</v>
      </c>
      <c r="HE74" s="675">
        <v>40512</v>
      </c>
      <c r="HL74" s="459" t="s">
        <v>162</v>
      </c>
      <c r="HM74" s="464">
        <f>+HM33/+HM47</f>
        <v>4.1665077849585515E-2</v>
      </c>
      <c r="HO74" s="459" t="s">
        <v>162</v>
      </c>
      <c r="HP74" s="462">
        <f>+HP33/+HP47</f>
        <v>2.3409538318694474E-2</v>
      </c>
      <c r="HU74" s="459" t="s">
        <v>162</v>
      </c>
      <c r="HV74" s="464">
        <f>+HV33/+HV47</f>
        <v>3.2100083112692024E-2</v>
      </c>
      <c r="IF74" s="459" t="s">
        <v>162</v>
      </c>
      <c r="IG74" s="464">
        <f>+IG33/+IG47</f>
        <v>4.9052016124678348E-2</v>
      </c>
      <c r="IK74" s="459" t="s">
        <v>162</v>
      </c>
      <c r="IL74" s="462">
        <f>+IL33/+IL47</f>
        <v>2.6383870430508789E-2</v>
      </c>
      <c r="IO74" s="459" t="s">
        <v>162</v>
      </c>
      <c r="IP74" s="464">
        <f>+IP33/+IP47</f>
        <v>3.3790449620113801E-2</v>
      </c>
      <c r="IT74" s="459" t="s">
        <v>162</v>
      </c>
      <c r="IU74" s="462">
        <f>(+GA74+GU74+HP74+IL74)/4</f>
        <v>2.5648928636556625E-2</v>
      </c>
      <c r="IV74" s="464">
        <f>(+HM74+HV74+IG74+IP74)/4</f>
        <v>3.915190667676742E-2</v>
      </c>
    </row>
    <row r="75" spans="1:269" ht="17.25" thickBot="1">
      <c r="H75" s="528" t="s">
        <v>186</v>
      </c>
      <c r="M75" s="528" t="s">
        <v>185</v>
      </c>
      <c r="Q75" s="140"/>
      <c r="EG75" s="676" t="s">
        <v>174</v>
      </c>
      <c r="EJ75" s="124"/>
      <c r="EK75" s="140"/>
      <c r="FB75" s="676" t="s">
        <v>145</v>
      </c>
      <c r="FC75" s="382"/>
      <c r="FZ75" s="459" t="s">
        <v>163</v>
      </c>
      <c r="GA75" s="462">
        <f>+GB36/GA47</f>
        <v>0.15798746727104707</v>
      </c>
      <c r="GK75" s="676" t="s">
        <v>145</v>
      </c>
      <c r="GT75" s="459" t="s">
        <v>163</v>
      </c>
      <c r="GU75" s="462">
        <f>+GV36/GU47</f>
        <v>0.16240105878456357</v>
      </c>
      <c r="HB75" s="459" t="s">
        <v>163</v>
      </c>
      <c r="HC75" s="464">
        <f>+HD36/HC47</f>
        <v>0.11582837508805074</v>
      </c>
      <c r="HE75" s="676" t="s">
        <v>229</v>
      </c>
      <c r="HL75" s="459" t="s">
        <v>163</v>
      </c>
      <c r="HM75" s="464">
        <f>+HN36/HM47</f>
        <v>0.11499664054444721</v>
      </c>
      <c r="HO75" s="459" t="s">
        <v>163</v>
      </c>
      <c r="HP75" s="462">
        <f>+HQ36/HP47</f>
        <v>0.17920981038424735</v>
      </c>
      <c r="HU75" s="459" t="s">
        <v>163</v>
      </c>
      <c r="HV75" s="464">
        <f>+HW36/HV47</f>
        <v>0</v>
      </c>
      <c r="IF75" s="459" t="s">
        <v>163</v>
      </c>
      <c r="IG75" s="464">
        <f>+IH36/IG47</f>
        <v>0.14857942135378302</v>
      </c>
      <c r="IK75" s="459" t="s">
        <v>163</v>
      </c>
      <c r="IL75" s="462">
        <f>+IM36/IL47</f>
        <v>0.17313983416905324</v>
      </c>
      <c r="IO75" s="459" t="s">
        <v>163</v>
      </c>
      <c r="IP75" s="464">
        <f>+IQ36/IP47</f>
        <v>0.12928444084910376</v>
      </c>
      <c r="IT75" s="459" t="s">
        <v>163</v>
      </c>
      <c r="IU75" s="462">
        <f>(+GA75+GU75+HP75+IL75)/4</f>
        <v>0.16818454265222779</v>
      </c>
      <c r="IV75" s="464">
        <f>(+HM75+HV75+IG75+IP75)/4</f>
        <v>9.8215125686833493E-2</v>
      </c>
    </row>
    <row r="76" spans="1:269" ht="17.25" thickBot="1">
      <c r="G76" s="527" t="s">
        <v>183</v>
      </c>
      <c r="H76" s="525">
        <f>+H33/H47</f>
        <v>3.7874070743019426E-2</v>
      </c>
      <c r="I76" s="323" t="s">
        <v>177</v>
      </c>
      <c r="L76" s="527" t="s">
        <v>183</v>
      </c>
      <c r="M76" s="525">
        <f>+M33/M47</f>
        <v>2.5981743047396005E-2</v>
      </c>
      <c r="N76" s="323" t="s">
        <v>177</v>
      </c>
      <c r="Q76" s="536"/>
      <c r="EG76" s="677">
        <v>40035</v>
      </c>
      <c r="EI76" s="540" t="s">
        <v>191</v>
      </c>
      <c r="EJ76" s="529">
        <f>+HP68</f>
        <v>79089215.345499933</v>
      </c>
      <c r="FB76" s="677">
        <v>40066</v>
      </c>
      <c r="GK76" s="677">
        <v>40480</v>
      </c>
      <c r="HE76" s="677">
        <v>40147</v>
      </c>
    </row>
    <row r="77" spans="1:269" ht="17.25" thickBot="1">
      <c r="G77" s="527" t="s">
        <v>184</v>
      </c>
      <c r="H77" s="526">
        <f>+H36/H47</f>
        <v>0.1110281466337128</v>
      </c>
      <c r="I77" s="323" t="s">
        <v>177</v>
      </c>
      <c r="L77" s="527" t="s">
        <v>184</v>
      </c>
      <c r="M77" s="526">
        <f>+M36/M47</f>
        <v>0.16705669734320674</v>
      </c>
      <c r="N77" s="323" t="s">
        <v>177</v>
      </c>
      <c r="Q77" s="536"/>
      <c r="EI77" s="524" t="s">
        <v>189</v>
      </c>
      <c r="EJ77" s="523">
        <v>0.95</v>
      </c>
      <c r="EL77" s="359"/>
      <c r="EM77" s="253" t="s">
        <v>135</v>
      </c>
      <c r="FC77" s="384"/>
      <c r="IT77" s="459" t="s">
        <v>254</v>
      </c>
      <c r="IU77" s="462">
        <f>+'FY-11, FEB-11 - JAN-12, w SFSF'!H32/(+IG47+IL47+IP47)</f>
        <v>0.26109063784381747</v>
      </c>
    </row>
    <row r="78" spans="1:269" ht="15" thickBot="1">
      <c r="Q78" s="140"/>
      <c r="EG78" s="384"/>
      <c r="EI78" s="524" t="s">
        <v>190</v>
      </c>
      <c r="EJ78" s="490">
        <v>1.05</v>
      </c>
      <c r="FC78" s="384"/>
    </row>
    <row r="79" spans="1:269" ht="15" thickBot="1">
      <c r="C79" s="262" t="s">
        <v>90</v>
      </c>
      <c r="D79" s="262" t="s">
        <v>88</v>
      </c>
      <c r="E79" s="509" t="s">
        <v>178</v>
      </c>
      <c r="F79" s="262" t="s">
        <v>90</v>
      </c>
      <c r="G79" s="262" t="s">
        <v>88</v>
      </c>
      <c r="H79" s="509" t="s">
        <v>178</v>
      </c>
      <c r="I79" s="262" t="s">
        <v>90</v>
      </c>
      <c r="J79" s="262" t="s">
        <v>88</v>
      </c>
      <c r="K79" s="625" t="s">
        <v>178</v>
      </c>
      <c r="EI79" s="524" t="s">
        <v>80</v>
      </c>
      <c r="EJ79" s="490">
        <f>+IW59</f>
        <v>0.72</v>
      </c>
      <c r="EL79" s="272"/>
      <c r="EM79" s="253" t="s">
        <v>83</v>
      </c>
    </row>
    <row r="80" spans="1:269">
      <c r="C80" s="472">
        <v>39462</v>
      </c>
      <c r="D80" s="263" t="e">
        <f>+#REF!</f>
        <v>#REF!</v>
      </c>
      <c r="E80" s="477" t="s">
        <v>167</v>
      </c>
      <c r="F80" s="472">
        <v>39828</v>
      </c>
      <c r="G80" s="470">
        <f>+'FY-08, FEB-08 - Jan-09, w-TANs'!IJ45</f>
        <v>57354427.729999997</v>
      </c>
      <c r="H80" s="476" t="s">
        <v>167</v>
      </c>
      <c r="I80" s="469">
        <v>40193</v>
      </c>
      <c r="J80" s="470">
        <f>+G93</f>
        <v>54918399.969999999</v>
      </c>
      <c r="K80" s="477" t="s">
        <v>167</v>
      </c>
      <c r="V80" s="467"/>
      <c r="EI80" s="524"/>
    </row>
    <row r="81" spans="3:22" ht="6.75" customHeight="1">
      <c r="F81" s="468"/>
      <c r="G81" s="474"/>
      <c r="H81" s="466"/>
      <c r="I81" s="475"/>
      <c r="J81" s="474"/>
      <c r="K81" s="471"/>
      <c r="V81" s="467"/>
    </row>
    <row r="82" spans="3:22">
      <c r="C82" s="532">
        <v>39493</v>
      </c>
      <c r="D82" s="533">
        <v>55502242</v>
      </c>
      <c r="E82" s="534" t="e">
        <f>+D82/D$80</f>
        <v>#REF!</v>
      </c>
      <c r="F82" s="532">
        <v>39859</v>
      </c>
      <c r="G82" s="533">
        <f>+'FY-09, FEB-09 - JAN-10, w TANs'!G76</f>
        <v>53978285.130000003</v>
      </c>
      <c r="H82" s="534">
        <f>+G82/G$80</f>
        <v>0.94113544963096096</v>
      </c>
      <c r="I82" s="506">
        <v>40224</v>
      </c>
      <c r="J82" s="507">
        <f>+M47</f>
        <v>57643260.780000001</v>
      </c>
      <c r="K82" s="508">
        <f>+J82/J$80</f>
        <v>1.0496165367433956</v>
      </c>
      <c r="L82" s="510" t="s">
        <v>188</v>
      </c>
    </row>
    <row r="83" spans="3:22">
      <c r="C83" s="398">
        <v>39520</v>
      </c>
      <c r="D83" s="397">
        <v>56580536</v>
      </c>
      <c r="E83" s="531" t="e">
        <f t="shared" ref="E83:E93" si="76">+D83/D$80</f>
        <v>#REF!</v>
      </c>
      <c r="F83" s="398">
        <v>39885</v>
      </c>
      <c r="G83" s="397">
        <f>+'FY-09, FEB-09 - JAN-10, w TANs'!G77</f>
        <v>54541475.32</v>
      </c>
      <c r="H83" s="531">
        <f t="shared" ref="H83:H93" si="77">+G83/G$80</f>
        <v>0.95095492150593552</v>
      </c>
      <c r="I83" s="622">
        <v>40252</v>
      </c>
      <c r="J83" s="623">
        <f>+AG47</f>
        <v>55449056.049999997</v>
      </c>
      <c r="K83" s="624">
        <f t="shared" ref="K83:K93" si="78">+J83/J$80</f>
        <v>1.0096626281954659</v>
      </c>
      <c r="L83" s="679" t="s">
        <v>218</v>
      </c>
    </row>
    <row r="84" spans="3:22">
      <c r="C84" s="398">
        <v>39553</v>
      </c>
      <c r="D84" s="397">
        <v>55070015</v>
      </c>
      <c r="E84" s="531" t="e">
        <f t="shared" si="76"/>
        <v>#REF!</v>
      </c>
      <c r="F84" s="398">
        <v>39918</v>
      </c>
      <c r="G84" s="397">
        <f>+'FY-09, FEB-09 - JAN-10, w TANs'!G78</f>
        <v>56435928.600000001</v>
      </c>
      <c r="H84" s="531">
        <f t="shared" si="77"/>
        <v>0.98398555845899305</v>
      </c>
      <c r="I84" s="622">
        <v>40283</v>
      </c>
      <c r="J84" s="623">
        <f>+BD47</f>
        <v>55352797.789999999</v>
      </c>
      <c r="K84" s="624">
        <f t="shared" si="78"/>
        <v>1.0079098775681246</v>
      </c>
      <c r="L84" s="679" t="s">
        <v>218</v>
      </c>
    </row>
    <row r="85" spans="3:22">
      <c r="C85" s="398">
        <v>39583</v>
      </c>
      <c r="D85" s="397">
        <v>57949631</v>
      </c>
      <c r="E85" s="531" t="e">
        <f t="shared" si="76"/>
        <v>#REF!</v>
      </c>
      <c r="F85" s="398">
        <v>39948</v>
      </c>
      <c r="G85" s="397">
        <f>+'FY-09, FEB-09 - JAN-10, w TANs'!G79</f>
        <v>60449640.920000002</v>
      </c>
      <c r="H85" s="531">
        <f t="shared" si="77"/>
        <v>1.0539664209461026</v>
      </c>
      <c r="I85" s="622">
        <v>40313</v>
      </c>
      <c r="J85" s="623">
        <f>+BY47</f>
        <v>60379489.789999999</v>
      </c>
      <c r="K85" s="624">
        <f t="shared" si="78"/>
        <v>1.0994400751475499</v>
      </c>
      <c r="L85" s="628" t="s">
        <v>210</v>
      </c>
    </row>
    <row r="86" spans="3:22">
      <c r="C86" s="398">
        <v>39614</v>
      </c>
      <c r="D86" s="397">
        <v>58346530</v>
      </c>
      <c r="E86" s="531" t="e">
        <f t="shared" si="76"/>
        <v>#REF!</v>
      </c>
      <c r="F86" s="398">
        <v>39979</v>
      </c>
      <c r="G86" s="397">
        <f>+'FY-09, FEB-09 - JAN-10, w TANs'!G80</f>
        <v>54545058.329999998</v>
      </c>
      <c r="H86" s="531">
        <f t="shared" si="77"/>
        <v>0.95101739288158704</v>
      </c>
      <c r="I86" s="622">
        <v>40344</v>
      </c>
      <c r="J86" s="623">
        <f>+CT47</f>
        <v>54834242.25</v>
      </c>
      <c r="K86" s="624">
        <f t="shared" si="78"/>
        <v>0.99846758609052755</v>
      </c>
      <c r="L86" s="510" t="s">
        <v>188</v>
      </c>
    </row>
    <row r="87" spans="3:22">
      <c r="C87" s="398">
        <v>39644</v>
      </c>
      <c r="D87" s="397">
        <v>60200844</v>
      </c>
      <c r="E87" s="531" t="e">
        <f t="shared" si="76"/>
        <v>#REF!</v>
      </c>
      <c r="F87" s="398">
        <v>40009</v>
      </c>
      <c r="G87" s="397">
        <f>+'FY-09, FEB-09 - JAN-10, w TANs'!G81</f>
        <v>58097699.210000001</v>
      </c>
      <c r="H87" s="531">
        <f t="shared" si="77"/>
        <v>1.0129592693958871</v>
      </c>
      <c r="I87" s="622">
        <v>40374</v>
      </c>
      <c r="J87" s="623">
        <f>+DO47</f>
        <v>56780764.920000002</v>
      </c>
      <c r="K87" s="624">
        <f t="shared" si="78"/>
        <v>1.0339114932521223</v>
      </c>
      <c r="L87" s="679" t="s">
        <v>218</v>
      </c>
    </row>
    <row r="88" spans="3:22">
      <c r="C88" s="398">
        <v>39675</v>
      </c>
      <c r="D88" s="397">
        <v>56206256</v>
      </c>
      <c r="E88" s="531" t="e">
        <f t="shared" si="76"/>
        <v>#REF!</v>
      </c>
      <c r="F88" s="398">
        <v>40040</v>
      </c>
      <c r="G88" s="397">
        <f>+'FY-09, FEB-09 - JAN-10, w TANs'!G82</f>
        <v>54887530.409999996</v>
      </c>
      <c r="H88" s="531">
        <f t="shared" si="77"/>
        <v>0.9569885461744454</v>
      </c>
      <c r="I88" s="622">
        <v>40405</v>
      </c>
      <c r="J88" s="623">
        <f>+EJ47</f>
        <v>56620442.710000001</v>
      </c>
      <c r="K88" s="624">
        <f t="shared" si="78"/>
        <v>1.0309922128272084</v>
      </c>
      <c r="L88" s="679" t="s">
        <v>218</v>
      </c>
    </row>
    <row r="89" spans="3:22">
      <c r="C89" s="395">
        <v>39706</v>
      </c>
      <c r="D89" s="396">
        <v>56888969</v>
      </c>
      <c r="E89" s="697" t="e">
        <f t="shared" si="76"/>
        <v>#REF!</v>
      </c>
      <c r="F89" s="395">
        <v>40071</v>
      </c>
      <c r="G89" s="396">
        <f>+'FY-09, FEB-09 - JAN-10, w TANs'!G83</f>
        <v>56387650.93</v>
      </c>
      <c r="H89" s="697">
        <f t="shared" si="77"/>
        <v>0.98314381577388987</v>
      </c>
      <c r="I89" s="622">
        <v>40436</v>
      </c>
      <c r="J89" s="623">
        <f>+FF47</f>
        <v>56609470.280000001</v>
      </c>
      <c r="K89" s="624">
        <f t="shared" si="78"/>
        <v>1.030792417676476</v>
      </c>
      <c r="L89" s="679" t="s">
        <v>218</v>
      </c>
    </row>
    <row r="90" spans="3:22">
      <c r="C90" s="395">
        <v>39736</v>
      </c>
      <c r="D90" s="396">
        <v>60022720</v>
      </c>
      <c r="E90" s="697" t="e">
        <f t="shared" si="76"/>
        <v>#REF!</v>
      </c>
      <c r="F90" s="395">
        <v>40101</v>
      </c>
      <c r="G90" s="396">
        <f>+'FY-09, FEB-09 - JAN-10, w TANs'!G84</f>
        <v>57761146.490000002</v>
      </c>
      <c r="H90" s="697">
        <f t="shared" si="77"/>
        <v>1.0070913227818201</v>
      </c>
      <c r="I90" s="622">
        <v>40466</v>
      </c>
      <c r="J90" s="623">
        <f>+GA47</f>
        <v>56944641.719999999</v>
      </c>
      <c r="K90" s="624">
        <f t="shared" si="78"/>
        <v>1.0368954986144328</v>
      </c>
      <c r="L90" s="679" t="s">
        <v>218</v>
      </c>
    </row>
    <row r="91" spans="3:22">
      <c r="C91" s="734">
        <v>39767</v>
      </c>
      <c r="D91" s="735">
        <v>60942294</v>
      </c>
      <c r="E91" s="736" t="e">
        <f t="shared" si="76"/>
        <v>#REF!</v>
      </c>
      <c r="F91" s="734">
        <v>40132</v>
      </c>
      <c r="G91" s="735">
        <f>+'FY-09, FEB-09 - JAN-10, w TANs'!G85</f>
        <v>58268806.479999997</v>
      </c>
      <c r="H91" s="736">
        <f t="shared" si="77"/>
        <v>1.0159426008799965</v>
      </c>
      <c r="I91" s="622">
        <v>40497</v>
      </c>
      <c r="J91" s="623">
        <f>+GU47</f>
        <v>55872140.599999994</v>
      </c>
      <c r="K91" s="624">
        <f t="shared" si="78"/>
        <v>1.017366504314055</v>
      </c>
      <c r="L91" s="679" t="s">
        <v>218</v>
      </c>
    </row>
    <row r="92" spans="3:22">
      <c r="C92" s="734">
        <v>39797</v>
      </c>
      <c r="D92" s="735">
        <v>59275629</v>
      </c>
      <c r="E92" s="736" t="e">
        <f t="shared" si="76"/>
        <v>#REF!</v>
      </c>
      <c r="F92" s="734">
        <v>40162</v>
      </c>
      <c r="G92" s="735">
        <f>+'FY-09, FEB-09 - JAN-10, w TANs'!G86</f>
        <v>59201249.619999997</v>
      </c>
      <c r="H92" s="736">
        <f t="shared" si="77"/>
        <v>1.0322001624476849</v>
      </c>
      <c r="I92" s="622">
        <v>40527</v>
      </c>
      <c r="J92" s="623">
        <f>+HP47</f>
        <v>61641710.329999998</v>
      </c>
      <c r="K92" s="624">
        <f t="shared" si="78"/>
        <v>1.1224236387744855</v>
      </c>
      <c r="L92" s="679" t="s">
        <v>218</v>
      </c>
    </row>
    <row r="93" spans="3:22">
      <c r="C93" s="403">
        <v>39828</v>
      </c>
      <c r="D93" s="404">
        <v>57354428</v>
      </c>
      <c r="E93" s="405" t="e">
        <f t="shared" si="76"/>
        <v>#REF!</v>
      </c>
      <c r="F93" s="403">
        <v>40193</v>
      </c>
      <c r="G93" s="404">
        <f>+'FY-09, FEB-09 - JAN-10, w TANs'!G87</f>
        <v>54918399.969999999</v>
      </c>
      <c r="H93" s="405">
        <f t="shared" si="77"/>
        <v>0.95752677070604264</v>
      </c>
      <c r="I93" s="737">
        <v>40558</v>
      </c>
      <c r="J93" s="738">
        <f>+IL47</f>
        <v>55027409.409999996</v>
      </c>
      <c r="K93" s="739">
        <f t="shared" si="78"/>
        <v>1.0019849347406251</v>
      </c>
      <c r="L93" s="679" t="s">
        <v>218</v>
      </c>
    </row>
    <row r="94" spans="3:22">
      <c r="C94" s="258"/>
      <c r="D94" s="505">
        <f>SUM(D82:D93)</f>
        <v>694340094</v>
      </c>
      <c r="F94" s="258"/>
      <c r="G94" s="473">
        <f>SUM(G82:G93)</f>
        <v>679472871.40999997</v>
      </c>
      <c r="H94" s="458">
        <f>+G94/D94</f>
        <v>0.97858798200122366</v>
      </c>
      <c r="J94" s="473">
        <f>SUM(J82:J93)</f>
        <v>683155426.63</v>
      </c>
      <c r="K94" s="458">
        <f>+J94/G94</f>
        <v>1.0054197236931008</v>
      </c>
    </row>
    <row r="95" spans="3:22">
      <c r="F95" s="258"/>
      <c r="G95" s="258">
        <f>+G94-D94</f>
        <v>-14867222.590000033</v>
      </c>
      <c r="J95" s="258">
        <f>+J94-G94</f>
        <v>3682555.2200000286</v>
      </c>
    </row>
    <row r="96" spans="3:22">
      <c r="F96" s="258"/>
    </row>
    <row r="97" spans="6:14">
      <c r="I97" s="411" t="s">
        <v>192</v>
      </c>
      <c r="J97" s="260">
        <f>+'FY-09, FEB-09 - JAN-10, w TANs'!HO47+'FY-09, FEB-09 - JAN-10, w TANs'!HM47+'FY-09, FEB-09 - JAN-10, w TANs'!HV47</f>
        <v>64520637.339999996</v>
      </c>
      <c r="K97" s="8" t="s">
        <v>94</v>
      </c>
      <c r="M97" s="124"/>
    </row>
    <row r="98" spans="6:14">
      <c r="I98" s="411" t="s">
        <v>153</v>
      </c>
      <c r="J98" s="261">
        <f>+'FY-09, FEB-09 - JAN-10, w TANs'!IC32</f>
        <v>15284098.890000001</v>
      </c>
      <c r="K98" s="8" t="s">
        <v>91</v>
      </c>
      <c r="M98" s="124"/>
    </row>
    <row r="99" spans="6:14">
      <c r="I99" s="258"/>
      <c r="K99" s="463">
        <f>+J98/J97</f>
        <v>0.23688697942424883</v>
      </c>
      <c r="N99" s="544"/>
    </row>
    <row r="100" spans="6:14">
      <c r="F100" s="258"/>
      <c r="K100" s="253" t="s">
        <v>95</v>
      </c>
      <c r="N100" s="253"/>
    </row>
    <row r="101" spans="6:14">
      <c r="F101" s="258"/>
    </row>
    <row r="102" spans="6:14">
      <c r="F102" s="258"/>
      <c r="J102" s="478" t="s">
        <v>88</v>
      </c>
      <c r="K102" s="461" t="s">
        <v>164</v>
      </c>
    </row>
    <row r="103" spans="6:14">
      <c r="F103" s="258"/>
      <c r="J103" s="459" t="s">
        <v>162</v>
      </c>
      <c r="K103" s="462">
        <f>+'FY-09, FEB-09 - JAN-10, w TANs'!IR73</f>
        <v>2.6621068191194662E-2</v>
      </c>
    </row>
    <row r="104" spans="6:14">
      <c r="F104" s="258"/>
      <c r="J104" s="459" t="s">
        <v>163</v>
      </c>
      <c r="K104" s="462">
        <f>+'FY-09, FEB-09 - JAN-10, w TANs'!IR74</f>
        <v>0.16052193365421302</v>
      </c>
    </row>
    <row r="105" spans="6:14">
      <c r="F105" s="258"/>
    </row>
    <row r="106" spans="6:14">
      <c r="J106" s="478" t="s">
        <v>168</v>
      </c>
      <c r="K106" s="461" t="s">
        <v>169</v>
      </c>
    </row>
    <row r="107" spans="6:14">
      <c r="J107" s="459" t="s">
        <v>162</v>
      </c>
      <c r="K107" s="462">
        <f>+'FY-09, FEB-09 - JAN-10, w TANs'!IS73</f>
        <v>4.0698482359669816E-2</v>
      </c>
    </row>
    <row r="108" spans="6:14">
      <c r="J108" s="459" t="s">
        <v>163</v>
      </c>
      <c r="K108" s="462">
        <f>+'FY-09, FEB-09 - JAN-10, w TANs'!IS74</f>
        <v>0.11483499571388589</v>
      </c>
    </row>
  </sheetData>
  <sheetProtection insertColumns="0" insertRows="0"/>
  <mergeCells count="7">
    <mergeCell ref="HV1:HX2"/>
    <mergeCell ref="N1:O2"/>
    <mergeCell ref="CJ1:CK2"/>
    <mergeCell ref="DG1:DH2"/>
    <mergeCell ref="EY1:EZ2"/>
    <mergeCell ref="GS1:GT2"/>
    <mergeCell ref="HB1:HC2"/>
  </mergeCells>
  <pageMargins left="0.7" right="0.7" top="0.75" bottom="0.75" header="0.3" footer="0.3"/>
  <pageSetup scale="10" orientation="landscape" horizontalDpi="1200" verticalDpi="1200" r:id="rId1"/>
  <ignoredErrors>
    <ignoredError sqref="IW21:IW26 IW48" formulaRange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1"/>
  </sheetPr>
  <dimension ref="B1:X89"/>
  <sheetViews>
    <sheetView view="pageBreakPreview" zoomScaleNormal="100" zoomScaleSheetLayoutView="100" workbookViewId="0">
      <selection activeCell="K23" sqref="K23"/>
    </sheetView>
  </sheetViews>
  <sheetFormatPr defaultRowHeight="14.25"/>
  <cols>
    <col min="1" max="1" width="1.625" style="288" customWidth="1"/>
    <col min="2" max="2" width="2.5" style="288" customWidth="1"/>
    <col min="3" max="3" width="25.125" style="288" customWidth="1"/>
    <col min="4" max="4" width="3.625" style="288" bestFit="1" customWidth="1"/>
    <col min="5" max="5" width="13.75" style="288" bestFit="1" customWidth="1"/>
    <col min="6" max="6" width="1.625" style="288" customWidth="1"/>
    <col min="7" max="7" width="12.5" style="289" bestFit="1" customWidth="1"/>
    <col min="8" max="8" width="6.125" style="289" bestFit="1" customWidth="1"/>
    <col min="9" max="9" width="13.75" style="288" customWidth="1"/>
    <col min="10" max="10" width="1.625" style="288" customWidth="1"/>
    <col min="11" max="11" width="13.25" style="288" bestFit="1" customWidth="1"/>
    <col min="12" max="12" width="2.5" style="592" bestFit="1" customWidth="1"/>
    <col min="13" max="13" width="13.125" style="288" customWidth="1"/>
    <col min="14" max="14" width="2.375" style="592" bestFit="1" customWidth="1"/>
    <col min="15" max="15" width="14.375" style="288" customWidth="1"/>
    <col min="16" max="16" width="1.75" style="288" customWidth="1"/>
    <col min="17" max="17" width="14.375" style="288" bestFit="1" customWidth="1"/>
    <col min="18" max="18" width="5.375" style="292" bestFit="1" customWidth="1"/>
    <col min="19" max="19" width="19" style="551" bestFit="1" customWidth="1"/>
    <col min="20" max="20" width="1" style="288" customWidth="1"/>
    <col min="21" max="21" width="9.875" style="288" bestFit="1" customWidth="1"/>
    <col min="22" max="22" width="13.375" style="288" bestFit="1" customWidth="1"/>
    <col min="23" max="23" width="11.875" style="288" bestFit="1" customWidth="1"/>
    <col min="24" max="16384" width="9" style="288"/>
  </cols>
  <sheetData>
    <row r="1" spans="2:24" ht="18">
      <c r="B1" s="273" t="s">
        <v>106</v>
      </c>
      <c r="G1" s="289" t="s">
        <v>49</v>
      </c>
    </row>
    <row r="2" spans="2:24" ht="15">
      <c r="B2" s="286" t="s">
        <v>107</v>
      </c>
    </row>
    <row r="3" spans="2:24" ht="15">
      <c r="B3" s="285"/>
    </row>
    <row r="5" spans="2:24" ht="15.75">
      <c r="C5" s="284" t="s">
        <v>205</v>
      </c>
    </row>
    <row r="6" spans="2:24" ht="15.75" thickBot="1">
      <c r="C6" s="286" t="s">
        <v>246</v>
      </c>
    </row>
    <row r="7" spans="2:24" ht="15">
      <c r="B7" s="286"/>
      <c r="R7" s="592"/>
      <c r="S7" s="629"/>
      <c r="T7" s="658"/>
      <c r="U7" s="630"/>
      <c r="V7" s="631"/>
      <c r="W7" s="551"/>
    </row>
    <row r="8" spans="2:24" ht="15">
      <c r="B8" s="286"/>
      <c r="R8" s="592"/>
      <c r="S8" s="632" t="s">
        <v>256</v>
      </c>
      <c r="T8" s="659"/>
      <c r="U8" s="633"/>
      <c r="V8" s="634"/>
      <c r="W8" s="551"/>
    </row>
    <row r="9" spans="2:24">
      <c r="G9" s="288"/>
      <c r="H9" s="288"/>
      <c r="R9" s="592"/>
      <c r="S9" s="635"/>
      <c r="T9" s="633"/>
      <c r="U9" s="633"/>
      <c r="V9" s="634"/>
      <c r="W9" s="551"/>
    </row>
    <row r="10" spans="2:24" ht="15">
      <c r="F10" s="291"/>
      <c r="G10" s="389" t="s">
        <v>182</v>
      </c>
      <c r="H10" s="288"/>
      <c r="K10" s="389" t="s">
        <v>243</v>
      </c>
      <c r="R10" s="592"/>
      <c r="S10" s="636" t="s">
        <v>200</v>
      </c>
      <c r="T10" s="660"/>
      <c r="U10" s="637" t="s">
        <v>199</v>
      </c>
      <c r="V10" s="638" t="s">
        <v>201</v>
      </c>
      <c r="W10" s="551"/>
    </row>
    <row r="11" spans="2:24" ht="15">
      <c r="C11" s="302" t="s">
        <v>118</v>
      </c>
      <c r="E11" s="291" t="s">
        <v>182</v>
      </c>
      <c r="F11" s="275"/>
      <c r="G11" s="291" t="s">
        <v>122</v>
      </c>
      <c r="H11" s="301" t="s">
        <v>128</v>
      </c>
      <c r="I11" s="588" t="s">
        <v>243</v>
      </c>
      <c r="K11" s="291" t="s">
        <v>122</v>
      </c>
      <c r="R11" s="592"/>
      <c r="S11" s="639" t="s">
        <v>198</v>
      </c>
      <c r="T11" s="640"/>
      <c r="U11" s="640" t="s">
        <v>59</v>
      </c>
      <c r="V11" s="641" t="s">
        <v>203</v>
      </c>
      <c r="W11" s="695" t="s">
        <v>211</v>
      </c>
    </row>
    <row r="12" spans="2:24" ht="9" customHeight="1">
      <c r="C12" s="292"/>
      <c r="E12" s="291"/>
      <c r="F12" s="275"/>
      <c r="G12" s="291"/>
      <c r="H12" s="288"/>
      <c r="R12" s="592"/>
      <c r="S12" s="635"/>
      <c r="T12" s="633"/>
      <c r="U12" s="642"/>
      <c r="V12" s="643"/>
      <c r="W12" s="551"/>
    </row>
    <row r="13" spans="2:24">
      <c r="C13" s="587" t="s">
        <v>258</v>
      </c>
      <c r="D13" s="293"/>
      <c r="E13" s="294">
        <v>40400</v>
      </c>
      <c r="F13" s="294"/>
      <c r="G13" s="289">
        <f>+'FY-10, FEB-10 - JAN-11'!EG11</f>
        <v>30000000</v>
      </c>
      <c r="H13" s="750"/>
      <c r="I13" s="294">
        <v>40759</v>
      </c>
      <c r="K13" s="707">
        <f>+'FY-11, FEB-11 - JAN-12, w SFSF'!EC11</f>
        <v>65000000</v>
      </c>
      <c r="R13" s="897">
        <v>1</v>
      </c>
      <c r="S13" s="644">
        <f>+'FY-11, FEB-11 - JAN-12, w SFSF'!EQ69</f>
        <v>-33071504.450681061</v>
      </c>
      <c r="T13" s="661"/>
      <c r="U13" s="645">
        <v>40779</v>
      </c>
      <c r="V13" s="646">
        <f>+S13+K13</f>
        <v>31928495.549318939</v>
      </c>
      <c r="W13" s="898">
        <f>+'FY-11, FEB-11 - JAN-12, w SFSF'!EQ68</f>
        <v>31928495.549318939</v>
      </c>
      <c r="X13" s="898">
        <f>+V13-W13</f>
        <v>0</v>
      </c>
    </row>
    <row r="14" spans="2:24">
      <c r="C14" s="587" t="s">
        <v>259</v>
      </c>
      <c r="D14" s="293"/>
      <c r="E14" s="294">
        <v>40430</v>
      </c>
      <c r="F14" s="294"/>
      <c r="G14" s="325">
        <f>+'FY-10, FEB-10 - JAN-11'!FB11</f>
        <v>50000000</v>
      </c>
      <c r="H14" s="750"/>
      <c r="I14" s="294">
        <v>40794</v>
      </c>
      <c r="K14" s="656">
        <f>+'FY-11, FEB-11 - JAN-12, w SFSF'!FA11</f>
        <v>35000000</v>
      </c>
      <c r="R14" s="897">
        <v>2</v>
      </c>
      <c r="S14" s="644">
        <f>+'FY-11, FEB-11 - JAN-12, w SFSF'!FL69</f>
        <v>-74275053.50660485</v>
      </c>
      <c r="T14" s="661"/>
      <c r="U14" s="645">
        <v>40809</v>
      </c>
      <c r="V14" s="646">
        <f>+S14+K13+K14</f>
        <v>25724946.49339515</v>
      </c>
      <c r="W14" s="898">
        <f>+'FY-11, FEB-11 - JAN-12, w SFSF'!FL68</f>
        <v>25724946.493395157</v>
      </c>
      <c r="X14" s="898">
        <f t="shared" ref="X14:X17" si="0">+V14-W14</f>
        <v>0</v>
      </c>
    </row>
    <row r="15" spans="2:24">
      <c r="C15" s="587" t="s">
        <v>49</v>
      </c>
      <c r="D15" s="293"/>
      <c r="E15" s="294">
        <v>40466</v>
      </c>
      <c r="F15" s="294"/>
      <c r="G15" s="294" t="s">
        <v>112</v>
      </c>
      <c r="H15" s="751"/>
      <c r="I15" s="294">
        <v>40831</v>
      </c>
      <c r="K15" s="294" t="s">
        <v>112</v>
      </c>
      <c r="R15" s="897">
        <v>3</v>
      </c>
      <c r="S15" s="644">
        <f>+'FY-11, FEB-11 - JAN-12, w SFSF'!GB69</f>
        <v>114377889.69137836</v>
      </c>
      <c r="T15" s="661"/>
      <c r="U15" s="645">
        <v>40469</v>
      </c>
      <c r="V15" s="646">
        <f>+S15+K13+K14</f>
        <v>214377889.69137836</v>
      </c>
      <c r="W15" s="898">
        <f>+'FY-11, FEB-11 - JAN-12, w SFSF'!GB68</f>
        <v>214377889.69137836</v>
      </c>
      <c r="X15" s="898">
        <f t="shared" si="0"/>
        <v>0</v>
      </c>
    </row>
    <row r="16" spans="2:24">
      <c r="C16" s="292"/>
      <c r="D16" s="293"/>
      <c r="E16" s="752">
        <v>40497</v>
      </c>
      <c r="F16" s="294"/>
      <c r="G16" s="294" t="s">
        <v>112</v>
      </c>
      <c r="H16" s="751"/>
      <c r="I16" s="294">
        <v>40862</v>
      </c>
      <c r="K16" s="294" t="s">
        <v>112</v>
      </c>
      <c r="R16" s="696">
        <v>4</v>
      </c>
      <c r="S16" s="644">
        <f>+'FY-11, FEB-11 - JAN-12, w SFSF'!HA69</f>
        <v>150732764.25746197</v>
      </c>
      <c r="T16" s="661"/>
      <c r="U16" s="645">
        <v>40870</v>
      </c>
      <c r="V16" s="646">
        <f>+S16+K13+K14</f>
        <v>250732764.25746197</v>
      </c>
      <c r="W16" s="898">
        <f>+'FY-11, FEB-11 - JAN-12, w SFSF'!HA68</f>
        <v>250732764.25746197</v>
      </c>
      <c r="X16" s="898">
        <f t="shared" si="0"/>
        <v>0</v>
      </c>
    </row>
    <row r="17" spans="2:24">
      <c r="C17" s="292" t="s">
        <v>120</v>
      </c>
      <c r="D17" s="293"/>
      <c r="E17" s="294">
        <v>40445</v>
      </c>
      <c r="F17" s="294"/>
      <c r="G17" s="587" t="s">
        <v>112</v>
      </c>
      <c r="H17" s="751"/>
      <c r="I17" s="294">
        <v>40809</v>
      </c>
      <c r="K17" s="294" t="s">
        <v>112</v>
      </c>
      <c r="R17" s="696">
        <v>5</v>
      </c>
      <c r="S17" s="644">
        <f>+'FY-11, FEB-11 - JAN-12, w SFSF'!HS69</f>
        <v>106728549.65504545</v>
      </c>
      <c r="T17" s="661"/>
      <c r="U17" s="645">
        <v>40532</v>
      </c>
      <c r="V17" s="646">
        <f>+S17+K13+K14</f>
        <v>206728549.65504545</v>
      </c>
      <c r="W17" s="898">
        <f>+'FY-11, FEB-11 - JAN-12, w SFSF'!HS68</f>
        <v>206728549.65504545</v>
      </c>
      <c r="X17" s="898">
        <f t="shared" si="0"/>
        <v>0</v>
      </c>
    </row>
    <row r="18" spans="2:24" ht="7.5" customHeight="1">
      <c r="C18" s="292"/>
      <c r="D18" s="293"/>
      <c r="E18" s="294"/>
      <c r="F18" s="294"/>
      <c r="G18" s="288"/>
      <c r="H18" s="288"/>
      <c r="R18" s="592"/>
      <c r="S18" s="635"/>
      <c r="T18" s="633"/>
      <c r="U18" s="633"/>
      <c r="V18" s="634"/>
      <c r="W18" s="551"/>
    </row>
    <row r="19" spans="2:24">
      <c r="C19" s="292" t="s">
        <v>121</v>
      </c>
      <c r="E19" s="782">
        <f>+'FY-10, FEB-10 - JAN-11'!FM69</f>
        <v>-62622338.47450012</v>
      </c>
      <c r="F19" s="783"/>
      <c r="G19" s="784"/>
      <c r="H19" s="784"/>
      <c r="I19" s="782">
        <f>+S14</f>
        <v>-74275053.50660485</v>
      </c>
      <c r="J19" s="298"/>
      <c r="R19" s="592"/>
      <c r="S19" s="644"/>
      <c r="T19" s="633"/>
      <c r="U19" s="651"/>
      <c r="V19" s="650"/>
      <c r="W19" s="551"/>
    </row>
    <row r="20" spans="2:24" ht="15" thickBot="1">
      <c r="C20" s="292"/>
      <c r="E20" s="298"/>
      <c r="F20" s="328"/>
      <c r="G20" s="288"/>
      <c r="H20" s="288"/>
      <c r="I20" s="298"/>
      <c r="J20" s="328"/>
      <c r="R20" s="592"/>
      <c r="S20" s="647"/>
      <c r="T20" s="648"/>
      <c r="U20" s="648"/>
      <c r="V20" s="649"/>
      <c r="W20" s="551"/>
    </row>
    <row r="21" spans="2:24" ht="15">
      <c r="C21" s="292" t="s">
        <v>117</v>
      </c>
      <c r="E21" s="295"/>
      <c r="F21" s="295"/>
      <c r="G21" s="390">
        <f>SUM(G13:G20)</f>
        <v>80000000</v>
      </c>
      <c r="H21" s="288"/>
      <c r="K21" s="390">
        <f>SUM(K13:K20)</f>
        <v>100000000</v>
      </c>
    </row>
    <row r="22" spans="2:24" ht="7.5" customHeight="1">
      <c r="C22" s="292"/>
      <c r="E22" s="289"/>
      <c r="F22" s="289"/>
      <c r="G22" s="288"/>
      <c r="H22" s="288"/>
    </row>
    <row r="23" spans="2:24" ht="15" thickBot="1">
      <c r="C23" s="292" t="s">
        <v>131</v>
      </c>
      <c r="G23" s="296">
        <f>+E19+G21</f>
        <v>17377661.52549988</v>
      </c>
      <c r="H23" s="288"/>
      <c r="K23" s="296">
        <f>+I19+K21</f>
        <v>25724946.49339515</v>
      </c>
    </row>
    <row r="24" spans="2:24" ht="15" thickTop="1">
      <c r="C24" s="292"/>
      <c r="G24" s="295"/>
      <c r="H24" s="288"/>
    </row>
    <row r="25" spans="2:24">
      <c r="C25" s="292"/>
      <c r="G25" s="295"/>
      <c r="H25" s="295"/>
      <c r="K25" s="295"/>
    </row>
    <row r="26" spans="2:24">
      <c r="C26" s="292"/>
      <c r="G26" s="295"/>
      <c r="H26" s="295"/>
      <c r="K26" s="295"/>
    </row>
    <row r="27" spans="2:24">
      <c r="B27" s="301" t="s">
        <v>128</v>
      </c>
      <c r="C27" s="327" t="s">
        <v>212</v>
      </c>
      <c r="E27" s="289"/>
      <c r="F27" s="289"/>
      <c r="I27" s="289"/>
      <c r="J27" s="289"/>
    </row>
    <row r="28" spans="2:24" ht="15" thickBot="1">
      <c r="E28" s="289"/>
      <c r="F28" s="289"/>
      <c r="I28" s="289"/>
      <c r="J28" s="289"/>
      <c r="Q28" s="588" t="s">
        <v>111</v>
      </c>
      <c r="R28" s="288"/>
      <c r="S28" s="288"/>
    </row>
    <row r="29" spans="2:24" ht="16.5">
      <c r="E29" s="289"/>
      <c r="F29" s="289"/>
      <c r="I29" s="289"/>
      <c r="J29" s="289"/>
      <c r="Q29" s="518" t="s">
        <v>181</v>
      </c>
      <c r="R29" s="288"/>
      <c r="S29" s="288"/>
    </row>
    <row r="30" spans="2:24" ht="15">
      <c r="E30" s="360" t="s">
        <v>136</v>
      </c>
      <c r="F30" s="289"/>
      <c r="I30" s="289"/>
      <c r="J30" s="289"/>
      <c r="Q30" s="620" t="s">
        <v>223</v>
      </c>
      <c r="R30" s="288"/>
      <c r="S30" s="288"/>
    </row>
    <row r="31" spans="2:24" ht="16.5">
      <c r="B31" s="302" t="s">
        <v>196</v>
      </c>
      <c r="E31" s="291" t="s">
        <v>68</v>
      </c>
      <c r="F31" s="291"/>
      <c r="G31" s="291" t="s">
        <v>125</v>
      </c>
      <c r="H31" s="291"/>
      <c r="I31" s="291" t="s">
        <v>110</v>
      </c>
      <c r="J31" s="291"/>
      <c r="K31" s="290" t="s">
        <v>111</v>
      </c>
      <c r="M31" s="290" t="s">
        <v>182</v>
      </c>
      <c r="Q31" s="519"/>
      <c r="R31" s="288"/>
      <c r="S31" s="288"/>
    </row>
    <row r="32" spans="2:24" ht="16.5">
      <c r="C32" s="292"/>
      <c r="E32" s="289"/>
      <c r="F32" s="289"/>
      <c r="I32" s="289"/>
      <c r="J32" s="289"/>
      <c r="Q32" s="618" t="s">
        <v>209</v>
      </c>
      <c r="R32" s="588"/>
      <c r="S32" s="288"/>
    </row>
    <row r="33" spans="3:19" ht="16.5">
      <c r="C33" s="294" t="s">
        <v>126</v>
      </c>
      <c r="D33" s="300">
        <v>0.2</v>
      </c>
      <c r="E33" s="297">
        <v>39700</v>
      </c>
      <c r="F33" s="297"/>
      <c r="G33" s="303">
        <f>+'FY-08, FEB-08 - Jan-09, w-TANs'!FA16</f>
        <v>69900517</v>
      </c>
      <c r="H33" s="304"/>
      <c r="I33" s="305"/>
      <c r="J33" s="289"/>
      <c r="K33" s="289"/>
      <c r="Q33" s="654">
        <v>238453859</v>
      </c>
      <c r="R33" s="908">
        <f>+Q33-K60</f>
        <v>4</v>
      </c>
    </row>
    <row r="34" spans="3:19">
      <c r="C34" s="294"/>
      <c r="D34" s="300"/>
      <c r="E34" s="297"/>
      <c r="F34" s="297"/>
      <c r="G34" s="306"/>
      <c r="H34" s="307"/>
      <c r="I34" s="308"/>
      <c r="J34" s="289"/>
      <c r="K34" s="289"/>
      <c r="Q34" s="589"/>
      <c r="R34" s="555"/>
    </row>
    <row r="35" spans="3:19" ht="16.5">
      <c r="C35" s="292" t="s">
        <v>123</v>
      </c>
      <c r="D35" s="300">
        <v>0.45</v>
      </c>
      <c r="E35" s="297">
        <v>39716</v>
      </c>
      <c r="F35" s="297"/>
      <c r="G35" s="306"/>
      <c r="H35" s="307"/>
      <c r="I35" s="921">
        <f>+'FY-08, FEB-08 - Jan-09, w-TANs'!FM16</f>
        <v>113633309</v>
      </c>
      <c r="J35" s="289"/>
      <c r="K35" s="289"/>
      <c r="Q35" s="619" t="s">
        <v>213</v>
      </c>
      <c r="R35" s="555"/>
    </row>
    <row r="36" spans="3:19" ht="16.5">
      <c r="D36" s="301"/>
      <c r="G36" s="306"/>
      <c r="H36" s="307"/>
      <c r="I36" s="922"/>
      <c r="J36" s="289"/>
      <c r="K36" s="289"/>
      <c r="Q36" s="911">
        <v>-193402915</v>
      </c>
      <c r="R36" s="908">
        <f>+K41+K43+Q36</f>
        <v>0</v>
      </c>
    </row>
    <row r="37" spans="3:19">
      <c r="C37" s="292" t="s">
        <v>123</v>
      </c>
      <c r="D37" s="300">
        <v>0.35</v>
      </c>
      <c r="E37" s="297">
        <v>40111</v>
      </c>
      <c r="F37" s="297"/>
      <c r="G37" s="309"/>
      <c r="H37" s="310"/>
      <c r="I37" s="923">
        <f>+'FY-08, FEB-08 - Jan-09, w-TANs'!GH16</f>
        <v>89115955</v>
      </c>
      <c r="J37" s="289"/>
      <c r="K37" s="289"/>
      <c r="M37" s="289" t="s">
        <v>49</v>
      </c>
      <c r="Q37" s="590"/>
      <c r="R37" s="287"/>
    </row>
    <row r="38" spans="3:19" s="323" customFormat="1" ht="16.5">
      <c r="D38" s="561"/>
      <c r="G38" s="325"/>
      <c r="H38" s="325"/>
      <c r="I38" s="919"/>
      <c r="J38" s="325"/>
      <c r="K38" s="325"/>
      <c r="L38" s="593"/>
      <c r="N38" s="593"/>
      <c r="Q38" s="619" t="s">
        <v>214</v>
      </c>
      <c r="R38" s="540"/>
    </row>
    <row r="39" spans="3:19" ht="17.25" thickBot="1">
      <c r="C39" s="292" t="s">
        <v>123</v>
      </c>
      <c r="D39" s="300">
        <v>0.2</v>
      </c>
      <c r="E39" s="297">
        <v>40050</v>
      </c>
      <c r="F39" s="297"/>
      <c r="I39" s="924">
        <f>+'FY-09, FEB-09 - JAN-10, w TANs'!EQ16</f>
        <v>66633052</v>
      </c>
      <c r="J39" s="314"/>
      <c r="K39" s="315"/>
      <c r="Q39" s="653">
        <f>+Q33+Q36</f>
        <v>45050944</v>
      </c>
      <c r="R39" s="908">
        <f>+K45-Q39</f>
        <v>-4</v>
      </c>
    </row>
    <row r="40" spans="3:19">
      <c r="D40" s="301"/>
      <c r="I40" s="316"/>
      <c r="J40" s="317"/>
      <c r="K40" s="318"/>
      <c r="Q40" s="323"/>
      <c r="R40" s="287"/>
    </row>
    <row r="41" spans="3:19" ht="15" thickBot="1">
      <c r="C41" s="292" t="s">
        <v>124</v>
      </c>
      <c r="D41" s="300">
        <v>0.45</v>
      </c>
      <c r="E41" s="297">
        <v>40081</v>
      </c>
      <c r="F41" s="297"/>
      <c r="I41" s="316"/>
      <c r="J41" s="317"/>
      <c r="K41" s="916">
        <f>+'FY-09, FEB-09 - JAN-10, w TANs'!FM16</f>
        <v>109117874</v>
      </c>
      <c r="L41" s="327"/>
      <c r="Q41" s="588" t="s">
        <v>182</v>
      </c>
      <c r="R41" s="908"/>
      <c r="S41" s="637"/>
    </row>
    <row r="42" spans="3:19" ht="16.5">
      <c r="D42" s="301"/>
      <c r="I42" s="316"/>
      <c r="J42" s="317"/>
      <c r="K42" s="917"/>
      <c r="Q42" s="518" t="s">
        <v>181</v>
      </c>
      <c r="R42" s="555"/>
      <c r="S42" s="662"/>
    </row>
    <row r="43" spans="3:19">
      <c r="C43" s="292" t="s">
        <v>124</v>
      </c>
      <c r="D43" s="300">
        <v>0.35</v>
      </c>
      <c r="E43" s="297">
        <v>40112</v>
      </c>
      <c r="F43" s="297"/>
      <c r="I43" s="319"/>
      <c r="J43" s="320"/>
      <c r="K43" s="918">
        <f>+'FY-09, FEB-09 - JAN-10, w TANs'!GG16</f>
        <v>84285041</v>
      </c>
      <c r="L43" s="327"/>
      <c r="Q43" s="725" t="s">
        <v>268</v>
      </c>
      <c r="R43" s="908"/>
      <c r="S43" s="950"/>
    </row>
    <row r="44" spans="3:19" s="323" customFormat="1" ht="16.5">
      <c r="D44" s="561"/>
      <c r="G44" s="325"/>
      <c r="H44" s="325"/>
      <c r="I44" s="325"/>
      <c r="J44" s="325"/>
      <c r="K44" s="919"/>
      <c r="L44" s="593"/>
      <c r="N44" s="593"/>
      <c r="Q44" s="618" t="s">
        <v>228</v>
      </c>
      <c r="R44" s="555"/>
      <c r="S44" s="665"/>
    </row>
    <row r="45" spans="3:19" ht="16.5">
      <c r="C45" s="292" t="s">
        <v>124</v>
      </c>
      <c r="D45" s="300">
        <v>0.2</v>
      </c>
      <c r="E45" s="297">
        <v>40415</v>
      </c>
      <c r="F45" s="297"/>
      <c r="I45" s="289"/>
      <c r="J45" s="289"/>
      <c r="K45" s="920">
        <f>+'FY-10, FEB-10 - JAN-11'!ER16</f>
        <v>45050940</v>
      </c>
      <c r="L45" s="594" t="s">
        <v>227</v>
      </c>
      <c r="M45" s="557"/>
      <c r="Q45" s="654">
        <v>194973491</v>
      </c>
      <c r="R45" s="908"/>
      <c r="S45" s="671"/>
    </row>
    <row r="46" spans="3:19" ht="16.5">
      <c r="I46" s="289"/>
      <c r="J46" s="289"/>
      <c r="K46" s="558"/>
      <c r="L46" s="595"/>
      <c r="M46" s="559"/>
      <c r="Q46" s="755" t="s">
        <v>245</v>
      </c>
      <c r="R46" s="287"/>
      <c r="S46" s="951"/>
    </row>
    <row r="47" spans="3:19" ht="17.25" thickBot="1">
      <c r="C47" s="292" t="s">
        <v>197</v>
      </c>
      <c r="D47" s="300">
        <v>0.45</v>
      </c>
      <c r="E47" s="297">
        <v>40448</v>
      </c>
      <c r="I47" s="289"/>
      <c r="J47" s="289"/>
      <c r="K47" s="558"/>
      <c r="L47" s="595"/>
      <c r="M47" s="912">
        <f>+'FY-10, FEB-10 - JAN-11'!FN16</f>
        <v>101304280</v>
      </c>
      <c r="N47" s="327" t="s">
        <v>227</v>
      </c>
      <c r="Q47" s="907">
        <v>-3327168</v>
      </c>
      <c r="R47" s="909" t="s">
        <v>49</v>
      </c>
      <c r="S47" s="952"/>
    </row>
    <row r="48" spans="3:19" ht="16.5">
      <c r="D48" s="301"/>
      <c r="I48" s="289"/>
      <c r="J48" s="289"/>
      <c r="K48" s="558"/>
      <c r="L48" s="595"/>
      <c r="M48" s="913"/>
      <c r="N48" s="607"/>
      <c r="Q48" s="619" t="s">
        <v>213</v>
      </c>
      <c r="R48" s="555"/>
      <c r="S48" s="668"/>
    </row>
    <row r="49" spans="2:20" ht="16.5">
      <c r="C49" s="292" t="s">
        <v>197</v>
      </c>
      <c r="D49" s="300">
        <v>0.35</v>
      </c>
      <c r="E49" s="297">
        <v>40476</v>
      </c>
      <c r="I49" s="289"/>
      <c r="J49" s="289"/>
      <c r="K49" s="560"/>
      <c r="L49" s="596"/>
      <c r="M49" s="914">
        <f>+'FY-10, FEB-10 - JAN-11'!GG16</f>
        <v>56086086</v>
      </c>
      <c r="N49" s="327" t="s">
        <v>227</v>
      </c>
      <c r="Q49" s="520">
        <f>-M47-M49</f>
        <v>-157390366</v>
      </c>
      <c r="R49" s="908">
        <f>+M47+M49+Q49</f>
        <v>0</v>
      </c>
      <c r="S49" s="669"/>
    </row>
    <row r="50" spans="2:20" ht="16.5">
      <c r="D50" s="301"/>
      <c r="I50" s="289"/>
      <c r="J50" s="289"/>
      <c r="K50" s="289"/>
      <c r="M50" s="915"/>
      <c r="N50" s="607"/>
      <c r="Q50" s="619" t="s">
        <v>214</v>
      </c>
      <c r="R50" s="555"/>
      <c r="S50" s="668"/>
    </row>
    <row r="51" spans="2:20" ht="17.25" thickBot="1">
      <c r="C51" s="292" t="s">
        <v>197</v>
      </c>
      <c r="D51" s="300">
        <v>0.2</v>
      </c>
      <c r="E51" s="297">
        <v>40780</v>
      </c>
      <c r="I51" s="289"/>
      <c r="J51" s="289"/>
      <c r="K51" s="289"/>
      <c r="M51" s="927">
        <f>+'FY-11, FEB-11 - JAN-12, w SFSF'!ER16</f>
        <v>34255957</v>
      </c>
      <c r="N51" s="928" t="s">
        <v>130</v>
      </c>
      <c r="O51" s="929"/>
      <c r="Q51" s="653">
        <f>+Q45+Q47+Q49</f>
        <v>34255957</v>
      </c>
      <c r="R51" s="910">
        <f>+M51-Q51</f>
        <v>0</v>
      </c>
      <c r="S51" s="670"/>
      <c r="T51" s="633"/>
    </row>
    <row r="52" spans="2:20">
      <c r="C52" s="292"/>
      <c r="D52" s="300"/>
      <c r="E52" s="297"/>
      <c r="I52" s="289"/>
      <c r="J52" s="289"/>
      <c r="K52" s="289"/>
      <c r="M52" s="930"/>
      <c r="N52" s="931"/>
      <c r="O52" s="932"/>
      <c r="R52" s="910"/>
      <c r="S52" s="722"/>
      <c r="T52" s="633"/>
    </row>
    <row r="53" spans="2:20" ht="15" thickBot="1">
      <c r="C53" s="587" t="s">
        <v>260</v>
      </c>
      <c r="D53" s="300">
        <v>0.45</v>
      </c>
      <c r="E53" s="297">
        <v>40811</v>
      </c>
      <c r="I53" s="289"/>
      <c r="J53" s="289"/>
      <c r="M53" s="930"/>
      <c r="N53" s="931"/>
      <c r="O53" s="936">
        <f>+'FY-11, FEB-11 - JAN-12, w SFSF'!FM16</f>
        <v>145762419.15000001</v>
      </c>
      <c r="Q53" s="588" t="s">
        <v>243</v>
      </c>
      <c r="R53" s="910"/>
      <c r="T53" s="633"/>
    </row>
    <row r="54" spans="2:20" ht="16.5">
      <c r="D54" s="301"/>
      <c r="I54" s="289"/>
      <c r="J54" s="289"/>
      <c r="K54" s="289"/>
      <c r="M54" s="930"/>
      <c r="N54" s="931"/>
      <c r="O54" s="937"/>
      <c r="Q54" s="518" t="s">
        <v>181</v>
      </c>
      <c r="R54" s="910"/>
      <c r="T54" s="633"/>
    </row>
    <row r="55" spans="2:20">
      <c r="C55" s="587" t="s">
        <v>260</v>
      </c>
      <c r="D55" s="300">
        <v>0.35</v>
      </c>
      <c r="E55" s="297">
        <v>40841</v>
      </c>
      <c r="I55" s="289"/>
      <c r="J55" s="289"/>
      <c r="K55" s="289"/>
      <c r="M55" s="933"/>
      <c r="N55" s="934"/>
      <c r="O55" s="938">
        <f>+'FY-11, FEB-11 - JAN-12, w SFSF'!GG16</f>
        <v>113370770.44999999</v>
      </c>
      <c r="Q55" s="935" t="s">
        <v>269</v>
      </c>
      <c r="R55" s="910"/>
      <c r="T55" s="633"/>
    </row>
    <row r="56" spans="2:20" ht="16.5">
      <c r="D56" s="301"/>
      <c r="I56" s="289"/>
      <c r="J56" s="289"/>
      <c r="K56" s="289"/>
      <c r="N56" s="327"/>
      <c r="O56" s="925"/>
      <c r="Q56" s="618" t="s">
        <v>228</v>
      </c>
      <c r="R56" s="910"/>
      <c r="T56" s="633"/>
    </row>
    <row r="57" spans="2:20" ht="16.5">
      <c r="C57" s="587" t="s">
        <v>260</v>
      </c>
      <c r="D57" s="300">
        <v>0.2</v>
      </c>
      <c r="E57" s="297">
        <v>41146</v>
      </c>
      <c r="I57" s="289"/>
      <c r="J57" s="289"/>
      <c r="K57" s="289"/>
      <c r="N57" s="327"/>
      <c r="O57" s="926">
        <f>+Q63-O53-O55</f>
        <v>64783297.400000006</v>
      </c>
      <c r="Q57" s="939">
        <v>387004156</v>
      </c>
      <c r="R57" s="944" t="s">
        <v>264</v>
      </c>
      <c r="T57" s="633"/>
    </row>
    <row r="58" spans="2:20" ht="16.5">
      <c r="C58" s="292"/>
      <c r="D58" s="300"/>
      <c r="E58" s="297"/>
      <c r="I58" s="289"/>
      <c r="J58" s="289"/>
      <c r="K58" s="289"/>
      <c r="M58" s="707"/>
      <c r="N58" s="327"/>
      <c r="Q58" s="755" t="s">
        <v>245</v>
      </c>
      <c r="R58" s="910"/>
      <c r="T58" s="633"/>
    </row>
    <row r="59" spans="2:20" ht="17.25" thickBot="1">
      <c r="I59" s="289"/>
      <c r="J59" s="289"/>
      <c r="K59" s="289"/>
      <c r="N59" s="607"/>
      <c r="Q59" s="907">
        <v>-63087669</v>
      </c>
      <c r="R59" s="944" t="s">
        <v>270</v>
      </c>
      <c r="T59" s="715"/>
    </row>
    <row r="60" spans="2:20" ht="17.25" thickBot="1">
      <c r="C60" s="587" t="s">
        <v>127</v>
      </c>
      <c r="G60" s="326"/>
      <c r="I60" s="296">
        <f>SUM(I33:I46)</f>
        <v>269382316</v>
      </c>
      <c r="J60" s="289"/>
      <c r="K60" s="296">
        <f>SUM(K33:K46)</f>
        <v>238453855</v>
      </c>
      <c r="M60" s="296">
        <f>SUM(M45:M51)</f>
        <v>191646323</v>
      </c>
      <c r="O60" s="296">
        <f>SUM(O53:O57)</f>
        <v>323916487</v>
      </c>
      <c r="P60" s="668"/>
      <c r="Q60" s="619" t="s">
        <v>213</v>
      </c>
      <c r="R60" s="717"/>
      <c r="T60" s="718"/>
    </row>
    <row r="61" spans="2:20" ht="17.25" thickTop="1">
      <c r="G61" s="329"/>
      <c r="I61" s="289"/>
      <c r="J61" s="289"/>
      <c r="K61" s="289"/>
      <c r="P61" s="633"/>
      <c r="Q61" s="520">
        <f>-M59-M61</f>
        <v>0</v>
      </c>
      <c r="R61" s="719"/>
      <c r="T61" s="720"/>
    </row>
    <row r="62" spans="2:20" ht="16.5">
      <c r="C62" s="292" t="s">
        <v>129</v>
      </c>
      <c r="I62" s="312">
        <f>+G33+I35+I37</f>
        <v>272649781</v>
      </c>
      <c r="J62" s="289"/>
      <c r="K62" s="322">
        <f>+I39+K41+K43</f>
        <v>260035967</v>
      </c>
      <c r="M62" s="562">
        <f>+K45+M47+M49</f>
        <v>202441306</v>
      </c>
      <c r="O62" s="562">
        <f>+M51+O53+O55</f>
        <v>293389146.60000002</v>
      </c>
      <c r="P62" s="669" t="s">
        <v>49</v>
      </c>
      <c r="Q62" s="619" t="s">
        <v>214</v>
      </c>
      <c r="R62" s="298"/>
      <c r="T62" s="633"/>
    </row>
    <row r="63" spans="2:20" s="323" customFormat="1" ht="17.25" thickBot="1">
      <c r="C63" s="324"/>
      <c r="E63" s="604"/>
      <c r="G63" s="325"/>
      <c r="H63" s="325"/>
      <c r="I63" s="326"/>
      <c r="J63" s="325"/>
      <c r="K63" s="326"/>
      <c r="L63" s="593"/>
      <c r="N63" s="593"/>
      <c r="O63" s="776"/>
      <c r="P63" s="633"/>
      <c r="Q63" s="653">
        <f>+Q57+Q59+Q61</f>
        <v>323916487</v>
      </c>
      <c r="R63" s="642"/>
      <c r="T63" s="667"/>
    </row>
    <row r="64" spans="2:20" ht="16.5">
      <c r="B64" s="301" t="s">
        <v>130</v>
      </c>
      <c r="C64" s="301" t="s">
        <v>204</v>
      </c>
      <c r="O64" s="668"/>
      <c r="P64" s="668"/>
      <c r="Q64" s="642"/>
      <c r="R64" s="667"/>
      <c r="T64" s="633"/>
    </row>
    <row r="65" spans="2:20" ht="16.5">
      <c r="B65" s="301"/>
      <c r="C65" s="301"/>
      <c r="O65" s="670"/>
      <c r="P65" s="670"/>
      <c r="Q65" s="298"/>
      <c r="R65" s="721"/>
      <c r="S65" s="722"/>
      <c r="T65" s="633"/>
    </row>
    <row r="66" spans="2:20">
      <c r="B66" s="301"/>
      <c r="C66" s="301"/>
      <c r="O66" s="776"/>
    </row>
    <row r="67" spans="2:20" ht="15" thickBot="1">
      <c r="B67" s="301"/>
    </row>
    <row r="68" spans="2:20">
      <c r="B68" s="301"/>
      <c r="C68" s="599" t="s">
        <v>108</v>
      </c>
      <c r="D68" s="609"/>
      <c r="E68" s="609"/>
      <c r="F68" s="609"/>
      <c r="G68" s="610"/>
      <c r="H68" s="610"/>
      <c r="I68" s="611"/>
    </row>
    <row r="69" spans="2:20">
      <c r="B69" s="301"/>
      <c r="C69" s="600"/>
      <c r="D69" s="612"/>
      <c r="E69" s="612"/>
      <c r="F69" s="612"/>
      <c r="G69" s="613"/>
      <c r="H69" s="613"/>
      <c r="I69" s="614"/>
    </row>
    <row r="70" spans="2:20">
      <c r="C70" s="601" t="s">
        <v>271</v>
      </c>
      <c r="D70" s="612"/>
      <c r="E70" s="612"/>
      <c r="F70" s="612"/>
      <c r="G70" s="613"/>
      <c r="H70" s="613"/>
      <c r="I70" s="614"/>
    </row>
    <row r="71" spans="2:20">
      <c r="C71" s="602" t="s">
        <v>109</v>
      </c>
      <c r="D71" s="612"/>
      <c r="E71" s="612"/>
      <c r="F71" s="612"/>
      <c r="G71" s="613"/>
      <c r="H71" s="613"/>
      <c r="I71" s="614"/>
    </row>
    <row r="72" spans="2:20">
      <c r="C72" s="601"/>
      <c r="D72" s="612"/>
      <c r="E72" s="612"/>
      <c r="F72" s="612"/>
      <c r="G72" s="613"/>
      <c r="H72" s="613"/>
      <c r="I72" s="614"/>
    </row>
    <row r="73" spans="2:20">
      <c r="C73" s="601" t="s">
        <v>257</v>
      </c>
      <c r="D73" s="612"/>
      <c r="E73" s="612"/>
      <c r="F73" s="612"/>
      <c r="G73" s="613"/>
      <c r="H73" s="613"/>
      <c r="I73" s="614"/>
    </row>
    <row r="74" spans="2:20">
      <c r="C74" s="603" t="s">
        <v>206</v>
      </c>
      <c r="D74" s="612"/>
      <c r="E74" s="612"/>
      <c r="F74" s="612"/>
      <c r="G74" s="613"/>
      <c r="H74" s="613"/>
      <c r="I74" s="614"/>
    </row>
    <row r="75" spans="2:20">
      <c r="C75" s="601"/>
      <c r="D75" s="612"/>
      <c r="E75" s="612"/>
      <c r="F75" s="612"/>
      <c r="G75" s="613"/>
      <c r="H75" s="613"/>
      <c r="I75" s="614"/>
    </row>
    <row r="76" spans="2:20">
      <c r="C76" s="601" t="s">
        <v>263</v>
      </c>
      <c r="D76" s="612"/>
      <c r="E76" s="612"/>
      <c r="F76" s="612"/>
      <c r="G76" s="613"/>
      <c r="H76" s="613"/>
      <c r="I76" s="614"/>
    </row>
    <row r="77" spans="2:20">
      <c r="C77" s="603" t="s">
        <v>272</v>
      </c>
      <c r="D77" s="612"/>
      <c r="E77" s="612"/>
      <c r="F77" s="612"/>
      <c r="G77" s="613"/>
      <c r="H77" s="613"/>
      <c r="I77" s="614"/>
    </row>
    <row r="78" spans="2:20" ht="15" thickBot="1">
      <c r="C78" s="621"/>
      <c r="D78" s="615"/>
      <c r="E78" s="615"/>
      <c r="F78" s="615"/>
      <c r="G78" s="616"/>
      <c r="H78" s="616"/>
      <c r="I78" s="617"/>
    </row>
    <row r="79" spans="2:20" s="287" customFormat="1" ht="12.75">
      <c r="D79" s="299"/>
      <c r="E79" s="299"/>
      <c r="F79" s="299"/>
      <c r="G79" s="299"/>
      <c r="H79" s="598"/>
      <c r="L79" s="597"/>
      <c r="N79" s="597"/>
      <c r="R79" s="555"/>
      <c r="S79" s="553"/>
    </row>
    <row r="80" spans="2:20" s="287" customFormat="1" ht="12.75">
      <c r="D80" s="299"/>
      <c r="E80" s="299"/>
      <c r="F80" s="299"/>
      <c r="G80" s="299"/>
      <c r="H80" s="598"/>
      <c r="L80" s="597"/>
      <c r="N80" s="597"/>
      <c r="R80" s="555"/>
      <c r="S80" s="553"/>
    </row>
    <row r="81" spans="3:19" s="287" customFormat="1" ht="12.75">
      <c r="D81" s="299"/>
      <c r="E81" s="299"/>
      <c r="F81" s="299"/>
      <c r="G81" s="299"/>
      <c r="H81" s="598"/>
      <c r="L81" s="597"/>
      <c r="N81" s="597"/>
      <c r="R81" s="555"/>
      <c r="S81" s="553"/>
    </row>
    <row r="82" spans="3:19" s="287" customFormat="1" ht="12.75">
      <c r="D82" s="299"/>
      <c r="E82" s="299"/>
      <c r="F82" s="299"/>
      <c r="G82" s="299"/>
      <c r="H82" s="598"/>
      <c r="L82" s="597"/>
      <c r="N82" s="597"/>
      <c r="R82" s="555"/>
      <c r="S82" s="553"/>
    </row>
    <row r="83" spans="3:19" s="287" customFormat="1" ht="12.75">
      <c r="D83" s="299"/>
      <c r="E83" s="299"/>
      <c r="F83" s="299"/>
      <c r="G83" s="299"/>
      <c r="H83" s="598"/>
      <c r="L83" s="597"/>
      <c r="N83" s="597"/>
      <c r="R83" s="555"/>
      <c r="S83" s="553"/>
    </row>
    <row r="84" spans="3:19" s="287" customFormat="1" ht="12.75">
      <c r="D84" s="299"/>
      <c r="E84" s="299"/>
      <c r="F84" s="299"/>
      <c r="G84" s="299"/>
      <c r="H84" s="598"/>
      <c r="L84" s="597"/>
      <c r="N84" s="597"/>
      <c r="R84" s="555"/>
      <c r="S84" s="553"/>
    </row>
    <row r="85" spans="3:19" s="287" customFormat="1" ht="12.75">
      <c r="D85" s="299"/>
      <c r="E85" s="299"/>
      <c r="F85" s="299"/>
      <c r="G85" s="299"/>
      <c r="H85" s="598"/>
      <c r="L85" s="597"/>
      <c r="N85" s="597"/>
      <c r="R85" s="555"/>
      <c r="S85" s="553"/>
    </row>
    <row r="86" spans="3:19" s="287" customFormat="1" ht="12.75">
      <c r="D86" s="299"/>
      <c r="E86" s="299"/>
      <c r="F86" s="299"/>
      <c r="G86" s="299"/>
      <c r="H86" s="598"/>
      <c r="L86" s="597"/>
      <c r="N86" s="597"/>
      <c r="R86" s="555"/>
      <c r="S86" s="553"/>
    </row>
    <row r="87" spans="3:19" s="287" customFormat="1" ht="12.75">
      <c r="D87" s="299"/>
      <c r="E87" s="299"/>
      <c r="F87" s="299"/>
      <c r="G87" s="299"/>
      <c r="H87" s="598"/>
      <c r="L87" s="597"/>
      <c r="N87" s="597"/>
      <c r="R87" s="555"/>
      <c r="S87" s="553"/>
    </row>
    <row r="88" spans="3:19" s="287" customFormat="1" ht="12.75">
      <c r="D88" s="299"/>
      <c r="E88" s="299"/>
      <c r="F88" s="299"/>
      <c r="G88" s="299"/>
      <c r="H88" s="598"/>
      <c r="L88" s="597"/>
      <c r="N88" s="597"/>
      <c r="R88" s="555"/>
      <c r="S88" s="553"/>
    </row>
    <row r="89" spans="3:19" s="287" customFormat="1" ht="12.75">
      <c r="C89" s="299"/>
      <c r="D89" s="299"/>
      <c r="E89" s="299"/>
      <c r="F89" s="299"/>
      <c r="G89" s="299"/>
      <c r="H89" s="598"/>
      <c r="L89" s="597"/>
      <c r="N89" s="597"/>
      <c r="R89" s="555"/>
      <c r="S89" s="553"/>
    </row>
  </sheetData>
  <pageMargins left="0.75" right="0.75" top="1" bottom="1" header="0.5" footer="0.5"/>
  <pageSetup scale="55" orientation="portrait" r:id="rId1"/>
  <headerFooter alignWithMargins="0">
    <oddFooter>&amp;L&amp;F&amp;R&amp;D 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09"/>
  <sheetViews>
    <sheetView tabSelected="1" zoomScale="90" zoomScaleNormal="90" zoomScaleSheetLayoutView="100" workbookViewId="0">
      <pane xSplit="1" ySplit="7" topLeftCell="DB28" activePane="bottomRight" state="frozen"/>
      <selection pane="topRight" activeCell="B1" sqref="B1"/>
      <selection pane="bottomLeft" activeCell="A8" sqref="A8"/>
      <selection pane="bottomRight" activeCell="DG61" sqref="DG61"/>
    </sheetView>
  </sheetViews>
  <sheetFormatPr defaultColWidth="0" defaultRowHeight="14.25"/>
  <cols>
    <col min="1" max="1" width="27.625" bestFit="1" customWidth="1"/>
    <col min="2" max="2" width="6.5" customWidth="1"/>
    <col min="3" max="3" width="13" style="8" customWidth="1"/>
    <col min="4" max="4" width="13" style="8" bestFit="1" customWidth="1"/>
    <col min="5" max="5" width="10.625" style="8" customWidth="1"/>
    <col min="6" max="6" width="12.125" style="8" customWidth="1"/>
    <col min="7" max="7" width="13" style="8" bestFit="1" customWidth="1"/>
    <col min="8" max="8" width="12" style="8" customWidth="1"/>
    <col min="9" max="9" width="11.125" style="8" customWidth="1"/>
    <col min="10" max="10" width="13" style="8" bestFit="1" customWidth="1"/>
    <col min="11" max="11" width="10.625" style="8" customWidth="1"/>
    <col min="12" max="12" width="11.375" style="8" customWidth="1"/>
    <col min="13" max="13" width="11.25" style="8" customWidth="1"/>
    <col min="14" max="16" width="10.625" style="8" customWidth="1"/>
    <col min="17" max="17" width="11.125" style="8" customWidth="1"/>
    <col min="18" max="18" width="10.625" style="8" customWidth="1"/>
    <col min="19" max="19" width="10.5" style="8" customWidth="1"/>
    <col min="20" max="40" width="10.625" style="8" customWidth="1"/>
    <col min="41" max="41" width="10.625" style="564" customWidth="1"/>
    <col min="42" max="103" width="10.625" style="8" customWidth="1"/>
    <col min="104" max="104" width="10.625" style="140" customWidth="1"/>
    <col min="105" max="117" width="10.625" style="8" customWidth="1"/>
    <col min="118" max="118" width="13.875" style="8" bestFit="1" customWidth="1"/>
    <col min="119" max="121" width="10.625" style="8" customWidth="1"/>
    <col min="122" max="122" width="10.625" style="140" customWidth="1"/>
    <col min="123" max="131" width="10.625" style="8" customWidth="1"/>
    <col min="132" max="132" width="10.625" style="140" customWidth="1"/>
    <col min="133" max="139" width="10.625" style="8" customWidth="1"/>
    <col min="140" max="140" width="12.375" style="8" bestFit="1" customWidth="1"/>
    <col min="141" max="146" width="10.625" style="8" customWidth="1"/>
    <col min="147" max="147" width="10.625" style="140" customWidth="1"/>
    <col min="148" max="157" width="10.625" style="8" customWidth="1"/>
    <col min="158" max="158" width="11.125" style="8" customWidth="1"/>
    <col min="159" max="159" width="10.625" style="8" customWidth="1"/>
    <col min="160" max="160" width="10.625" style="140" customWidth="1"/>
    <col min="161" max="161" width="11.375" style="8" bestFit="1" customWidth="1"/>
    <col min="162" max="162" width="12.75" style="8" customWidth="1"/>
    <col min="163" max="165" width="10.625" style="8" customWidth="1"/>
    <col min="166" max="166" width="11.25" style="8" bestFit="1" customWidth="1"/>
    <col min="167" max="181" width="10.625" style="8" customWidth="1"/>
    <col min="182" max="182" width="11.375" style="8" bestFit="1" customWidth="1"/>
    <col min="183" max="183" width="11.125" style="8" bestFit="1" customWidth="1"/>
    <col min="184" max="188" width="10.625" style="8" customWidth="1"/>
    <col min="189" max="189" width="11.875" style="8" bestFit="1" customWidth="1"/>
    <col min="190" max="202" width="10.625" style="8" customWidth="1"/>
    <col min="203" max="203" width="11.125" style="8" bestFit="1" customWidth="1"/>
    <col min="204" max="209" width="10.625" style="8" customWidth="1"/>
    <col min="210" max="210" width="10.75" style="8" customWidth="1"/>
    <col min="211" max="211" width="11.25" style="8" customWidth="1"/>
    <col min="212" max="223" width="10.625" style="8" customWidth="1"/>
    <col min="224" max="224" width="11.875" style="8" customWidth="1"/>
    <col min="225" max="256" width="10.625" style="8" customWidth="1"/>
    <col min="257" max="257" width="1" style="863" customWidth="1"/>
    <col min="258" max="264" width="10.625" style="8" customWidth="1"/>
    <col min="265" max="265" width="11.375" style="8" bestFit="1" customWidth="1"/>
    <col min="266" max="268" width="10.625" style="8" customWidth="1"/>
    <col min="269" max="269" width="11.5" style="8" bestFit="1" customWidth="1"/>
    <col min="270" max="270" width="10.625" style="152" hidden="1" customWidth="1"/>
    <col min="271" max="16384" width="10.625" style="8" hidden="1"/>
  </cols>
  <sheetData>
    <row r="1" spans="1:271" ht="36" customHeight="1" thickBot="1">
      <c r="A1" s="17" t="s">
        <v>36</v>
      </c>
      <c r="B1" s="18"/>
      <c r="C1" s="418"/>
      <c r="Q1" s="964" t="s">
        <v>233</v>
      </c>
      <c r="R1" s="957"/>
      <c r="V1" s="152"/>
      <c r="AD1" s="330"/>
      <c r="AO1" s="780"/>
      <c r="AS1" s="418"/>
      <c r="BK1" s="330" t="s">
        <v>49</v>
      </c>
      <c r="BL1" s="330"/>
      <c r="BO1" s="418"/>
      <c r="CB1" s="330"/>
      <c r="CJ1" s="964" t="s">
        <v>234</v>
      </c>
      <c r="CK1" s="957"/>
      <c r="DE1" s="418"/>
      <c r="DG1" s="964" t="s">
        <v>235</v>
      </c>
      <c r="DH1" s="957"/>
      <c r="DL1" s="165" t="s">
        <v>70</v>
      </c>
      <c r="DR1" s="150"/>
      <c r="DZ1" s="418"/>
      <c r="ER1" s="140"/>
      <c r="EV1" s="418"/>
      <c r="EY1" s="964" t="s">
        <v>236</v>
      </c>
      <c r="EZ1" s="957"/>
      <c r="FA1" s="453"/>
      <c r="FB1" s="604" t="s">
        <v>247</v>
      </c>
      <c r="FG1" s="151"/>
      <c r="FL1" s="708" t="s">
        <v>115</v>
      </c>
      <c r="FM1" s="453"/>
      <c r="FQ1" s="418"/>
      <c r="FV1" s="964" t="s">
        <v>237</v>
      </c>
      <c r="FW1" s="957"/>
      <c r="GG1" s="777"/>
      <c r="GK1" s="418"/>
      <c r="GS1" s="964" t="s">
        <v>238</v>
      </c>
      <c r="GT1" s="957"/>
      <c r="GU1" s="711"/>
      <c r="HB1" s="964" t="s">
        <v>239</v>
      </c>
      <c r="HC1" s="961"/>
      <c r="HE1" s="418"/>
      <c r="HP1" s="710" t="s">
        <v>49</v>
      </c>
      <c r="HV1" s="964" t="s">
        <v>240</v>
      </c>
      <c r="HW1" s="956"/>
      <c r="HX1" s="957"/>
      <c r="IA1" s="740"/>
      <c r="IB1" s="741"/>
      <c r="IC1" s="742"/>
      <c r="JE1" s="891"/>
      <c r="JI1" s="418"/>
    </row>
    <row r="2" spans="1:271" ht="29.25" customHeight="1" thickBot="1">
      <c r="A2" s="19" t="s">
        <v>0</v>
      </c>
      <c r="B2" s="19"/>
      <c r="C2" s="418"/>
      <c r="Q2" s="958"/>
      <c r="R2" s="960"/>
      <c r="V2" s="152"/>
      <c r="AD2" s="330"/>
      <c r="AO2" s="563"/>
      <c r="AS2" s="418"/>
      <c r="BK2" s="330" t="s">
        <v>49</v>
      </c>
      <c r="BL2" s="330"/>
      <c r="BO2" s="418"/>
      <c r="CB2" s="330"/>
      <c r="CJ2" s="958"/>
      <c r="CK2" s="960"/>
      <c r="DE2" s="418"/>
      <c r="DG2" s="958"/>
      <c r="DH2" s="960"/>
      <c r="DL2" s="165" t="s">
        <v>66</v>
      </c>
      <c r="DR2" s="151"/>
      <c r="DZ2" s="418"/>
      <c r="ER2" s="140"/>
      <c r="EV2" s="418"/>
      <c r="EY2" s="958"/>
      <c r="EZ2" s="960"/>
      <c r="FA2" s="453"/>
      <c r="FB2" s="785">
        <f>SUM(DH14:EX14)</f>
        <v>4017099.4790000007</v>
      </c>
      <c r="FG2" s="511"/>
      <c r="FL2" s="503" t="s">
        <v>152</v>
      </c>
      <c r="FM2" s="453"/>
      <c r="FQ2" s="418"/>
      <c r="FV2" s="958"/>
      <c r="FW2" s="960"/>
      <c r="GF2" s="706" t="s">
        <v>49</v>
      </c>
      <c r="GG2" s="699"/>
      <c r="GK2" s="418"/>
      <c r="GS2" s="958"/>
      <c r="GT2" s="960"/>
      <c r="GU2" s="511"/>
      <c r="HB2" s="962"/>
      <c r="HC2" s="963"/>
      <c r="HE2" s="418"/>
      <c r="HP2" s="709" t="s">
        <v>230</v>
      </c>
      <c r="HV2" s="958"/>
      <c r="HW2" s="959"/>
      <c r="HX2" s="960"/>
      <c r="IA2" s="743"/>
      <c r="IB2" s="744"/>
      <c r="IC2" s="745"/>
      <c r="JE2" s="891"/>
      <c r="JI2" s="418"/>
    </row>
    <row r="3" spans="1:271" ht="24.75" customHeight="1">
      <c r="B3" s="16"/>
      <c r="C3" s="790" t="s">
        <v>147</v>
      </c>
      <c r="D3" s="8" t="s">
        <v>148</v>
      </c>
      <c r="E3" s="8" t="s">
        <v>149</v>
      </c>
      <c r="F3" s="8" t="s">
        <v>150</v>
      </c>
      <c r="G3" s="8" t="s">
        <v>151</v>
      </c>
      <c r="H3" s="8" t="s">
        <v>147</v>
      </c>
      <c r="I3" s="8" t="s">
        <v>148</v>
      </c>
      <c r="J3" s="8" t="s">
        <v>149</v>
      </c>
      <c r="K3" s="8" t="s">
        <v>150</v>
      </c>
      <c r="L3" s="8" t="s">
        <v>151</v>
      </c>
      <c r="M3" s="8" t="s">
        <v>147</v>
      </c>
      <c r="N3" s="8" t="s">
        <v>148</v>
      </c>
      <c r="O3" s="8" t="s">
        <v>149</v>
      </c>
      <c r="P3" s="8" t="s">
        <v>150</v>
      </c>
      <c r="Q3" s="8" t="s">
        <v>151</v>
      </c>
      <c r="R3" s="8" t="s">
        <v>148</v>
      </c>
      <c r="S3" s="8" t="s">
        <v>149</v>
      </c>
      <c r="T3" s="8" t="s">
        <v>150</v>
      </c>
      <c r="U3" s="8" t="s">
        <v>151</v>
      </c>
      <c r="V3" s="8" t="s">
        <v>147</v>
      </c>
      <c r="W3" s="8" t="s">
        <v>148</v>
      </c>
      <c r="X3" s="8" t="s">
        <v>149</v>
      </c>
      <c r="Y3" s="8" t="s">
        <v>150</v>
      </c>
      <c r="Z3" s="8" t="s">
        <v>151</v>
      </c>
      <c r="AA3" s="8" t="s">
        <v>147</v>
      </c>
      <c r="AB3" s="8" t="s">
        <v>148</v>
      </c>
      <c r="AC3" s="8" t="s">
        <v>149</v>
      </c>
      <c r="AD3" s="8" t="s">
        <v>150</v>
      </c>
      <c r="AE3" s="8" t="s">
        <v>151</v>
      </c>
      <c r="AF3" s="8" t="s">
        <v>147</v>
      </c>
      <c r="AG3" s="8" t="s">
        <v>148</v>
      </c>
      <c r="AH3" s="8" t="s">
        <v>149</v>
      </c>
      <c r="AI3" s="8" t="s">
        <v>150</v>
      </c>
      <c r="AJ3" s="8" t="s">
        <v>151</v>
      </c>
      <c r="AK3" s="8" t="s">
        <v>147</v>
      </c>
      <c r="AL3" s="8" t="s">
        <v>148</v>
      </c>
      <c r="AM3" s="8" t="s">
        <v>149</v>
      </c>
      <c r="AN3" s="8" t="s">
        <v>150</v>
      </c>
      <c r="AO3" s="564" t="s">
        <v>151</v>
      </c>
      <c r="AP3" s="8" t="s">
        <v>147</v>
      </c>
      <c r="AQ3" s="8" t="s">
        <v>148</v>
      </c>
      <c r="AR3" s="8" t="s">
        <v>149</v>
      </c>
      <c r="AS3" s="418" t="s">
        <v>150</v>
      </c>
      <c r="AT3" s="8" t="s">
        <v>151</v>
      </c>
      <c r="AU3" s="8" t="s">
        <v>147</v>
      </c>
      <c r="AV3" s="8" t="s">
        <v>148</v>
      </c>
      <c r="AW3" s="8" t="s">
        <v>149</v>
      </c>
      <c r="AX3" s="8" t="s">
        <v>150</v>
      </c>
      <c r="AY3" s="8" t="s">
        <v>151</v>
      </c>
      <c r="AZ3" s="8" t="s">
        <v>147</v>
      </c>
      <c r="BA3" s="8" t="s">
        <v>148</v>
      </c>
      <c r="BB3" s="8" t="s">
        <v>149</v>
      </c>
      <c r="BC3" s="8" t="s">
        <v>150</v>
      </c>
      <c r="BD3" s="8" t="s">
        <v>151</v>
      </c>
      <c r="BE3" s="8" t="s">
        <v>147</v>
      </c>
      <c r="BF3" s="8" t="s">
        <v>148</v>
      </c>
      <c r="BG3" s="8" t="s">
        <v>149</v>
      </c>
      <c r="BH3" s="8" t="s">
        <v>150</v>
      </c>
      <c r="BI3" s="8" t="s">
        <v>151</v>
      </c>
      <c r="BJ3" s="8" t="s">
        <v>147</v>
      </c>
      <c r="BK3" s="8" t="s">
        <v>148</v>
      </c>
      <c r="BL3" s="8" t="s">
        <v>149</v>
      </c>
      <c r="BM3" s="8" t="s">
        <v>150</v>
      </c>
      <c r="BN3" s="8" t="s">
        <v>151</v>
      </c>
      <c r="BO3" s="418" t="s">
        <v>147</v>
      </c>
      <c r="BP3" s="8" t="s">
        <v>148</v>
      </c>
      <c r="BQ3" s="8" t="s">
        <v>149</v>
      </c>
      <c r="BR3" s="8" t="s">
        <v>150</v>
      </c>
      <c r="BS3" s="8" t="s">
        <v>151</v>
      </c>
      <c r="BT3" s="8" t="s">
        <v>147</v>
      </c>
      <c r="BU3" s="8" t="s">
        <v>148</v>
      </c>
      <c r="BV3" s="8" t="s">
        <v>149</v>
      </c>
      <c r="BW3" s="8" t="s">
        <v>150</v>
      </c>
      <c r="BX3" s="8" t="s">
        <v>151</v>
      </c>
      <c r="BY3" s="8" t="s">
        <v>147</v>
      </c>
      <c r="BZ3" s="8" t="s">
        <v>148</v>
      </c>
      <c r="CA3" s="8" t="s">
        <v>149</v>
      </c>
      <c r="CB3" s="8" t="s">
        <v>150</v>
      </c>
      <c r="CC3" s="8" t="s">
        <v>151</v>
      </c>
      <c r="CD3" s="8" t="s">
        <v>147</v>
      </c>
      <c r="CE3" s="8" t="s">
        <v>148</v>
      </c>
      <c r="CF3" s="8" t="s">
        <v>149</v>
      </c>
      <c r="CG3" s="8" t="s">
        <v>150</v>
      </c>
      <c r="CH3" s="8" t="s">
        <v>151</v>
      </c>
      <c r="CI3" s="418" t="s">
        <v>148</v>
      </c>
      <c r="CJ3" s="8" t="s">
        <v>149</v>
      </c>
      <c r="CK3" s="8" t="s">
        <v>150</v>
      </c>
      <c r="CL3" s="8" t="s">
        <v>151</v>
      </c>
      <c r="CM3" s="8" t="s">
        <v>147</v>
      </c>
      <c r="CN3" s="8" t="s">
        <v>148</v>
      </c>
      <c r="CO3" s="8" t="s">
        <v>149</v>
      </c>
      <c r="CP3" s="8" t="s">
        <v>150</v>
      </c>
      <c r="CQ3" s="8" t="s">
        <v>151</v>
      </c>
      <c r="CR3" s="8" t="s">
        <v>147</v>
      </c>
      <c r="CS3" s="8" t="s">
        <v>148</v>
      </c>
      <c r="CT3" s="8" t="s">
        <v>149</v>
      </c>
      <c r="CU3" s="8" t="s">
        <v>150</v>
      </c>
      <c r="CV3" s="8" t="s">
        <v>151</v>
      </c>
      <c r="CW3" s="8" t="s">
        <v>147</v>
      </c>
      <c r="CX3" s="8" t="s">
        <v>148</v>
      </c>
      <c r="CY3" s="8" t="s">
        <v>149</v>
      </c>
      <c r="CZ3" s="8" t="s">
        <v>150</v>
      </c>
      <c r="DA3" s="8" t="s">
        <v>151</v>
      </c>
      <c r="DB3" s="8" t="s">
        <v>147</v>
      </c>
      <c r="DC3" s="8" t="s">
        <v>148</v>
      </c>
      <c r="DD3" s="8" t="s">
        <v>149</v>
      </c>
      <c r="DE3" s="418" t="s">
        <v>150</v>
      </c>
      <c r="DF3" s="8" t="s">
        <v>151</v>
      </c>
      <c r="DG3" s="8" t="s">
        <v>148</v>
      </c>
      <c r="DH3" s="8" t="s">
        <v>149</v>
      </c>
      <c r="DI3" s="8" t="s">
        <v>150</v>
      </c>
      <c r="DJ3" s="8" t="s">
        <v>151</v>
      </c>
      <c r="DK3" s="8" t="s">
        <v>147</v>
      </c>
      <c r="DL3" s="8" t="s">
        <v>148</v>
      </c>
      <c r="DM3" s="8" t="s">
        <v>149</v>
      </c>
      <c r="DN3" s="8" t="s">
        <v>150</v>
      </c>
      <c r="DO3" s="8" t="s">
        <v>151</v>
      </c>
      <c r="DP3" s="8" t="s">
        <v>147</v>
      </c>
      <c r="DQ3" s="8" t="s">
        <v>148</v>
      </c>
      <c r="DR3" s="8" t="s">
        <v>149</v>
      </c>
      <c r="DS3" s="8" t="s">
        <v>150</v>
      </c>
      <c r="DT3" s="8" t="s">
        <v>151</v>
      </c>
      <c r="DU3" s="8" t="s">
        <v>147</v>
      </c>
      <c r="DV3" s="8" t="s">
        <v>148</v>
      </c>
      <c r="DW3" s="8" t="s">
        <v>149</v>
      </c>
      <c r="DX3" s="8" t="s">
        <v>150</v>
      </c>
      <c r="DY3" s="8" t="s">
        <v>151</v>
      </c>
      <c r="DZ3" s="418" t="s">
        <v>147</v>
      </c>
      <c r="EA3" s="8" t="s">
        <v>148</v>
      </c>
      <c r="EB3" s="8" t="s">
        <v>149</v>
      </c>
      <c r="EC3" s="8" t="s">
        <v>150</v>
      </c>
      <c r="ED3" s="8" t="s">
        <v>151</v>
      </c>
      <c r="EE3" s="8" t="s">
        <v>147</v>
      </c>
      <c r="EF3" s="8" t="s">
        <v>148</v>
      </c>
      <c r="EG3" s="8" t="s">
        <v>149</v>
      </c>
      <c r="EH3" s="8" t="s">
        <v>150</v>
      </c>
      <c r="EI3" s="8" t="s">
        <v>151</v>
      </c>
      <c r="EJ3" s="8" t="s">
        <v>147</v>
      </c>
      <c r="EK3" s="8" t="s">
        <v>148</v>
      </c>
      <c r="EL3" s="8" t="s">
        <v>149</v>
      </c>
      <c r="EM3" s="8" t="s">
        <v>150</v>
      </c>
      <c r="EN3" s="8" t="s">
        <v>151</v>
      </c>
      <c r="EO3" s="8" t="s">
        <v>147</v>
      </c>
      <c r="EP3" s="8" t="s">
        <v>148</v>
      </c>
      <c r="EQ3" s="8" t="s">
        <v>149</v>
      </c>
      <c r="ER3" s="8" t="s">
        <v>150</v>
      </c>
      <c r="ES3" s="8" t="s">
        <v>151</v>
      </c>
      <c r="ET3" s="8" t="s">
        <v>147</v>
      </c>
      <c r="EU3" s="8" t="s">
        <v>148</v>
      </c>
      <c r="EV3" s="418" t="s">
        <v>149</v>
      </c>
      <c r="EW3" s="8" t="s">
        <v>150</v>
      </c>
      <c r="EX3" s="8" t="s">
        <v>151</v>
      </c>
      <c r="EY3" s="8" t="s">
        <v>148</v>
      </c>
      <c r="EZ3" s="8" t="s">
        <v>149</v>
      </c>
      <c r="FA3" s="453" t="s">
        <v>150</v>
      </c>
      <c r="FB3" s="8" t="s">
        <v>151</v>
      </c>
      <c r="FC3" s="8" t="s">
        <v>147</v>
      </c>
      <c r="FD3" s="8" t="s">
        <v>148</v>
      </c>
      <c r="FE3" s="8" t="s">
        <v>149</v>
      </c>
      <c r="FF3" s="8" t="s">
        <v>150</v>
      </c>
      <c r="FG3" s="8" t="s">
        <v>151</v>
      </c>
      <c r="FH3" s="8" t="s">
        <v>147</v>
      </c>
      <c r="FI3" s="8" t="s">
        <v>148</v>
      </c>
      <c r="FJ3" s="8" t="s">
        <v>149</v>
      </c>
      <c r="FK3" s="8" t="s">
        <v>150</v>
      </c>
      <c r="FL3" s="8" t="s">
        <v>151</v>
      </c>
      <c r="FM3" s="453" t="s">
        <v>147</v>
      </c>
      <c r="FN3" s="8" t="s">
        <v>148</v>
      </c>
      <c r="FO3" s="8" t="s">
        <v>149</v>
      </c>
      <c r="FP3" s="8" t="s">
        <v>150</v>
      </c>
      <c r="FQ3" s="418" t="s">
        <v>151</v>
      </c>
      <c r="FR3" s="8" t="s">
        <v>147</v>
      </c>
      <c r="FS3" s="8" t="s">
        <v>148</v>
      </c>
      <c r="FT3" s="8" t="s">
        <v>149</v>
      </c>
      <c r="FU3" s="8" t="s">
        <v>150</v>
      </c>
      <c r="FV3" s="8" t="s">
        <v>151</v>
      </c>
      <c r="FW3" s="8" t="s">
        <v>148</v>
      </c>
      <c r="FX3" s="8" t="s">
        <v>149</v>
      </c>
      <c r="FY3" s="8" t="s">
        <v>150</v>
      </c>
      <c r="FZ3" s="8" t="s">
        <v>151</v>
      </c>
      <c r="GA3" s="8" t="s">
        <v>147</v>
      </c>
      <c r="GB3" s="8" t="s">
        <v>148</v>
      </c>
      <c r="GC3" s="8" t="s">
        <v>149</v>
      </c>
      <c r="GD3" s="8" t="s">
        <v>150</v>
      </c>
      <c r="GE3" s="8" t="s">
        <v>151</v>
      </c>
      <c r="GF3" s="8" t="s">
        <v>147</v>
      </c>
      <c r="GG3" s="453" t="s">
        <v>148</v>
      </c>
      <c r="GH3" s="8" t="s">
        <v>149</v>
      </c>
      <c r="GI3" s="8" t="s">
        <v>150</v>
      </c>
      <c r="GJ3" s="8" t="s">
        <v>151</v>
      </c>
      <c r="GK3" s="418" t="s">
        <v>147</v>
      </c>
      <c r="GL3" s="8" t="s">
        <v>148</v>
      </c>
      <c r="GM3" s="8" t="s">
        <v>149</v>
      </c>
      <c r="GN3" s="8" t="s">
        <v>150</v>
      </c>
      <c r="GO3" s="8" t="s">
        <v>151</v>
      </c>
      <c r="GP3" s="8" t="s">
        <v>147</v>
      </c>
      <c r="GQ3" s="8" t="s">
        <v>148</v>
      </c>
      <c r="GR3" s="8" t="s">
        <v>149</v>
      </c>
      <c r="GS3" s="8" t="s">
        <v>150</v>
      </c>
      <c r="GT3" s="8" t="s">
        <v>147</v>
      </c>
      <c r="GU3" s="8" t="s">
        <v>148</v>
      </c>
      <c r="GV3" s="8" t="s">
        <v>149</v>
      </c>
      <c r="GW3" s="8" t="s">
        <v>150</v>
      </c>
      <c r="GX3" s="8" t="s">
        <v>151</v>
      </c>
      <c r="GY3" s="8" t="s">
        <v>147</v>
      </c>
      <c r="GZ3" s="8" t="s">
        <v>148</v>
      </c>
      <c r="HA3" s="8" t="s">
        <v>149</v>
      </c>
      <c r="HB3" s="8" t="s">
        <v>151</v>
      </c>
      <c r="HC3" s="8" t="s">
        <v>147</v>
      </c>
      <c r="HD3" s="8" t="s">
        <v>148</v>
      </c>
      <c r="HE3" s="418" t="s">
        <v>149</v>
      </c>
      <c r="HF3" s="8" t="s">
        <v>150</v>
      </c>
      <c r="HG3" s="8" t="s">
        <v>151</v>
      </c>
      <c r="HH3" s="8" t="s">
        <v>147</v>
      </c>
      <c r="HI3" s="8" t="s">
        <v>148</v>
      </c>
      <c r="HJ3" s="8" t="s">
        <v>149</v>
      </c>
      <c r="HK3" s="8" t="s">
        <v>150</v>
      </c>
      <c r="HL3" s="8" t="s">
        <v>151</v>
      </c>
      <c r="HM3" s="8" t="s">
        <v>147</v>
      </c>
      <c r="HN3" s="8" t="s">
        <v>148</v>
      </c>
      <c r="HO3" s="8" t="s">
        <v>149</v>
      </c>
      <c r="HP3" s="8" t="s">
        <v>150</v>
      </c>
      <c r="HQ3" s="8" t="s">
        <v>151</v>
      </c>
      <c r="HR3" s="8" t="s">
        <v>147</v>
      </c>
      <c r="HS3" s="8" t="s">
        <v>148</v>
      </c>
      <c r="HT3" s="8" t="s">
        <v>149</v>
      </c>
      <c r="HU3" s="8" t="s">
        <v>150</v>
      </c>
      <c r="HV3" s="8" t="s">
        <v>151</v>
      </c>
      <c r="HW3" s="8" t="s">
        <v>147</v>
      </c>
      <c r="HX3" s="8" t="s">
        <v>148</v>
      </c>
      <c r="HY3" s="8" t="s">
        <v>149</v>
      </c>
      <c r="HZ3" s="8" t="s">
        <v>150</v>
      </c>
      <c r="IA3" s="418" t="s">
        <v>151</v>
      </c>
      <c r="IB3" s="8" t="s">
        <v>147</v>
      </c>
      <c r="IC3" s="8" t="s">
        <v>148</v>
      </c>
      <c r="ID3" s="8" t="s">
        <v>149</v>
      </c>
      <c r="IE3" s="8" t="s">
        <v>150</v>
      </c>
      <c r="IF3" s="8" t="s">
        <v>151</v>
      </c>
      <c r="IG3" s="8" t="s">
        <v>147</v>
      </c>
      <c r="IH3" s="8" t="s">
        <v>148</v>
      </c>
      <c r="II3" s="8" t="s">
        <v>149</v>
      </c>
      <c r="IJ3" s="8" t="s">
        <v>150</v>
      </c>
      <c r="IK3" s="8" t="s">
        <v>151</v>
      </c>
      <c r="IL3" s="8" t="s">
        <v>147</v>
      </c>
      <c r="IM3" s="8" t="s">
        <v>149</v>
      </c>
      <c r="IN3" s="8" t="s">
        <v>150</v>
      </c>
      <c r="IO3" s="8" t="s">
        <v>151</v>
      </c>
      <c r="IP3" s="8" t="s">
        <v>147</v>
      </c>
      <c r="IQ3" s="8" t="s">
        <v>148</v>
      </c>
      <c r="IR3" s="8" t="s">
        <v>149</v>
      </c>
      <c r="IS3" s="8" t="s">
        <v>150</v>
      </c>
      <c r="IT3" s="8" t="s">
        <v>151</v>
      </c>
      <c r="IU3" s="8" t="s">
        <v>147</v>
      </c>
      <c r="IV3" s="8" t="s">
        <v>148</v>
      </c>
      <c r="IX3" s="8" t="s">
        <v>149</v>
      </c>
      <c r="IY3" s="8" t="s">
        <v>150</v>
      </c>
      <c r="IZ3" s="8" t="s">
        <v>151</v>
      </c>
      <c r="JA3" s="8" t="s">
        <v>147</v>
      </c>
      <c r="JB3" s="8" t="s">
        <v>148</v>
      </c>
      <c r="JC3" s="8" t="s">
        <v>149</v>
      </c>
      <c r="JD3" s="8" t="s">
        <v>150</v>
      </c>
      <c r="JE3" s="891" t="s">
        <v>151</v>
      </c>
      <c r="JF3" s="8" t="s">
        <v>147</v>
      </c>
      <c r="JG3" s="8" t="s">
        <v>148</v>
      </c>
      <c r="JH3" s="8" t="s">
        <v>148</v>
      </c>
      <c r="JI3" s="418"/>
    </row>
    <row r="4" spans="1:271" s="147" customFormat="1" ht="20.25" thickBot="1">
      <c r="A4" s="51" t="s">
        <v>1</v>
      </c>
      <c r="B4" s="47" t="s">
        <v>46</v>
      </c>
      <c r="C4" s="791">
        <v>40574</v>
      </c>
      <c r="D4" s="48">
        <v>40575</v>
      </c>
      <c r="E4" s="48">
        <v>40576</v>
      </c>
      <c r="F4" s="48">
        <v>40577</v>
      </c>
      <c r="G4" s="48">
        <v>40578</v>
      </c>
      <c r="H4" s="48">
        <v>40581</v>
      </c>
      <c r="I4" s="48">
        <v>40582</v>
      </c>
      <c r="J4" s="48">
        <f t="shared" ref="J4:BQ4" si="0">I4+1</f>
        <v>40583</v>
      </c>
      <c r="K4" s="48">
        <f t="shared" si="0"/>
        <v>40584</v>
      </c>
      <c r="L4" s="48">
        <f t="shared" si="0"/>
        <v>40585</v>
      </c>
      <c r="M4" s="48">
        <v>40588</v>
      </c>
      <c r="N4" s="48">
        <f t="shared" ref="N4:T4" si="1">M4+1</f>
        <v>40589</v>
      </c>
      <c r="O4" s="48">
        <f t="shared" si="1"/>
        <v>40590</v>
      </c>
      <c r="P4" s="48">
        <f t="shared" si="1"/>
        <v>40591</v>
      </c>
      <c r="Q4" s="48">
        <f t="shared" si="1"/>
        <v>40592</v>
      </c>
      <c r="R4" s="48">
        <v>40596</v>
      </c>
      <c r="S4" s="48">
        <f t="shared" si="1"/>
        <v>40597</v>
      </c>
      <c r="T4" s="48">
        <f t="shared" si="1"/>
        <v>40598</v>
      </c>
      <c r="U4" s="48">
        <f t="shared" si="0"/>
        <v>40599</v>
      </c>
      <c r="V4" s="48">
        <v>40602</v>
      </c>
      <c r="W4" s="48">
        <f t="shared" ref="W4" si="2">V4+1</f>
        <v>40603</v>
      </c>
      <c r="X4" s="48">
        <f t="shared" ref="X4" si="3">W4+1</f>
        <v>40604</v>
      </c>
      <c r="Y4" s="48">
        <f t="shared" ref="Y4" si="4">X4+1</f>
        <v>40605</v>
      </c>
      <c r="Z4" s="48">
        <f t="shared" ref="Z4" si="5">Y4+1</f>
        <v>40606</v>
      </c>
      <c r="AA4" s="48">
        <v>40609</v>
      </c>
      <c r="AB4" s="48">
        <f t="shared" ref="AB4" si="6">AA4+1</f>
        <v>40610</v>
      </c>
      <c r="AC4" s="48">
        <f t="shared" si="0"/>
        <v>40611</v>
      </c>
      <c r="AD4" s="48">
        <f t="shared" si="0"/>
        <v>40612</v>
      </c>
      <c r="AE4" s="48">
        <f t="shared" si="0"/>
        <v>40613</v>
      </c>
      <c r="AF4" s="48">
        <v>40616</v>
      </c>
      <c r="AG4" s="48">
        <v>40252</v>
      </c>
      <c r="AH4" s="48">
        <f t="shared" si="0"/>
        <v>40253</v>
      </c>
      <c r="AI4" s="48">
        <f t="shared" si="0"/>
        <v>40254</v>
      </c>
      <c r="AJ4" s="48">
        <f t="shared" si="0"/>
        <v>40255</v>
      </c>
      <c r="AK4" s="48">
        <v>40623</v>
      </c>
      <c r="AL4" s="48">
        <v>40624</v>
      </c>
      <c r="AM4" s="48">
        <f t="shared" si="0"/>
        <v>40625</v>
      </c>
      <c r="AN4" s="48">
        <f t="shared" si="0"/>
        <v>40626</v>
      </c>
      <c r="AO4" s="565">
        <f t="shared" si="0"/>
        <v>40627</v>
      </c>
      <c r="AP4" s="48">
        <v>40630</v>
      </c>
      <c r="AQ4" s="48">
        <v>40631</v>
      </c>
      <c r="AR4" s="48">
        <f t="shared" si="0"/>
        <v>40632</v>
      </c>
      <c r="AS4" s="419">
        <f t="shared" si="0"/>
        <v>40633</v>
      </c>
      <c r="AT4" s="48">
        <f t="shared" si="0"/>
        <v>40634</v>
      </c>
      <c r="AU4" s="48">
        <v>40637</v>
      </c>
      <c r="AV4" s="48">
        <f>AU4+1</f>
        <v>40638</v>
      </c>
      <c r="AW4" s="48">
        <f t="shared" si="0"/>
        <v>40639</v>
      </c>
      <c r="AX4" s="48">
        <f t="shared" si="0"/>
        <v>40640</v>
      </c>
      <c r="AY4" s="48">
        <f t="shared" si="0"/>
        <v>40641</v>
      </c>
      <c r="AZ4" s="48">
        <v>40644</v>
      </c>
      <c r="BA4" s="48">
        <v>40645</v>
      </c>
      <c r="BB4" s="48">
        <v>40646</v>
      </c>
      <c r="BC4" s="48">
        <v>40647</v>
      </c>
      <c r="BD4" s="48">
        <v>40648</v>
      </c>
      <c r="BE4" s="48">
        <v>40651</v>
      </c>
      <c r="BF4" s="48">
        <v>40652</v>
      </c>
      <c r="BG4" s="48">
        <v>40653</v>
      </c>
      <c r="BH4" s="48">
        <v>40654</v>
      </c>
      <c r="BI4" s="48">
        <v>40655</v>
      </c>
      <c r="BJ4" s="48">
        <v>40658</v>
      </c>
      <c r="BK4" s="48">
        <v>40659</v>
      </c>
      <c r="BL4" s="48">
        <v>40660</v>
      </c>
      <c r="BM4" s="48">
        <v>40661</v>
      </c>
      <c r="BN4" s="48">
        <v>40662</v>
      </c>
      <c r="BO4" s="419">
        <v>40665</v>
      </c>
      <c r="BP4" s="48">
        <v>40666</v>
      </c>
      <c r="BQ4" s="48">
        <f t="shared" si="0"/>
        <v>40667</v>
      </c>
      <c r="BR4" s="48">
        <f t="shared" ref="BR4:EC4" si="7">BQ4+1</f>
        <v>40668</v>
      </c>
      <c r="BS4" s="48">
        <f t="shared" si="7"/>
        <v>40669</v>
      </c>
      <c r="BT4" s="48">
        <v>40672</v>
      </c>
      <c r="BU4" s="48">
        <v>40673</v>
      </c>
      <c r="BV4" s="48">
        <v>40674</v>
      </c>
      <c r="BW4" s="48">
        <v>40675</v>
      </c>
      <c r="BX4" s="48">
        <v>40676</v>
      </c>
      <c r="BY4" s="48">
        <v>40679</v>
      </c>
      <c r="BZ4" s="48">
        <v>40680</v>
      </c>
      <c r="CA4" s="48">
        <f t="shared" si="7"/>
        <v>40681</v>
      </c>
      <c r="CB4" s="48">
        <f t="shared" si="7"/>
        <v>40682</v>
      </c>
      <c r="CC4" s="48">
        <f t="shared" si="7"/>
        <v>40683</v>
      </c>
      <c r="CD4" s="48">
        <v>40686</v>
      </c>
      <c r="CE4" s="48">
        <v>40687</v>
      </c>
      <c r="CF4" s="48">
        <f t="shared" si="7"/>
        <v>40688</v>
      </c>
      <c r="CG4" s="48">
        <f t="shared" si="7"/>
        <v>40689</v>
      </c>
      <c r="CH4" s="48">
        <f t="shared" si="7"/>
        <v>40690</v>
      </c>
      <c r="CI4" s="419">
        <v>40694</v>
      </c>
      <c r="CJ4" s="48">
        <v>40695</v>
      </c>
      <c r="CK4" s="48">
        <f t="shared" si="7"/>
        <v>40696</v>
      </c>
      <c r="CL4" s="48">
        <f t="shared" si="7"/>
        <v>40697</v>
      </c>
      <c r="CM4" s="48">
        <v>40700</v>
      </c>
      <c r="CN4" s="48">
        <v>40701</v>
      </c>
      <c r="CO4" s="48">
        <v>40702</v>
      </c>
      <c r="CP4" s="48">
        <v>40703</v>
      </c>
      <c r="CQ4" s="48">
        <v>40704</v>
      </c>
      <c r="CR4" s="48">
        <v>40707</v>
      </c>
      <c r="CS4" s="48">
        <v>40708</v>
      </c>
      <c r="CT4" s="48">
        <v>40709</v>
      </c>
      <c r="CU4" s="48">
        <v>40710</v>
      </c>
      <c r="CV4" s="48">
        <v>40711</v>
      </c>
      <c r="CW4" s="48">
        <v>40714</v>
      </c>
      <c r="CX4" s="48">
        <v>40715</v>
      </c>
      <c r="CY4" s="48">
        <v>40716</v>
      </c>
      <c r="CZ4" s="48">
        <v>40717</v>
      </c>
      <c r="DA4" s="48">
        <v>40718</v>
      </c>
      <c r="DB4" s="48">
        <v>40721</v>
      </c>
      <c r="DC4" s="48">
        <v>40722</v>
      </c>
      <c r="DD4" s="48">
        <v>40723</v>
      </c>
      <c r="DE4" s="48">
        <v>40724</v>
      </c>
      <c r="DF4" s="48">
        <v>40725</v>
      </c>
      <c r="DG4" s="48">
        <v>40729</v>
      </c>
      <c r="DH4" s="48">
        <v>40730</v>
      </c>
      <c r="DI4" s="48">
        <v>40731</v>
      </c>
      <c r="DJ4" s="48">
        <v>40732</v>
      </c>
      <c r="DK4" s="48">
        <v>40735</v>
      </c>
      <c r="DL4" s="48">
        <v>40736</v>
      </c>
      <c r="DM4" s="48">
        <v>40737</v>
      </c>
      <c r="DN4" s="48">
        <v>40738</v>
      </c>
      <c r="DO4" s="48">
        <v>40739</v>
      </c>
      <c r="DP4" s="48">
        <v>40742</v>
      </c>
      <c r="DQ4" s="48">
        <v>40743</v>
      </c>
      <c r="DR4" s="48">
        <v>40744</v>
      </c>
      <c r="DS4" s="48">
        <v>40745</v>
      </c>
      <c r="DT4" s="48">
        <v>40746</v>
      </c>
      <c r="DU4" s="48">
        <v>40749</v>
      </c>
      <c r="DV4" s="48">
        <v>40750</v>
      </c>
      <c r="DW4" s="48">
        <v>40751</v>
      </c>
      <c r="DX4" s="48">
        <v>40752</v>
      </c>
      <c r="DY4" s="48">
        <v>40753</v>
      </c>
      <c r="DZ4" s="419">
        <v>40756</v>
      </c>
      <c r="EA4" s="48">
        <v>40757</v>
      </c>
      <c r="EB4" s="48">
        <f t="shared" si="7"/>
        <v>40758</v>
      </c>
      <c r="EC4" s="48">
        <f t="shared" si="7"/>
        <v>40759</v>
      </c>
      <c r="ED4" s="48">
        <f t="shared" ref="ED4:GO4" si="8">EC4+1</f>
        <v>40760</v>
      </c>
      <c r="EE4" s="48">
        <v>40763</v>
      </c>
      <c r="EF4" s="48">
        <f t="shared" si="8"/>
        <v>40764</v>
      </c>
      <c r="EG4" s="48">
        <f t="shared" si="8"/>
        <v>40765</v>
      </c>
      <c r="EH4" s="48">
        <f t="shared" si="8"/>
        <v>40766</v>
      </c>
      <c r="EI4" s="48">
        <f t="shared" si="8"/>
        <v>40767</v>
      </c>
      <c r="EJ4" s="48">
        <v>40770</v>
      </c>
      <c r="EK4" s="48">
        <v>40771</v>
      </c>
      <c r="EL4" s="48">
        <f t="shared" si="8"/>
        <v>40772</v>
      </c>
      <c r="EM4" s="48">
        <f t="shared" si="8"/>
        <v>40773</v>
      </c>
      <c r="EN4" s="48">
        <f t="shared" si="8"/>
        <v>40774</v>
      </c>
      <c r="EO4" s="48">
        <v>40777</v>
      </c>
      <c r="EP4" s="48">
        <v>40778</v>
      </c>
      <c r="EQ4" s="48">
        <f t="shared" si="8"/>
        <v>40779</v>
      </c>
      <c r="ER4" s="48">
        <f t="shared" si="8"/>
        <v>40780</v>
      </c>
      <c r="ES4" s="48">
        <f t="shared" si="8"/>
        <v>40781</v>
      </c>
      <c r="ET4" s="48">
        <v>40784</v>
      </c>
      <c r="EU4" s="48">
        <v>40785</v>
      </c>
      <c r="EV4" s="419">
        <f t="shared" si="8"/>
        <v>40786</v>
      </c>
      <c r="EW4" s="48">
        <f t="shared" si="8"/>
        <v>40787</v>
      </c>
      <c r="EX4" s="48">
        <f t="shared" si="8"/>
        <v>40788</v>
      </c>
      <c r="EY4" s="48">
        <v>40792</v>
      </c>
      <c r="EZ4" s="48">
        <v>40793</v>
      </c>
      <c r="FA4" s="454">
        <v>40794</v>
      </c>
      <c r="FB4" s="48">
        <v>40795</v>
      </c>
      <c r="FC4" s="48">
        <v>40798</v>
      </c>
      <c r="FD4" s="48">
        <v>40799</v>
      </c>
      <c r="FE4" s="48">
        <v>40800</v>
      </c>
      <c r="FF4" s="48">
        <v>40801</v>
      </c>
      <c r="FG4" s="48">
        <v>40802</v>
      </c>
      <c r="FH4" s="48">
        <v>40805</v>
      </c>
      <c r="FI4" s="48">
        <v>40806</v>
      </c>
      <c r="FJ4" s="48">
        <v>40807</v>
      </c>
      <c r="FK4" s="48">
        <v>40808</v>
      </c>
      <c r="FL4" s="48">
        <v>40809</v>
      </c>
      <c r="FM4" s="454">
        <v>40812</v>
      </c>
      <c r="FN4" s="48">
        <v>40813</v>
      </c>
      <c r="FO4" s="48">
        <f t="shared" si="8"/>
        <v>40814</v>
      </c>
      <c r="FP4" s="48">
        <f t="shared" si="8"/>
        <v>40815</v>
      </c>
      <c r="FQ4" s="419">
        <f t="shared" si="8"/>
        <v>40816</v>
      </c>
      <c r="FR4" s="48">
        <v>40819</v>
      </c>
      <c r="FS4" s="48">
        <v>40820</v>
      </c>
      <c r="FT4" s="48">
        <v>40821</v>
      </c>
      <c r="FU4" s="48">
        <v>40822</v>
      </c>
      <c r="FV4" s="48">
        <v>40823</v>
      </c>
      <c r="FW4" s="48">
        <v>40827</v>
      </c>
      <c r="FX4" s="48">
        <v>40828</v>
      </c>
      <c r="FY4" s="48">
        <v>40829</v>
      </c>
      <c r="FZ4" s="48">
        <v>40830</v>
      </c>
      <c r="GA4" s="48">
        <v>40833</v>
      </c>
      <c r="GB4" s="48">
        <v>40834</v>
      </c>
      <c r="GC4" s="48">
        <v>40835</v>
      </c>
      <c r="GD4" s="48">
        <v>40836</v>
      </c>
      <c r="GE4" s="48">
        <v>40837</v>
      </c>
      <c r="GF4" s="48">
        <v>40840</v>
      </c>
      <c r="GG4" s="454">
        <v>40841</v>
      </c>
      <c r="GH4" s="48">
        <v>40842</v>
      </c>
      <c r="GI4" s="48">
        <f t="shared" si="8"/>
        <v>40843</v>
      </c>
      <c r="GJ4" s="48">
        <f t="shared" si="8"/>
        <v>40844</v>
      </c>
      <c r="GK4" s="419">
        <v>40847</v>
      </c>
      <c r="GL4" s="48">
        <v>40848</v>
      </c>
      <c r="GM4" s="48">
        <f t="shared" si="8"/>
        <v>40849</v>
      </c>
      <c r="GN4" s="48">
        <f t="shared" si="8"/>
        <v>40850</v>
      </c>
      <c r="GO4" s="48">
        <f t="shared" si="8"/>
        <v>40851</v>
      </c>
      <c r="GP4" s="48">
        <v>40854</v>
      </c>
      <c r="GQ4" s="48">
        <v>40855</v>
      </c>
      <c r="GR4" s="48">
        <v>40856</v>
      </c>
      <c r="GS4" s="48">
        <v>40857</v>
      </c>
      <c r="GT4" s="48">
        <v>40861</v>
      </c>
      <c r="GU4" s="48">
        <v>40862</v>
      </c>
      <c r="GV4" s="48">
        <v>40863</v>
      </c>
      <c r="GW4" s="48">
        <v>40864</v>
      </c>
      <c r="GX4" s="48">
        <v>40865</v>
      </c>
      <c r="GY4" s="48">
        <v>40868</v>
      </c>
      <c r="GZ4" s="48">
        <v>40869</v>
      </c>
      <c r="HA4" s="48">
        <f t="shared" ref="HA4:IO4" si="9">GZ4+1</f>
        <v>40870</v>
      </c>
      <c r="HB4" s="48">
        <v>40872</v>
      </c>
      <c r="HC4" s="48">
        <v>40875</v>
      </c>
      <c r="HD4" s="48">
        <v>40876</v>
      </c>
      <c r="HE4" s="419">
        <f t="shared" si="9"/>
        <v>40877</v>
      </c>
      <c r="HF4" s="48">
        <f t="shared" si="9"/>
        <v>40878</v>
      </c>
      <c r="HG4" s="48">
        <f t="shared" si="9"/>
        <v>40879</v>
      </c>
      <c r="HH4" s="48">
        <v>40882</v>
      </c>
      <c r="HI4" s="48">
        <v>40883</v>
      </c>
      <c r="HJ4" s="48">
        <f t="shared" si="9"/>
        <v>40884</v>
      </c>
      <c r="HK4" s="48">
        <f t="shared" si="9"/>
        <v>40885</v>
      </c>
      <c r="HL4" s="48">
        <f t="shared" si="9"/>
        <v>40886</v>
      </c>
      <c r="HM4" s="48">
        <v>40889</v>
      </c>
      <c r="HN4" s="48">
        <v>40890</v>
      </c>
      <c r="HO4" s="48">
        <f t="shared" si="9"/>
        <v>40891</v>
      </c>
      <c r="HP4" s="48">
        <f t="shared" si="9"/>
        <v>40892</v>
      </c>
      <c r="HQ4" s="48">
        <f t="shared" si="9"/>
        <v>40893</v>
      </c>
      <c r="HR4" s="48">
        <v>40896</v>
      </c>
      <c r="HS4" s="48">
        <v>40897</v>
      </c>
      <c r="HT4" s="48">
        <f t="shared" si="9"/>
        <v>40898</v>
      </c>
      <c r="HU4" s="48">
        <f t="shared" si="9"/>
        <v>40899</v>
      </c>
      <c r="HV4" s="48">
        <f t="shared" si="9"/>
        <v>40900</v>
      </c>
      <c r="HW4" s="48">
        <v>40903</v>
      </c>
      <c r="HX4" s="48">
        <v>40904</v>
      </c>
      <c r="HY4" s="48">
        <f t="shared" si="9"/>
        <v>40905</v>
      </c>
      <c r="HZ4" s="48">
        <f t="shared" si="9"/>
        <v>40906</v>
      </c>
      <c r="IA4" s="419">
        <f t="shared" si="9"/>
        <v>40907</v>
      </c>
      <c r="IB4" s="48">
        <v>40910</v>
      </c>
      <c r="IC4" s="48">
        <v>40911</v>
      </c>
      <c r="ID4" s="48">
        <v>40912</v>
      </c>
      <c r="IE4" s="48">
        <v>40913</v>
      </c>
      <c r="IF4" s="48">
        <v>40914</v>
      </c>
      <c r="IG4" s="48">
        <v>40917</v>
      </c>
      <c r="IH4" s="48">
        <v>40918</v>
      </c>
      <c r="II4" s="48">
        <v>40919</v>
      </c>
      <c r="IJ4" s="48">
        <v>40920</v>
      </c>
      <c r="IK4" s="48">
        <v>40921</v>
      </c>
      <c r="IL4" s="48">
        <v>40924</v>
      </c>
      <c r="IM4" s="48">
        <v>40926</v>
      </c>
      <c r="IN4" s="48">
        <f t="shared" si="9"/>
        <v>40927</v>
      </c>
      <c r="IO4" s="48">
        <f t="shared" si="9"/>
        <v>40928</v>
      </c>
      <c r="IP4" s="48">
        <v>40931</v>
      </c>
      <c r="IQ4" s="48">
        <v>40932</v>
      </c>
      <c r="IR4" s="48">
        <v>40933</v>
      </c>
      <c r="IS4" s="48">
        <v>40934</v>
      </c>
      <c r="IT4" s="48">
        <v>40935</v>
      </c>
      <c r="IU4" s="48">
        <v>40938</v>
      </c>
      <c r="IV4" s="48">
        <v>40939</v>
      </c>
      <c r="IW4" s="864"/>
      <c r="IX4" s="48">
        <v>40940</v>
      </c>
      <c r="IY4" s="48">
        <v>40941</v>
      </c>
      <c r="IZ4" s="48">
        <v>40942</v>
      </c>
      <c r="JA4" s="48">
        <v>40945</v>
      </c>
      <c r="JB4" s="48">
        <v>40946</v>
      </c>
      <c r="JC4" s="48">
        <v>40947</v>
      </c>
      <c r="JD4" s="48">
        <v>40948</v>
      </c>
      <c r="JE4" s="892">
        <v>40949</v>
      </c>
      <c r="JF4" s="48">
        <v>40952</v>
      </c>
      <c r="JG4" s="48">
        <v>40953</v>
      </c>
      <c r="JH4" s="48">
        <v>40954</v>
      </c>
      <c r="JI4" s="419"/>
      <c r="JJ4" s="55">
        <f>+JI4+1</f>
        <v>1</v>
      </c>
      <c r="JK4" s="49" t="s">
        <v>73</v>
      </c>
    </row>
    <row r="5" spans="1:271" s="170" customFormat="1" ht="14.1" customHeight="1" thickBot="1">
      <c r="A5" s="167"/>
      <c r="B5" s="168"/>
      <c r="C5" s="792"/>
      <c r="G5" s="171" t="s">
        <v>74</v>
      </c>
      <c r="L5" s="899"/>
      <c r="N5" s="541" t="s">
        <v>75</v>
      </c>
      <c r="Q5" s="171" t="s">
        <v>74</v>
      </c>
      <c r="V5" s="169"/>
      <c r="Z5" s="171" t="s">
        <v>74</v>
      </c>
      <c r="AG5" s="542" t="s">
        <v>75</v>
      </c>
      <c r="AJ5" s="171" t="s">
        <v>74</v>
      </c>
      <c r="AO5" s="566"/>
      <c r="AS5" s="420"/>
      <c r="AT5" s="171" t="s">
        <v>74</v>
      </c>
      <c r="BD5" s="542" t="s">
        <v>76</v>
      </c>
      <c r="BN5" s="171" t="s">
        <v>74</v>
      </c>
      <c r="BX5" s="542" t="s">
        <v>76</v>
      </c>
      <c r="CH5" s="171" t="s">
        <v>74</v>
      </c>
      <c r="CN5" s="942"/>
      <c r="CQ5" s="171" t="s">
        <v>74</v>
      </c>
      <c r="CT5" s="542" t="s">
        <v>75</v>
      </c>
      <c r="CZ5" s="172"/>
      <c r="DA5" s="171" t="s">
        <v>74</v>
      </c>
      <c r="DB5" s="170" t="s">
        <v>49</v>
      </c>
      <c r="DC5" s="170" t="s">
        <v>49</v>
      </c>
      <c r="DJ5" s="171" t="s">
        <v>74</v>
      </c>
      <c r="DO5" s="542" t="s">
        <v>75</v>
      </c>
      <c r="DR5" s="172"/>
      <c r="DT5" s="171" t="s">
        <v>74</v>
      </c>
      <c r="EB5" s="172"/>
      <c r="EC5" s="455" t="s">
        <v>173</v>
      </c>
      <c r="ED5" s="171" t="s">
        <v>74</v>
      </c>
      <c r="EJ5" s="542" t="s">
        <v>75</v>
      </c>
      <c r="EK5" s="172"/>
      <c r="EN5" s="171" t="s">
        <v>74</v>
      </c>
      <c r="EQ5" s="172"/>
      <c r="ER5" s="455" t="s">
        <v>159</v>
      </c>
      <c r="EX5" s="171" t="s">
        <v>74</v>
      </c>
      <c r="FA5" s="455" t="s">
        <v>173</v>
      </c>
      <c r="FC5" s="172"/>
      <c r="FF5" s="542" t="s">
        <v>75</v>
      </c>
      <c r="FG5" s="171" t="s">
        <v>74</v>
      </c>
      <c r="FJ5" s="483"/>
      <c r="FM5" s="946" t="s">
        <v>266</v>
      </c>
      <c r="FN5" s="768" t="s">
        <v>159</v>
      </c>
      <c r="FQ5" s="171" t="s">
        <v>74</v>
      </c>
      <c r="FZ5" s="542" t="s">
        <v>76</v>
      </c>
      <c r="GG5" s="946" t="s">
        <v>266</v>
      </c>
      <c r="GJ5" s="171" t="s">
        <v>74</v>
      </c>
      <c r="GS5" s="541" t="s">
        <v>74</v>
      </c>
      <c r="GU5" s="542" t="s">
        <v>75</v>
      </c>
      <c r="HA5" s="449"/>
      <c r="HB5" s="465" t="s">
        <v>165</v>
      </c>
      <c r="HC5" s="171" t="s">
        <v>74</v>
      </c>
      <c r="HM5" s="171" t="s">
        <v>74</v>
      </c>
      <c r="HP5" s="542" t="s">
        <v>75</v>
      </c>
      <c r="HV5" s="171" t="s">
        <v>74</v>
      </c>
      <c r="HW5" s="271"/>
      <c r="HX5" s="271"/>
      <c r="IF5" s="171" t="s">
        <v>74</v>
      </c>
      <c r="IL5" s="542" t="s">
        <v>75</v>
      </c>
      <c r="IO5" s="171" t="s">
        <v>74</v>
      </c>
      <c r="IW5" s="865"/>
      <c r="JE5" s="893" t="s">
        <v>161</v>
      </c>
      <c r="JI5" s="420"/>
      <c r="JJ5" s="169"/>
    </row>
    <row r="6" spans="1:271">
      <c r="A6" s="2" t="s">
        <v>2</v>
      </c>
      <c r="B6" s="2"/>
      <c r="C6" s="793">
        <v>387425.35549995303</v>
      </c>
      <c r="D6" s="2">
        <f t="shared" ref="D6:I6" si="10">C54</f>
        <v>300305.7254999578</v>
      </c>
      <c r="E6" s="2">
        <f t="shared" si="10"/>
        <v>588180.28549996018</v>
      </c>
      <c r="F6" s="2">
        <f t="shared" si="10"/>
        <v>298519.87549996027</v>
      </c>
      <c r="G6" s="2">
        <f t="shared" si="10"/>
        <v>755870.87549995631</v>
      </c>
      <c r="H6" s="2">
        <f t="shared" si="10"/>
        <v>399739.78549996018</v>
      </c>
      <c r="I6" s="2">
        <f t="shared" si="10"/>
        <v>3408017.535499962</v>
      </c>
      <c r="J6" s="2">
        <f t="shared" ref="J6:BO6" si="11">I54</f>
        <v>302282.21549995989</v>
      </c>
      <c r="K6" s="2">
        <f t="shared" si="11"/>
        <v>374688.65549995983</v>
      </c>
      <c r="L6" s="2">
        <f t="shared" si="11"/>
        <v>384427.19549995661</v>
      </c>
      <c r="M6" s="2">
        <f t="shared" si="11"/>
        <v>356119.51549996436</v>
      </c>
      <c r="N6" s="221">
        <f t="shared" si="11"/>
        <v>457093.18549996335</v>
      </c>
      <c r="O6" s="2">
        <f t="shared" si="11"/>
        <v>369500.65549996495</v>
      </c>
      <c r="P6" s="2">
        <f t="shared" si="11"/>
        <v>385817.82549996674</v>
      </c>
      <c r="Q6" s="2">
        <f t="shared" si="11"/>
        <v>419466.10549996654</v>
      </c>
      <c r="R6" s="2">
        <f t="shared" si="11"/>
        <v>393617.71549996641</v>
      </c>
      <c r="S6" s="2">
        <f t="shared" si="11"/>
        <v>575235.51549996622</v>
      </c>
      <c r="T6" s="2">
        <f t="shared" si="11"/>
        <v>390936.105499967</v>
      </c>
      <c r="U6" s="2">
        <f t="shared" si="11"/>
        <v>460895.05549996719</v>
      </c>
      <c r="V6" s="153">
        <f t="shared" si="11"/>
        <v>403006.30549996812</v>
      </c>
      <c r="W6" s="2">
        <f t="shared" si="11"/>
        <v>857334.16549996845</v>
      </c>
      <c r="X6" s="2">
        <f t="shared" si="11"/>
        <v>241814.11549996771</v>
      </c>
      <c r="Y6" s="2">
        <f t="shared" si="11"/>
        <v>351268.87549996749</v>
      </c>
      <c r="Z6" s="331">
        <f t="shared" si="11"/>
        <v>325496.05549996719</v>
      </c>
      <c r="AA6" s="2">
        <f t="shared" si="11"/>
        <v>365395.15549996868</v>
      </c>
      <c r="AB6" s="2">
        <f t="shared" si="11"/>
        <v>411698.27549996879</v>
      </c>
      <c r="AC6" s="2">
        <f t="shared" si="11"/>
        <v>471499.73549997061</v>
      </c>
      <c r="AD6" s="2">
        <f t="shared" si="11"/>
        <v>371501.33549997024</v>
      </c>
      <c r="AE6" s="2">
        <f t="shared" si="11"/>
        <v>356385.36549997027</v>
      </c>
      <c r="AF6" s="2">
        <f t="shared" si="11"/>
        <v>341761.77549997019</v>
      </c>
      <c r="AG6" s="221">
        <f t="shared" si="11"/>
        <v>582101.07549997047</v>
      </c>
      <c r="AH6" s="2">
        <f t="shared" si="11"/>
        <v>286621.17549997568</v>
      </c>
      <c r="AI6" s="2">
        <f t="shared" si="11"/>
        <v>304688.1954999771</v>
      </c>
      <c r="AJ6" s="2">
        <f t="shared" si="11"/>
        <v>602754.21549997712</v>
      </c>
      <c r="AK6" s="2">
        <f t="shared" si="11"/>
        <v>314367.44549997617</v>
      </c>
      <c r="AL6" s="2">
        <f t="shared" si="11"/>
        <v>4815875.5654999763</v>
      </c>
      <c r="AM6" s="2">
        <f t="shared" si="11"/>
        <v>296100.19549997617</v>
      </c>
      <c r="AN6" s="2">
        <f t="shared" si="11"/>
        <v>356850.82549997611</v>
      </c>
      <c r="AO6" s="567">
        <f t="shared" si="11"/>
        <v>458142.54549997672</v>
      </c>
      <c r="AP6" s="2">
        <f t="shared" si="11"/>
        <v>432676.97549997643</v>
      </c>
      <c r="AQ6" s="2">
        <f t="shared" si="11"/>
        <v>343916.38549997844</v>
      </c>
      <c r="AR6" s="2">
        <f t="shared" si="11"/>
        <v>320232.99549997807</v>
      </c>
      <c r="AS6" s="2">
        <f t="shared" si="11"/>
        <v>326277.165499978</v>
      </c>
      <c r="AT6" s="2">
        <f t="shared" si="11"/>
        <v>399244.67549997789</v>
      </c>
      <c r="AU6" s="2">
        <f t="shared" si="11"/>
        <v>368731.90549997799</v>
      </c>
      <c r="AV6" s="2">
        <f t="shared" si="11"/>
        <v>363247.65549997985</v>
      </c>
      <c r="AW6" s="2">
        <f t="shared" si="11"/>
        <v>285266.19549998012</v>
      </c>
      <c r="AX6" s="2">
        <f t="shared" si="11"/>
        <v>630646.09549998119</v>
      </c>
      <c r="AY6" s="2">
        <f t="shared" si="11"/>
        <v>405003.17549998127</v>
      </c>
      <c r="AZ6" s="2">
        <f t="shared" si="11"/>
        <v>351654.5254999809</v>
      </c>
      <c r="BA6" s="2">
        <f t="shared" si="11"/>
        <v>404231.34549998119</v>
      </c>
      <c r="BB6" s="2">
        <f t="shared" si="11"/>
        <v>405631.14549998101</v>
      </c>
      <c r="BC6" s="2">
        <f t="shared" si="11"/>
        <v>490526.69549998082</v>
      </c>
      <c r="BD6" s="221">
        <f t="shared" si="11"/>
        <v>408688.04549998092</v>
      </c>
      <c r="BE6" s="2">
        <f t="shared" si="11"/>
        <v>429929.02549997717</v>
      </c>
      <c r="BF6" s="2">
        <f t="shared" si="11"/>
        <v>414876.23549998179</v>
      </c>
      <c r="BG6" s="2">
        <f t="shared" si="11"/>
        <v>427691.92549998127</v>
      </c>
      <c r="BH6" s="2">
        <f t="shared" si="11"/>
        <v>351468.98549998086</v>
      </c>
      <c r="BI6" s="2">
        <f t="shared" si="11"/>
        <v>15452363.975499988</v>
      </c>
      <c r="BJ6" s="2">
        <f t="shared" si="11"/>
        <v>15179720.535499988</v>
      </c>
      <c r="BK6" s="2">
        <f t="shared" si="11"/>
        <v>20819063.525499988</v>
      </c>
      <c r="BL6" s="2">
        <f t="shared" si="11"/>
        <v>35597518.615499988</v>
      </c>
      <c r="BM6" s="2">
        <f t="shared" si="11"/>
        <v>32106095.955499988</v>
      </c>
      <c r="BN6" s="2">
        <f t="shared" si="11"/>
        <v>38273344.60549999</v>
      </c>
      <c r="BO6" s="2">
        <f t="shared" si="11"/>
        <v>33268776.495499991</v>
      </c>
      <c r="BP6" s="2">
        <f t="shared" ref="BP6:EA6" si="12">BO54</f>
        <v>27682673.455499988</v>
      </c>
      <c r="BQ6" s="2">
        <f t="shared" si="12"/>
        <v>48992067.245499991</v>
      </c>
      <c r="BR6" s="2">
        <f t="shared" si="12"/>
        <v>46355943.645499989</v>
      </c>
      <c r="BS6" s="2">
        <f t="shared" si="12"/>
        <v>49250114.435499988</v>
      </c>
      <c r="BT6" s="2">
        <f t="shared" si="12"/>
        <v>43246153.205499984</v>
      </c>
      <c r="BU6" s="2">
        <f t="shared" si="12"/>
        <v>42433298.585499987</v>
      </c>
      <c r="BV6" s="2">
        <f t="shared" si="12"/>
        <v>41703256.995499991</v>
      </c>
      <c r="BW6" s="2">
        <f t="shared" si="12"/>
        <v>43485042.575499997</v>
      </c>
      <c r="BX6" s="221">
        <f t="shared" si="12"/>
        <v>43135140.085500002</v>
      </c>
      <c r="BY6" s="128">
        <f t="shared" si="12"/>
        <v>44319036.815500006</v>
      </c>
      <c r="BZ6" s="2">
        <f t="shared" si="12"/>
        <v>44635484.785500005</v>
      </c>
      <c r="CA6" s="2">
        <f t="shared" si="12"/>
        <v>42794236.625500001</v>
      </c>
      <c r="CB6" s="2">
        <f t="shared" si="12"/>
        <v>44694100.455499999</v>
      </c>
      <c r="CC6" s="2">
        <f t="shared" si="12"/>
        <v>44356792.515499994</v>
      </c>
      <c r="CD6" s="2">
        <f t="shared" si="12"/>
        <v>43337919.475499995</v>
      </c>
      <c r="CE6" s="2">
        <f t="shared" si="12"/>
        <v>42539189.345499992</v>
      </c>
      <c r="CF6" s="2">
        <f t="shared" si="12"/>
        <v>44119489.245499991</v>
      </c>
      <c r="CG6" s="2">
        <f t="shared" si="12"/>
        <v>43919467.595499992</v>
      </c>
      <c r="CH6" s="153">
        <f t="shared" si="12"/>
        <v>43701821.765499994</v>
      </c>
      <c r="CI6" s="153">
        <f t="shared" si="12"/>
        <v>44226729.485499993</v>
      </c>
      <c r="CJ6" s="2">
        <f t="shared" si="12"/>
        <v>44048952.305499986</v>
      </c>
      <c r="CK6" s="2">
        <f t="shared" si="12"/>
        <v>43982480.395499982</v>
      </c>
      <c r="CL6" s="2">
        <f t="shared" si="12"/>
        <v>43926970.395499989</v>
      </c>
      <c r="CM6" s="2">
        <f t="shared" si="12"/>
        <v>46666467.35549999</v>
      </c>
      <c r="CN6" s="2">
        <f t="shared" si="12"/>
        <v>44657140.505499989</v>
      </c>
      <c r="CO6" s="2">
        <f t="shared" si="12"/>
        <v>44017040.855499983</v>
      </c>
      <c r="CP6" s="2">
        <f t="shared" si="12"/>
        <v>42846364.915499978</v>
      </c>
      <c r="CQ6" s="2">
        <f t="shared" si="12"/>
        <v>44108228.065499976</v>
      </c>
      <c r="CR6" s="2">
        <f t="shared" si="12"/>
        <v>46721315.315499976</v>
      </c>
      <c r="CS6" s="2">
        <f t="shared" si="12"/>
        <v>44832977.775499977</v>
      </c>
      <c r="CT6" s="221">
        <f t="shared" si="12"/>
        <v>43138901.825499974</v>
      </c>
      <c r="CU6" s="2">
        <f t="shared" si="12"/>
        <v>44063903.465499975</v>
      </c>
      <c r="CV6" s="2">
        <f t="shared" si="12"/>
        <v>45649133.135499977</v>
      </c>
      <c r="CW6" s="2">
        <f t="shared" si="12"/>
        <v>46116357.27549997</v>
      </c>
      <c r="CX6" s="2">
        <f t="shared" si="12"/>
        <v>45847197.605499968</v>
      </c>
      <c r="CY6" s="2">
        <f t="shared" si="12"/>
        <v>48094187.125499971</v>
      </c>
      <c r="CZ6" s="2">
        <f t="shared" si="12"/>
        <v>38079318.735499971</v>
      </c>
      <c r="DA6" s="2">
        <f t="shared" si="12"/>
        <v>46591799.425499976</v>
      </c>
      <c r="DB6" s="2">
        <f t="shared" si="12"/>
        <v>44813563.585499972</v>
      </c>
      <c r="DC6" s="2">
        <f t="shared" si="12"/>
        <v>51275686.355499968</v>
      </c>
      <c r="DD6" s="153">
        <f t="shared" si="12"/>
        <v>51454143.995499969</v>
      </c>
      <c r="DE6" s="2">
        <f t="shared" si="12"/>
        <v>48767748.585499965</v>
      </c>
      <c r="DF6" s="2">
        <f t="shared" si="12"/>
        <v>44454881.46549996</v>
      </c>
      <c r="DG6" s="2">
        <f t="shared" si="12"/>
        <v>44001315.985499956</v>
      </c>
      <c r="DH6" s="2">
        <f t="shared" si="12"/>
        <v>43644636.425499953</v>
      </c>
      <c r="DI6" s="2">
        <f t="shared" si="12"/>
        <v>52134010.565499954</v>
      </c>
      <c r="DJ6" s="2">
        <f t="shared" si="12"/>
        <v>51644691.595499948</v>
      </c>
      <c r="DK6" s="2">
        <f t="shared" si="12"/>
        <v>50128684.105499946</v>
      </c>
      <c r="DL6" s="2">
        <f t="shared" si="12"/>
        <v>48408793.455499947</v>
      </c>
      <c r="DM6" s="2">
        <f t="shared" si="12"/>
        <v>47771202.364499949</v>
      </c>
      <c r="DN6" s="452">
        <f t="shared" si="12"/>
        <v>52929764.076499954</v>
      </c>
      <c r="DO6" s="221">
        <f t="shared" si="12"/>
        <v>52073691.981499955</v>
      </c>
      <c r="DP6" s="2">
        <f t="shared" si="12"/>
        <v>-5007469.5049587563</v>
      </c>
      <c r="DQ6" s="2">
        <f t="shared" si="12"/>
        <v>-29946525.861646783</v>
      </c>
      <c r="DR6" s="2">
        <f t="shared" si="12"/>
        <v>-13309408.173646785</v>
      </c>
      <c r="DS6" s="2">
        <f t="shared" si="12"/>
        <v>-12702718.949646786</v>
      </c>
      <c r="DT6" s="2">
        <f t="shared" si="12"/>
        <v>-15659044.773646787</v>
      </c>
      <c r="DU6" s="2">
        <f t="shared" si="12"/>
        <v>-18424268.602305841</v>
      </c>
      <c r="DV6" s="2">
        <f t="shared" si="12"/>
        <v>-23433892.231481913</v>
      </c>
      <c r="DW6" s="2">
        <f t="shared" si="12"/>
        <v>-20810621.878481913</v>
      </c>
      <c r="DX6" s="2">
        <f t="shared" si="12"/>
        <v>-16126482.316481913</v>
      </c>
      <c r="DY6" s="2">
        <f t="shared" si="12"/>
        <v>-19360857.974481914</v>
      </c>
      <c r="DZ6" s="2">
        <f t="shared" si="12"/>
        <v>-19288645.100481912</v>
      </c>
      <c r="EA6" s="2">
        <f t="shared" si="12"/>
        <v>-22084778.442481913</v>
      </c>
      <c r="EB6" s="2">
        <f t="shared" ref="EB6:GM6" si="13">EA54</f>
        <v>-23654210.696481913</v>
      </c>
      <c r="EC6" s="2">
        <f t="shared" si="13"/>
        <v>-24310735.191481911</v>
      </c>
      <c r="ED6" s="2">
        <f t="shared" si="13"/>
        <v>40363903.769518092</v>
      </c>
      <c r="EE6" s="2">
        <f t="shared" si="13"/>
        <v>22396815.549160726</v>
      </c>
      <c r="EF6" s="2">
        <f t="shared" si="13"/>
        <v>20353063.000970896</v>
      </c>
      <c r="EG6" s="2">
        <f t="shared" si="13"/>
        <v>26620032.666970894</v>
      </c>
      <c r="EH6" s="2">
        <f t="shared" si="13"/>
        <v>28736445.929970894</v>
      </c>
      <c r="EI6" s="2">
        <f t="shared" si="13"/>
        <v>26207214.586970892</v>
      </c>
      <c r="EJ6" s="221">
        <f t="shared" si="13"/>
        <v>26354506.586970892</v>
      </c>
      <c r="EK6" s="2">
        <f t="shared" si="13"/>
        <v>-24021252.917325884</v>
      </c>
      <c r="EL6" s="2">
        <f t="shared" si="13"/>
        <v>-32433483.949217252</v>
      </c>
      <c r="EM6" s="2">
        <f t="shared" si="13"/>
        <v>-32960663.963217251</v>
      </c>
      <c r="EN6" s="2">
        <f t="shared" si="13"/>
        <v>-38405374.053217255</v>
      </c>
      <c r="EO6" s="2">
        <f t="shared" si="13"/>
        <v>-40065451.639779709</v>
      </c>
      <c r="EP6" s="2">
        <f t="shared" si="13"/>
        <v>-40321934.081681043</v>
      </c>
      <c r="EQ6" s="2">
        <f t="shared" si="13"/>
        <v>-41191340.841681041</v>
      </c>
      <c r="ER6" s="2">
        <f t="shared" si="13"/>
        <v>-43011909.69068104</v>
      </c>
      <c r="ES6" s="2">
        <f t="shared" si="13"/>
        <v>-4966180.56968104</v>
      </c>
      <c r="ET6" s="2">
        <f t="shared" si="13"/>
        <v>-4951021.4726810399</v>
      </c>
      <c r="EU6" s="2">
        <f t="shared" si="13"/>
        <v>-5104474.7236810401</v>
      </c>
      <c r="EV6" s="2">
        <f t="shared" si="13"/>
        <v>-8870761.2046810389</v>
      </c>
      <c r="EW6" s="2">
        <f t="shared" si="13"/>
        <v>-6031194.0586810391</v>
      </c>
      <c r="EX6" s="2">
        <f t="shared" si="13"/>
        <v>-7894205.864681039</v>
      </c>
      <c r="EY6" s="2">
        <f t="shared" si="13"/>
        <v>-10965073.541206043</v>
      </c>
      <c r="EZ6" s="2">
        <f t="shared" si="13"/>
        <v>-24087377.746952329</v>
      </c>
      <c r="FA6" s="2">
        <f t="shared" si="13"/>
        <v>-27414339.25295233</v>
      </c>
      <c r="FB6" s="2">
        <f t="shared" si="13"/>
        <v>12691431.89604767</v>
      </c>
      <c r="FC6" s="2">
        <f t="shared" si="13"/>
        <v>10799621.682047669</v>
      </c>
      <c r="FD6" s="2">
        <f t="shared" si="13"/>
        <v>25799016.967047669</v>
      </c>
      <c r="FE6" s="2">
        <f t="shared" si="13"/>
        <v>22914001.137047667</v>
      </c>
      <c r="FF6" s="221">
        <f t="shared" si="13"/>
        <v>26447077.180047669</v>
      </c>
      <c r="FG6" s="2">
        <f t="shared" si="13"/>
        <v>-32379784.268279932</v>
      </c>
      <c r="FH6" s="2">
        <f t="shared" si="13"/>
        <v>-44155939.204126596</v>
      </c>
      <c r="FI6" s="2">
        <f t="shared" si="13"/>
        <v>-44368122.357604831</v>
      </c>
      <c r="FJ6" s="2">
        <f t="shared" si="13"/>
        <v>-41282723.567604832</v>
      </c>
      <c r="FK6" s="2">
        <f t="shared" si="13"/>
        <v>-42118560.83460483</v>
      </c>
      <c r="FL6" s="2">
        <f t="shared" si="13"/>
        <v>-49153730.103604823</v>
      </c>
      <c r="FM6" s="2">
        <f t="shared" si="13"/>
        <v>-49215458.746604823</v>
      </c>
      <c r="FN6" s="2">
        <f t="shared" si="13"/>
        <v>98988500.022395164</v>
      </c>
      <c r="FO6" s="2">
        <f t="shared" si="13"/>
        <v>232372938.80539519</v>
      </c>
      <c r="FP6" s="2">
        <f t="shared" si="13"/>
        <v>231742754.30739519</v>
      </c>
      <c r="FQ6" s="2">
        <f t="shared" si="13"/>
        <v>224989270.7533952</v>
      </c>
      <c r="FR6" s="2">
        <f t="shared" si="13"/>
        <v>226769044.09040296</v>
      </c>
      <c r="FS6" s="2">
        <f t="shared" si="13"/>
        <v>224725240.48217785</v>
      </c>
      <c r="FT6" s="2">
        <f t="shared" si="13"/>
        <v>227489209.14917785</v>
      </c>
      <c r="FU6" s="2">
        <f t="shared" si="13"/>
        <v>228281810.72617787</v>
      </c>
      <c r="FV6" s="2">
        <f t="shared" si="13"/>
        <v>209717564.82615834</v>
      </c>
      <c r="FW6" s="2">
        <f t="shared" si="13"/>
        <v>211464888.62915835</v>
      </c>
      <c r="FX6" s="2">
        <f t="shared" si="13"/>
        <v>208237729.29615834</v>
      </c>
      <c r="FY6" s="2">
        <f t="shared" si="13"/>
        <v>208984266.11815834</v>
      </c>
      <c r="FZ6" s="221">
        <f t="shared" si="13"/>
        <v>207505842.96915832</v>
      </c>
      <c r="GA6" s="2">
        <f t="shared" si="13"/>
        <v>149877568.78269184</v>
      </c>
      <c r="GB6" s="2">
        <f t="shared" si="13"/>
        <v>139654545.94437838</v>
      </c>
      <c r="GC6" s="2">
        <f t="shared" si="13"/>
        <v>139437484.45137838</v>
      </c>
      <c r="GD6" s="2">
        <f t="shared" si="13"/>
        <v>148347358.88637838</v>
      </c>
      <c r="GE6" s="2">
        <f t="shared" si="13"/>
        <v>148799244.00337836</v>
      </c>
      <c r="GF6" s="2">
        <f t="shared" si="13"/>
        <v>143647752.89337835</v>
      </c>
      <c r="GG6" s="2">
        <f t="shared" si="13"/>
        <v>144327234.80837834</v>
      </c>
      <c r="GH6" s="2">
        <f t="shared" si="13"/>
        <v>258848723.72337833</v>
      </c>
      <c r="GI6" s="2">
        <f t="shared" si="13"/>
        <v>268170061.68737832</v>
      </c>
      <c r="GJ6" s="2">
        <f t="shared" si="13"/>
        <v>267241331.0523783</v>
      </c>
      <c r="GK6" s="153">
        <f t="shared" si="13"/>
        <v>268898667.90787339</v>
      </c>
      <c r="GL6" s="2">
        <f t="shared" si="13"/>
        <v>268001928.08798817</v>
      </c>
      <c r="GM6" s="2">
        <f t="shared" si="13"/>
        <v>267403094.31398815</v>
      </c>
      <c r="GN6" s="2">
        <f t="shared" ref="GN6:IZ6" si="14">GM54</f>
        <v>267664086.39098814</v>
      </c>
      <c r="GO6" s="2">
        <f t="shared" si="14"/>
        <v>265927737.79498813</v>
      </c>
      <c r="GP6" s="2">
        <f t="shared" si="14"/>
        <v>250163384.3159655</v>
      </c>
      <c r="GQ6" s="2">
        <f t="shared" si="14"/>
        <v>250946914.02296552</v>
      </c>
      <c r="GR6" s="2">
        <f t="shared" si="14"/>
        <v>253671439.4159655</v>
      </c>
      <c r="GS6" s="2">
        <f t="shared" si="14"/>
        <v>250479609.63996547</v>
      </c>
      <c r="GT6" s="2">
        <f t="shared" si="14"/>
        <v>243007855.51335925</v>
      </c>
      <c r="GU6" s="221">
        <f t="shared" si="14"/>
        <v>245132274.30529961</v>
      </c>
      <c r="GV6" s="2">
        <f t="shared" si="14"/>
        <v>198099652.2811178</v>
      </c>
      <c r="GW6" s="2">
        <f t="shared" si="14"/>
        <v>188233316.63146198</v>
      </c>
      <c r="GX6" s="2">
        <f t="shared" si="14"/>
        <v>185124385.23046198</v>
      </c>
      <c r="GY6" s="2">
        <f t="shared" si="14"/>
        <v>186658682.47646198</v>
      </c>
      <c r="GZ6" s="2">
        <f t="shared" si="14"/>
        <v>188310421.22046199</v>
      </c>
      <c r="HA6" s="2">
        <f t="shared" si="14"/>
        <v>178412285.48846197</v>
      </c>
      <c r="HB6" s="2">
        <f t="shared" si="14"/>
        <v>175792359.01746199</v>
      </c>
      <c r="HC6" s="2">
        <f t="shared" si="14"/>
        <v>175823976.192462</v>
      </c>
      <c r="HD6" s="2">
        <f t="shared" si="14"/>
        <v>182028608.26440516</v>
      </c>
      <c r="HE6" s="2">
        <f t="shared" si="14"/>
        <v>193407478.67161411</v>
      </c>
      <c r="HF6" s="2">
        <f t="shared" si="14"/>
        <v>193835372.42061409</v>
      </c>
      <c r="HG6" s="2">
        <f t="shared" si="14"/>
        <v>191436708.05261409</v>
      </c>
      <c r="HH6" s="2">
        <f t="shared" si="14"/>
        <v>190264013.16161409</v>
      </c>
      <c r="HI6" s="2">
        <f t="shared" si="14"/>
        <v>191457007.71261409</v>
      </c>
      <c r="HJ6" s="2">
        <f t="shared" si="14"/>
        <v>176568344.26232359</v>
      </c>
      <c r="HK6" s="2">
        <f t="shared" si="14"/>
        <v>178220597.79732361</v>
      </c>
      <c r="HL6" s="2">
        <f t="shared" si="14"/>
        <v>176319737.14432362</v>
      </c>
      <c r="HM6" s="2">
        <f t="shared" si="14"/>
        <v>178555125.3403236</v>
      </c>
      <c r="HN6" s="2">
        <f t="shared" si="14"/>
        <v>179652424.46853685</v>
      </c>
      <c r="HO6" s="2">
        <f t="shared" si="14"/>
        <v>182022603.98970205</v>
      </c>
      <c r="HP6" s="221">
        <f t="shared" si="14"/>
        <v>183684816.10670203</v>
      </c>
      <c r="HQ6" s="2">
        <f t="shared" si="14"/>
        <v>142600987.53669828</v>
      </c>
      <c r="HR6" s="2">
        <f t="shared" si="14"/>
        <v>138608181.9430455</v>
      </c>
      <c r="HS6" s="2">
        <f t="shared" si="14"/>
        <v>142059685.6860455</v>
      </c>
      <c r="HT6" s="2">
        <f t="shared" si="14"/>
        <v>131788144.41504548</v>
      </c>
      <c r="HU6" s="2">
        <f t="shared" si="14"/>
        <v>140204285.59404549</v>
      </c>
      <c r="HV6" s="2">
        <f t="shared" si="14"/>
        <v>142842314.63304549</v>
      </c>
      <c r="HW6" s="2">
        <f t="shared" si="14"/>
        <v>147109614.57414138</v>
      </c>
      <c r="HX6" s="2">
        <f t="shared" si="14"/>
        <v>151627631.14544007</v>
      </c>
      <c r="HY6" s="2">
        <f t="shared" si="14"/>
        <v>153832424.13844007</v>
      </c>
      <c r="HZ6" s="2">
        <f t="shared" si="14"/>
        <v>153677785.94144008</v>
      </c>
      <c r="IA6" s="2">
        <f t="shared" si="14"/>
        <v>155403534.16644007</v>
      </c>
      <c r="IB6" s="2">
        <f t="shared" si="14"/>
        <v>203291646.14844006</v>
      </c>
      <c r="IC6" s="2">
        <f t="shared" si="14"/>
        <v>214419739.36944008</v>
      </c>
      <c r="ID6" s="2">
        <f t="shared" si="14"/>
        <v>262151338.35444006</v>
      </c>
      <c r="IE6" s="2">
        <f t="shared" si="14"/>
        <v>277019567.60244006</v>
      </c>
      <c r="IF6" s="2">
        <f t="shared" si="14"/>
        <v>286738114.94644004</v>
      </c>
      <c r="IG6" s="2">
        <f t="shared" si="14"/>
        <v>282092641.62744951</v>
      </c>
      <c r="IH6" s="2">
        <f t="shared" si="14"/>
        <v>291724045.35486996</v>
      </c>
      <c r="II6" s="2">
        <f t="shared" si="14"/>
        <v>294176477.24987</v>
      </c>
      <c r="IJ6" s="2">
        <f t="shared" si="14"/>
        <v>305136459.20086998</v>
      </c>
      <c r="IK6" s="2">
        <f t="shared" si="14"/>
        <v>313335719.28486997</v>
      </c>
      <c r="IL6" s="221">
        <f t="shared" si="14"/>
        <v>320132573.47486997</v>
      </c>
      <c r="IM6" s="2">
        <f t="shared" si="14"/>
        <v>273576277.90452361</v>
      </c>
      <c r="IN6" s="2">
        <f t="shared" si="14"/>
        <v>270633135.73588622</v>
      </c>
      <c r="IO6" s="2">
        <f t="shared" si="14"/>
        <v>281631228.33288622</v>
      </c>
      <c r="IP6" s="2">
        <f t="shared" si="14"/>
        <v>288427029.504628</v>
      </c>
      <c r="IQ6" s="2">
        <f t="shared" si="14"/>
        <v>298600153.33886963</v>
      </c>
      <c r="IR6" s="2">
        <f t="shared" si="14"/>
        <v>309635184.79086965</v>
      </c>
      <c r="IS6" s="2">
        <f t="shared" si="14"/>
        <v>329793748.27486968</v>
      </c>
      <c r="IT6" s="2">
        <f t="shared" si="14"/>
        <v>343615933.30986965</v>
      </c>
      <c r="IU6" s="2">
        <f t="shared" si="14"/>
        <v>359631353.58986968</v>
      </c>
      <c r="IV6" s="2">
        <f t="shared" si="14"/>
        <v>384733100.09786963</v>
      </c>
      <c r="IW6" s="866"/>
      <c r="IX6" s="2">
        <f>IV54</f>
        <v>415023327.15386963</v>
      </c>
      <c r="IY6" s="2">
        <f t="shared" si="14"/>
        <v>459764363.54516959</v>
      </c>
      <c r="IZ6" s="2">
        <f t="shared" si="14"/>
        <v>460011897.73696959</v>
      </c>
      <c r="JA6" s="2">
        <f t="shared" ref="JA6:JJ6" si="15">IZ54</f>
        <v>513939977.47776955</v>
      </c>
      <c r="JB6" s="2">
        <f t="shared" si="15"/>
        <v>504269517.24330479</v>
      </c>
      <c r="JC6" s="2">
        <f t="shared" si="15"/>
        <v>503796358.5041557</v>
      </c>
      <c r="JD6" s="2">
        <f t="shared" si="15"/>
        <v>516842790.75305569</v>
      </c>
      <c r="JE6" s="2">
        <f t="shared" si="15"/>
        <v>517155015.13695568</v>
      </c>
      <c r="JF6" s="2">
        <f t="shared" si="15"/>
        <v>434381631.65995568</v>
      </c>
      <c r="JG6" s="2">
        <f t="shared" si="15"/>
        <v>442809892.48615569</v>
      </c>
      <c r="JH6" s="2">
        <f t="shared" si="15"/>
        <v>442750385.84695566</v>
      </c>
      <c r="JI6" s="850"/>
      <c r="JJ6" s="153">
        <f t="shared" si="15"/>
        <v>666694489.57687283</v>
      </c>
      <c r="JK6" s="2"/>
    </row>
    <row r="7" spans="1:271">
      <c r="A7" s="24" t="s">
        <v>3</v>
      </c>
      <c r="B7" s="25"/>
      <c r="C7" s="234"/>
      <c r="D7" s="26"/>
      <c r="E7" s="26"/>
      <c r="F7" s="26"/>
      <c r="G7" s="26"/>
      <c r="H7" s="26"/>
      <c r="I7" s="26"/>
      <c r="J7" s="26"/>
      <c r="K7" s="26"/>
      <c r="L7" s="26"/>
      <c r="M7" s="26"/>
      <c r="N7" s="234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34"/>
      <c r="AH7" s="26"/>
      <c r="AI7" s="26"/>
      <c r="AJ7" s="26"/>
      <c r="AK7" s="26"/>
      <c r="AL7" s="26"/>
      <c r="AM7" s="26"/>
      <c r="AN7" s="26"/>
      <c r="AO7" s="568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34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34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34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86"/>
      <c r="DF7" s="26"/>
      <c r="DG7" s="26"/>
      <c r="DH7" s="26"/>
      <c r="DI7" s="26"/>
      <c r="DJ7" s="26"/>
      <c r="DK7" s="26"/>
      <c r="DL7" s="26"/>
      <c r="DM7" s="26"/>
      <c r="DN7" s="26"/>
      <c r="DO7" s="234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886"/>
      <c r="EK7" s="341"/>
      <c r="EL7" s="26"/>
      <c r="EM7" s="26"/>
      <c r="EN7" s="26"/>
      <c r="EO7" s="26"/>
      <c r="EP7" s="26"/>
      <c r="EQ7" s="857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34"/>
      <c r="FG7" s="26"/>
      <c r="FH7" s="26"/>
      <c r="FI7" s="26"/>
      <c r="FJ7" s="341"/>
      <c r="FK7" s="26"/>
      <c r="FL7" s="192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22"/>
      <c r="GA7" s="26"/>
      <c r="GB7" s="857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856"/>
      <c r="GV7" s="26"/>
      <c r="GW7" s="26"/>
      <c r="GX7" s="26"/>
      <c r="GY7" s="26"/>
      <c r="GZ7" s="26"/>
      <c r="HA7" s="857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192"/>
      <c r="HO7" s="26"/>
      <c r="HP7" s="234"/>
      <c r="HQ7" s="26"/>
      <c r="HR7" s="26"/>
      <c r="HS7" s="857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192"/>
      <c r="IJ7" s="26"/>
      <c r="IK7" s="26"/>
      <c r="IL7" s="234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867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199"/>
      <c r="JK7" s="26"/>
    </row>
    <row r="8" spans="1:271" s="428" customFormat="1" ht="14.1" customHeight="1">
      <c r="A8" s="407" t="s">
        <v>5</v>
      </c>
      <c r="B8" s="407"/>
      <c r="C8" s="427">
        <v>63578.69</v>
      </c>
      <c r="D8" s="407">
        <v>0</v>
      </c>
      <c r="E8" s="407">
        <v>0</v>
      </c>
      <c r="F8" s="407">
        <v>24227.22</v>
      </c>
      <c r="G8" s="407">
        <v>0</v>
      </c>
      <c r="H8" s="407">
        <v>0</v>
      </c>
      <c r="I8" s="407">
        <v>18447.990000000002</v>
      </c>
      <c r="J8" s="407"/>
      <c r="K8" s="407">
        <v>0</v>
      </c>
      <c r="L8" s="407"/>
      <c r="M8" s="407">
        <v>21700.7</v>
      </c>
      <c r="N8" s="427">
        <v>20721.86</v>
      </c>
      <c r="O8" s="407">
        <v>33168.68</v>
      </c>
      <c r="P8" s="407">
        <v>55213.65</v>
      </c>
      <c r="Q8" s="407">
        <v>48802.67</v>
      </c>
      <c r="R8" s="407">
        <v>249912.56</v>
      </c>
      <c r="S8" s="407">
        <v>7385.55</v>
      </c>
      <c r="T8" s="407">
        <v>135561.41</v>
      </c>
      <c r="U8" s="407">
        <v>21655.79</v>
      </c>
      <c r="V8" s="407">
        <v>110543.33</v>
      </c>
      <c r="W8" s="407">
        <v>9720.2000000000007</v>
      </c>
      <c r="X8" s="407">
        <v>14495.6</v>
      </c>
      <c r="Y8" s="407">
        <v>0</v>
      </c>
      <c r="Z8" s="407">
        <v>39341.99</v>
      </c>
      <c r="AA8" s="407">
        <v>80787.210000000006</v>
      </c>
      <c r="AB8" s="407">
        <v>116102.35</v>
      </c>
      <c r="AC8" s="407">
        <v>80424.36</v>
      </c>
      <c r="AD8" s="407">
        <v>25839.73</v>
      </c>
      <c r="AE8" s="407">
        <v>21439.1</v>
      </c>
      <c r="AF8" s="407">
        <v>9975.6299999999992</v>
      </c>
      <c r="AG8" s="427"/>
      <c r="AH8" s="407"/>
      <c r="AI8" s="407"/>
      <c r="AJ8" s="407"/>
      <c r="AK8" s="407"/>
      <c r="AL8" s="407">
        <v>20745.07</v>
      </c>
      <c r="AM8" s="407">
        <v>0</v>
      </c>
      <c r="AN8" s="407">
        <v>120101.95</v>
      </c>
      <c r="AO8" s="569">
        <v>106684.29</v>
      </c>
      <c r="AP8" s="407">
        <v>11528.64</v>
      </c>
      <c r="AQ8" s="407">
        <v>22579.91</v>
      </c>
      <c r="AR8" s="407">
        <v>15069.85</v>
      </c>
      <c r="AS8" s="407">
        <v>83217.25</v>
      </c>
      <c r="AT8" s="407">
        <v>66731.31</v>
      </c>
      <c r="AU8" s="407">
        <v>7324.12</v>
      </c>
      <c r="AV8" s="407">
        <v>10636.98</v>
      </c>
      <c r="AW8" s="407">
        <v>291320.94</v>
      </c>
      <c r="AX8" s="407">
        <v>60887.16</v>
      </c>
      <c r="AY8" s="407">
        <v>5282.53</v>
      </c>
      <c r="AZ8" s="407">
        <v>70855.7</v>
      </c>
      <c r="BA8" s="407">
        <v>103957.49</v>
      </c>
      <c r="BB8" s="407">
        <v>165938.04999999999</v>
      </c>
      <c r="BC8" s="407">
        <v>10405.43</v>
      </c>
      <c r="BD8" s="427">
        <v>71830.45</v>
      </c>
      <c r="BE8" s="407">
        <v>93467.13</v>
      </c>
      <c r="BF8" s="407">
        <v>61259.47</v>
      </c>
      <c r="BG8" s="407">
        <v>18456.64</v>
      </c>
      <c r="BH8" s="407">
        <v>51368</v>
      </c>
      <c r="BI8" s="407">
        <v>10348.09</v>
      </c>
      <c r="BJ8" s="407">
        <v>46791.59</v>
      </c>
      <c r="BK8" s="407">
        <v>88158.69</v>
      </c>
      <c r="BL8" s="407">
        <v>7911.9</v>
      </c>
      <c r="BM8" s="407">
        <v>8171.92</v>
      </c>
      <c r="BN8" s="407">
        <v>8204.99</v>
      </c>
      <c r="BO8" s="407">
        <v>35936.379999999997</v>
      </c>
      <c r="BP8" s="407">
        <v>3898.04</v>
      </c>
      <c r="BQ8" s="407">
        <v>2000</v>
      </c>
      <c r="BR8" s="407">
        <v>13381.41</v>
      </c>
      <c r="BS8" s="407">
        <v>18344.2</v>
      </c>
      <c r="BT8" s="407">
        <v>172442.45</v>
      </c>
      <c r="BU8" s="407">
        <v>36159.410000000003</v>
      </c>
      <c r="BV8" s="407">
        <v>30021.25</v>
      </c>
      <c r="BW8" s="407">
        <v>21991.8</v>
      </c>
      <c r="BX8" s="427">
        <v>7118.08</v>
      </c>
      <c r="BY8" s="407">
        <v>10777.44</v>
      </c>
      <c r="BZ8" s="407">
        <v>18252.419999999998</v>
      </c>
      <c r="CA8" s="407">
        <v>25930.83</v>
      </c>
      <c r="CB8" s="407">
        <v>18020.8</v>
      </c>
      <c r="CC8" s="407">
        <v>115315.46</v>
      </c>
      <c r="CD8" s="407">
        <v>26605.55</v>
      </c>
      <c r="CE8" s="407">
        <v>11507</v>
      </c>
      <c r="CF8" s="407">
        <v>21449.39</v>
      </c>
      <c r="CG8" s="407">
        <v>13897.49</v>
      </c>
      <c r="CH8" s="407">
        <v>31939.1</v>
      </c>
      <c r="CI8" s="407">
        <v>12124.34</v>
      </c>
      <c r="CJ8" s="407">
        <v>114686.1</v>
      </c>
      <c r="CK8" s="407">
        <v>96917.24</v>
      </c>
      <c r="CL8" s="407">
        <v>69113.539999999994</v>
      </c>
      <c r="CM8" s="407">
        <v>58938.53</v>
      </c>
      <c r="CN8" s="943">
        <v>18477.419999999998</v>
      </c>
      <c r="CO8" s="407">
        <v>31269.64</v>
      </c>
      <c r="CP8" s="407">
        <v>36673.08</v>
      </c>
      <c r="CQ8" s="407">
        <v>15597.54</v>
      </c>
      <c r="CR8" s="407">
        <v>0</v>
      </c>
      <c r="CS8" s="407">
        <f>60102.21+2</f>
        <v>60104.21</v>
      </c>
      <c r="CT8" s="427">
        <v>93290.91</v>
      </c>
      <c r="CU8" s="407">
        <v>33242.480000000003</v>
      </c>
      <c r="CV8" s="407">
        <v>5737.22</v>
      </c>
      <c r="CW8" s="407">
        <v>0</v>
      </c>
      <c r="CX8" s="407">
        <v>6710.23</v>
      </c>
      <c r="CY8" s="407">
        <v>43819.98</v>
      </c>
      <c r="CZ8" s="407">
        <v>48713.52</v>
      </c>
      <c r="DA8" s="407">
        <v>121378.57</v>
      </c>
      <c r="DB8" s="407">
        <v>4800</v>
      </c>
      <c r="DC8" s="407"/>
      <c r="DD8" s="407"/>
      <c r="DE8" s="407"/>
      <c r="DF8" s="407"/>
      <c r="DG8" s="407"/>
      <c r="DH8" s="407"/>
      <c r="DI8" s="407"/>
      <c r="DJ8" s="407"/>
      <c r="DK8" s="407"/>
      <c r="DL8" s="407">
        <f>+'FY-10, FEB-10 - JAN-11'!DL8*$EJ$76</f>
        <v>0</v>
      </c>
      <c r="DM8" s="407">
        <f>+'FY-10, FEB-10 - JAN-11'!DM8*$EJ$76</f>
        <v>0</v>
      </c>
      <c r="DN8" s="407">
        <f>+'FY-10, FEB-10 - JAN-11'!DN8*$EJ$76</f>
        <v>199152.549</v>
      </c>
      <c r="DO8" s="427">
        <f>+'FY-10, FEB-10 - JAN-11'!DO8*$EJ$76</f>
        <v>158642.217</v>
      </c>
      <c r="DP8" s="407">
        <f>+'FY-10, FEB-10 - JAN-11'!DP8*$EJ$76</f>
        <v>0</v>
      </c>
      <c r="DQ8" s="407">
        <f>+'FY-10, FEB-10 - JAN-11'!DQ8*$EJ$76</f>
        <v>0</v>
      </c>
      <c r="DR8" s="407">
        <f>+'FY-10, FEB-10 - JAN-11'!DR8*$EJ$76</f>
        <v>375363.63</v>
      </c>
      <c r="DS8" s="407">
        <f>+'FY-10, FEB-10 - JAN-11'!DS8*$EJ$76</f>
        <v>0</v>
      </c>
      <c r="DT8" s="407">
        <f>+'FY-10, FEB-10 - JAN-11'!DT8*$EJ$76</f>
        <v>22742.253000000001</v>
      </c>
      <c r="DU8" s="407">
        <f>+'FY-10, FEB-10 - JAN-11'!DU8*$EJ$76</f>
        <v>0</v>
      </c>
      <c r="DV8" s="407">
        <f>+'FY-10, FEB-10 - JAN-11'!DV8*$EJ$76</f>
        <v>0</v>
      </c>
      <c r="DW8" s="407">
        <f>+'FY-10, FEB-10 - JAN-11'!DW8*$EJ$76</f>
        <v>73517.409</v>
      </c>
      <c r="DX8" s="407">
        <f>+'FY-10, FEB-10 - JAN-11'!DX8*$EJ$76</f>
        <v>0</v>
      </c>
      <c r="DY8" s="407">
        <f>+'FY-10, FEB-10 - JAN-11'!DY8*$EJ$76</f>
        <v>9839.43</v>
      </c>
      <c r="DZ8" s="407">
        <f>+'FY-10, FEB-10 - JAN-11'!DZ8*$EJ$76</f>
        <v>0</v>
      </c>
      <c r="EA8" s="407">
        <f>+'FY-10, FEB-10 - JAN-11'!EA8*$EJ$76</f>
        <v>0</v>
      </c>
      <c r="EB8" s="407">
        <f>+'FY-10, FEB-10 - JAN-11'!EB8*$EJ$76</f>
        <v>225720</v>
      </c>
      <c r="EC8" s="407">
        <f>+'FY-10, FEB-10 - JAN-11'!EC8*$EJ$76</f>
        <v>92427.084000000003</v>
      </c>
      <c r="ED8" s="407">
        <f>+'FY-10, FEB-10 - JAN-11'!ED8*$EJ$76</f>
        <v>0</v>
      </c>
      <c r="EE8" s="407">
        <f>+'FY-10, FEB-10 - JAN-11'!EE8*$EJ$76</f>
        <v>10090.449000000001</v>
      </c>
      <c r="EF8" s="407">
        <f>+'FY-10, FEB-10 - JAN-11'!EF8*$EJ$76</f>
        <v>0</v>
      </c>
      <c r="EG8" s="407">
        <f>+'FY-10, FEB-10 - JAN-11'!EG8*$EJ$76</f>
        <v>12623.769</v>
      </c>
      <c r="EH8" s="407">
        <f>+'FY-10, FEB-10 - JAN-11'!EH8*$EJ$76</f>
        <v>208892.46599999999</v>
      </c>
      <c r="EI8" s="407">
        <f>+'FY-10, FEB-10 - JAN-11'!EI8*$EJ$76</f>
        <v>87477.606</v>
      </c>
      <c r="EJ8" s="427">
        <f>+'FY-10, FEB-10 - JAN-11'!EJ8*$EJ$76</f>
        <v>18490.797000000002</v>
      </c>
      <c r="EK8" s="407">
        <f>+'FY-10, FEB-10 - JAN-11'!EK8*$EJ$76</f>
        <v>0</v>
      </c>
      <c r="EL8" s="407">
        <f>+'FY-10, FEB-10 - JAN-11'!EL8*$EJ$76</f>
        <v>58244.58</v>
      </c>
      <c r="EM8" s="407">
        <f>+'FY-10, FEB-10 - JAN-11'!EM8*$EJ$76</f>
        <v>4404.9780000000001</v>
      </c>
      <c r="EN8" s="407">
        <f>+'FY-10, FEB-10 - JAN-11'!EN8*$EJ$76</f>
        <v>6695.7840000000006</v>
      </c>
      <c r="EO8" s="407">
        <f>+'FY-10, FEB-10 - JAN-11'!EO8*$EJ$76</f>
        <v>60.579000000000001</v>
      </c>
      <c r="EP8" s="407">
        <f>+'FY-10, FEB-10 - JAN-11'!EP8*$EJ$76</f>
        <v>3769.2359999999999</v>
      </c>
      <c r="EQ8" s="407">
        <f>+'FY-10, FEB-10 - JAN-11'!EQ8*$EJ$76</f>
        <v>27994.095000000001</v>
      </c>
      <c r="ER8" s="407">
        <f>+'FY-10, FEB-10 - JAN-11'!ER8*$EJ$76</f>
        <v>62244.144000000008</v>
      </c>
      <c r="ES8" s="407">
        <f>+'FY-10, FEB-10 - JAN-11'!ES8*$EJ$76</f>
        <v>3907.5930000000003</v>
      </c>
      <c r="ET8" s="407">
        <f>+'FY-10, FEB-10 - JAN-11'!ET8*$EJ$76</f>
        <v>3041.2260000000001</v>
      </c>
      <c r="EU8" s="407">
        <f>+'FY-10, FEB-10 - JAN-11'!EU8*$EJ$76</f>
        <v>43200</v>
      </c>
      <c r="EV8" s="407">
        <f>+'FY-10, FEB-10 - JAN-11'!EV8*$EJ$76</f>
        <v>41288.22</v>
      </c>
      <c r="EW8" s="407">
        <f>+'FY-10, FEB-10 - JAN-11'!EW8*$EJ$76</f>
        <v>154445.571</v>
      </c>
      <c r="EX8" s="407">
        <f>+'FY-10, FEB-10 - JAN-11'!EX8*$EJ$76</f>
        <v>93227.724000000002</v>
      </c>
      <c r="EY8" s="407">
        <f>+'FY-10, FEB-10 - JAN-11'!EY8*$EJ$76</f>
        <v>2754.2249999999999</v>
      </c>
      <c r="EZ8" s="407">
        <f>+'FY-10, FEB-10 - JAN-11'!EZ8*$EJ$76</f>
        <v>720</v>
      </c>
      <c r="FA8" s="407">
        <f>+'FY-10, FEB-10 - JAN-11'!FA8*$EJ$76</f>
        <v>218313.27900000001</v>
      </c>
      <c r="FB8" s="407">
        <f>+'FY-10, FEB-10 - JAN-11'!FB8*$EJ$76</f>
        <v>816842.64599999995</v>
      </c>
      <c r="FC8" s="407">
        <f>+'FY-10, FEB-10 - JAN-11'!FC8*$EJ$76</f>
        <v>15470.325000000001</v>
      </c>
      <c r="FD8" s="407">
        <f>+'FY-10, FEB-10 - JAN-11'!FD8*$EJ$76</f>
        <v>1700.127</v>
      </c>
      <c r="FE8" s="407">
        <f>+'FY-10, FEB-10 - JAN-11'!FE8*$EJ$76</f>
        <v>36123.866999999998</v>
      </c>
      <c r="FF8" s="427">
        <f>+'FY-10, FEB-10 - JAN-11'!FF8*$EJ$76</f>
        <v>318.60899999999998</v>
      </c>
      <c r="FG8" s="407">
        <f>+'FY-10, FEB-10 - JAN-11'!FG8*$EJ$76</f>
        <v>91700.784</v>
      </c>
      <c r="FH8" s="407">
        <f>+'FY-10, FEB-10 - JAN-11'!FH8*$EJ$76</f>
        <v>188379.38699999999</v>
      </c>
      <c r="FI8" s="407">
        <f>+'FY-10, FEB-10 - JAN-11'!FI8*$EJ$76</f>
        <v>55604.322</v>
      </c>
      <c r="FJ8" s="407">
        <f>+'FY-10, FEB-10 - JAN-11'!FJ8*$EJ$76</f>
        <v>23708.061000000002</v>
      </c>
      <c r="FK8" s="407">
        <f>+'FY-10, FEB-10 - JAN-11'!FK8*$EJ$76</f>
        <v>22125.366000000002</v>
      </c>
      <c r="FL8" s="407">
        <f>+'FY-10, FEB-10 - JAN-11'!FL8*$EJ$76</f>
        <v>39072.249000000003</v>
      </c>
      <c r="FM8" s="407">
        <f>+'FY-10, FEB-10 - JAN-11'!FM8*$EJ$76</f>
        <v>64211.814000000006</v>
      </c>
      <c r="FN8" s="407">
        <f>+'FY-10, FEB-10 - JAN-11'!FN8*$EJ$76</f>
        <v>8760.9599999999991</v>
      </c>
      <c r="FO8" s="407">
        <f>+'FY-10, FEB-10 - JAN-11'!FO8*$EJ$76</f>
        <v>40551.741000000002</v>
      </c>
      <c r="FP8" s="407">
        <f>+'FY-10, FEB-10 - JAN-11'!FP8*$EJ$76</f>
        <v>10092.465</v>
      </c>
      <c r="FQ8" s="407">
        <f>+'FY-10, FEB-10 - JAN-11'!FQ8*$EJ$76</f>
        <v>24631.812000000002</v>
      </c>
      <c r="FR8" s="407">
        <f>+'FY-10, FEB-10 - JAN-11'!FR8*$EJ$76</f>
        <v>4615.0560000000005</v>
      </c>
      <c r="FS8" s="407">
        <f>+'FY-10, FEB-10 - JAN-11'!FS8*$EJ$76</f>
        <v>86898.707999999999</v>
      </c>
      <c r="FT8" s="407">
        <f>+'FY-10, FEB-10 - JAN-11'!FT8*$EJ$76</f>
        <v>2563.1190000000001</v>
      </c>
      <c r="FU8" s="407">
        <f>+'FY-10, FEB-10 - JAN-11'!FU8*$EJ$76</f>
        <v>148229.973</v>
      </c>
      <c r="FV8" s="407">
        <f>+'FY-10, FEB-10 - JAN-11'!FV8*$EJ$76</f>
        <v>30585.077999999998</v>
      </c>
      <c r="FW8" s="407">
        <f>+'FY-10, FEB-10 - JAN-11'!FW8*$EJ$76</f>
        <v>415864.34100000001</v>
      </c>
      <c r="FX8" s="407">
        <f>+'FY-10, FEB-10 - JAN-11'!FX8*$EJ$76</f>
        <v>69476.544000000009</v>
      </c>
      <c r="FY8" s="407">
        <f>+'FY-10, FEB-10 - JAN-11'!FY8*$EJ$76</f>
        <v>52380.792000000001</v>
      </c>
      <c r="FZ8" s="427">
        <f>+'FY-10, FEB-10 - JAN-11'!FZ8*$EJ$76</f>
        <v>24230.961000000003</v>
      </c>
      <c r="GA8" s="407">
        <f>+'FY-10, FEB-10 - JAN-11'!GA8*$EJ$76</f>
        <v>230931.81</v>
      </c>
      <c r="GB8" s="407">
        <f>+'FY-10, FEB-10 - JAN-11'!GB8*$EJ$76</f>
        <v>24548.391000000003</v>
      </c>
      <c r="GC8" s="407">
        <f>+'FY-10, FEB-10 - JAN-11'!GC8*$EJ$76</f>
        <v>39887.1</v>
      </c>
      <c r="GD8" s="407">
        <f>+'FY-10, FEB-10 - JAN-11'!GD8*$EJ$76</f>
        <v>8368.2180000000008</v>
      </c>
      <c r="GE8" s="407">
        <f>+'FY-10, FEB-10 - JAN-11'!GE8*$EJ$76</f>
        <v>2860.623</v>
      </c>
      <c r="GF8" s="407">
        <f>+'FY-10, FEB-10 - JAN-11'!GF8*$EJ$76</f>
        <v>14874.939</v>
      </c>
      <c r="GG8" s="407">
        <f>+'FY-10, FEB-10 - JAN-11'!GG8*$EJ$76</f>
        <v>9339.1740000000009</v>
      </c>
      <c r="GH8" s="407">
        <f>+'FY-10, FEB-10 - JAN-11'!GH8*$EJ$76</f>
        <v>8956.116</v>
      </c>
      <c r="GI8" s="407">
        <f>+'FY-10, FEB-10 - JAN-11'!GI8*$EJ$76</f>
        <v>13534.182000000001</v>
      </c>
      <c r="GJ8" s="407">
        <f>+'FY-10, FEB-10 - JAN-11'!GJ8*$EJ$76</f>
        <v>33779.565000000002</v>
      </c>
      <c r="GK8" s="407">
        <f>+'FY-10, FEB-10 - JAN-11'!GK8*$EJ$76</f>
        <v>34920.945000000007</v>
      </c>
      <c r="GL8" s="407">
        <f>+'FY-10, FEB-10 - JAN-11'!GL8*$EJ$76</f>
        <v>11112.525</v>
      </c>
      <c r="GM8" s="407">
        <f>+'FY-10, FEB-10 - JAN-11'!GM8*$EJ$76</f>
        <v>19086.048000000003</v>
      </c>
      <c r="GN8" s="407">
        <f>+'FY-10, FEB-10 - JAN-11'!GN8*$EJ$76</f>
        <v>35519.390999999996</v>
      </c>
      <c r="GO8" s="407">
        <f>+'FY-10, FEB-10 - JAN-11'!GO8*$EJ$76</f>
        <v>19470.897000000001</v>
      </c>
      <c r="GP8" s="407">
        <f>+'FY-10, FEB-10 - JAN-11'!GP8*$EJ$76</f>
        <v>10190.700000000001</v>
      </c>
      <c r="GQ8" s="407">
        <f>+'FY-10, FEB-10 - JAN-11'!GQ8*$EJ$76</f>
        <v>37505.690999999999</v>
      </c>
      <c r="GR8" s="407">
        <f>+'FY-10, FEB-10 - JAN-11'!GR8*$EJ$76</f>
        <v>0</v>
      </c>
      <c r="GS8" s="407">
        <f>+'FY-10, FEB-10 - JAN-11'!GS8*$EJ$76</f>
        <v>28456.542000000001</v>
      </c>
      <c r="GT8" s="407">
        <f>+'FY-10, FEB-10 - JAN-11'!GT8*$EJ$76</f>
        <v>34219.665000000001</v>
      </c>
      <c r="GU8" s="427">
        <f>+'FY-10, FEB-10 - JAN-11'!GU8*$EJ$76</f>
        <v>28324.791000000001</v>
      </c>
      <c r="GV8" s="407">
        <f>+'FY-10, FEB-10 - JAN-11'!GV8*$EJ$76</f>
        <v>37721.295000000006</v>
      </c>
      <c r="GW8" s="407">
        <f>+'FY-10, FEB-10 - JAN-11'!GW8*$EJ$76</f>
        <v>8573.2560000000012</v>
      </c>
      <c r="GX8" s="407">
        <f>+'FY-10, FEB-10 - JAN-11'!GX8*$EJ$76</f>
        <v>0</v>
      </c>
      <c r="GY8" s="407">
        <f>+'FY-10, FEB-10 - JAN-11'!GY8*$EJ$76</f>
        <v>364893.32700000005</v>
      </c>
      <c r="GZ8" s="407">
        <f>+'FY-10, FEB-10 - JAN-11'!GZ8*$EJ$76</f>
        <v>50772.33</v>
      </c>
      <c r="HA8" s="407">
        <f>+'FY-10, FEB-10 - JAN-11'!HA8*$EJ$76</f>
        <v>0</v>
      </c>
      <c r="HB8" s="407">
        <f>+'FY-10, FEB-10 - JAN-11'!HB8*$EJ$76</f>
        <v>0</v>
      </c>
      <c r="HC8" s="407">
        <f>+'FY-10, FEB-10 - JAN-11'!HC8*$EJ$76</f>
        <v>0</v>
      </c>
      <c r="HD8" s="407">
        <f>+'FY-10, FEB-10 - JAN-11'!HD8*$EJ$76</f>
        <v>0</v>
      </c>
      <c r="HE8" s="407">
        <f>+'FY-10, FEB-10 - JAN-11'!HE8*$EJ$76</f>
        <v>113974.43399999999</v>
      </c>
      <c r="HF8" s="407">
        <f>+'FY-10, FEB-10 - JAN-11'!HF8*$EJ$76</f>
        <v>164388.07800000001</v>
      </c>
      <c r="HG8" s="407">
        <f>+'FY-10, FEB-10 - JAN-11'!HG8*$EJ$76</f>
        <v>2994.8850000000002</v>
      </c>
      <c r="HH8" s="407">
        <f>+'FY-10, FEB-10 - JAN-11'!HH8*$EJ$76</f>
        <v>2585.9250000000002</v>
      </c>
      <c r="HI8" s="407">
        <f>+'FY-10, FEB-10 - JAN-11'!HI8*$EJ$76</f>
        <v>177821.00100000002</v>
      </c>
      <c r="HJ8" s="407">
        <f>+'FY-10, FEB-10 - JAN-11'!HJ8*$EJ$76</f>
        <v>46430.135999999999</v>
      </c>
      <c r="HK8" s="407">
        <f>+'FY-10, FEB-10 - JAN-11'!HK8*$EJ$76</f>
        <v>26639.001</v>
      </c>
      <c r="HL8" s="407">
        <f>+'FY-10, FEB-10 - JAN-11'!HL8*$EJ$76</f>
        <v>137203.76700000002</v>
      </c>
      <c r="HM8" s="407">
        <f>+'FY-10, FEB-10 - JAN-11'!HM8*$EJ$76</f>
        <v>5739.5700000000006</v>
      </c>
      <c r="HN8" s="407">
        <f>+'FY-10, FEB-10 - JAN-11'!HN8*$EJ$76</f>
        <v>37176.795000000006</v>
      </c>
      <c r="HO8" s="407">
        <f>+'FY-10, FEB-10 - JAN-11'!HO8*$EJ$76</f>
        <v>20696.535000000003</v>
      </c>
      <c r="HP8" s="427">
        <f>+'FY-10, FEB-10 - JAN-11'!HP8*$EJ$76</f>
        <v>9179.3340000000007</v>
      </c>
      <c r="HQ8" s="407">
        <f>+'FY-10, FEB-10 - JAN-11'!HQ8*$EJ$76</f>
        <v>310823.52299999999</v>
      </c>
      <c r="HR8" s="407">
        <f>+'FY-10, FEB-10 - JAN-11'!HR8*$EJ$76</f>
        <v>57722.337</v>
      </c>
      <c r="HS8" s="407">
        <f>+'FY-10, FEB-10 - JAN-11'!HS8*$EJ$76</f>
        <v>289742.14799999999</v>
      </c>
      <c r="HT8" s="407">
        <f>+'FY-10, FEB-10 - JAN-11'!HT8*$EJ$76</f>
        <v>0</v>
      </c>
      <c r="HU8" s="407">
        <f>+'FY-10, FEB-10 - JAN-11'!HU8*$EJ$76</f>
        <v>0</v>
      </c>
      <c r="HV8" s="407">
        <f>+'FY-10, FEB-10 - JAN-11'!HV8*$EJ$76</f>
        <v>0</v>
      </c>
      <c r="HW8" s="407">
        <f>+'FY-10, FEB-10 - JAN-11'!HW8*$EJ$76</f>
        <v>0</v>
      </c>
      <c r="HX8" s="407">
        <f>+'FY-10, FEB-10 - JAN-11'!HX8*$EJ$76</f>
        <v>0</v>
      </c>
      <c r="HY8" s="407">
        <f>+'FY-10, FEB-10 - JAN-11'!HY8*$EJ$76</f>
        <v>0</v>
      </c>
      <c r="HZ8" s="407">
        <f>+'FY-10, FEB-10 - JAN-11'!HZ8*$EJ$76</f>
        <v>0</v>
      </c>
      <c r="IA8" s="407">
        <f>+'FY-10, FEB-10 - JAN-11'!IA8*$EJ$76</f>
        <v>0</v>
      </c>
      <c r="IB8" s="407">
        <f>+'FY-10, FEB-10 - JAN-11'!IB8*$EJ$76</f>
        <v>0</v>
      </c>
      <c r="IC8" s="407">
        <f>+'FY-10, FEB-10 - JAN-11'!IC8*$EJ$76</f>
        <v>0</v>
      </c>
      <c r="ID8" s="407">
        <f>+'FY-10, FEB-10 - JAN-11'!ID8*$EJ$76</f>
        <v>22768.218000000001</v>
      </c>
      <c r="IE8" s="407">
        <f>+'FY-10, FEB-10 - JAN-11'!IE8*$EJ$76</f>
        <v>92073.546000000002</v>
      </c>
      <c r="IF8" s="407">
        <f>+'FY-10, FEB-10 - JAN-11'!IF8*$EJ$76</f>
        <v>84150.963000000003</v>
      </c>
      <c r="IG8" s="407">
        <f>+'FY-10, FEB-10 - JAN-11'!IG8*$EJ$76</f>
        <v>36748.611000000004</v>
      </c>
      <c r="IH8" s="407">
        <f>+'FY-10, FEB-10 - JAN-11'!IH8*$EJ$76</f>
        <v>37246.364999999998</v>
      </c>
      <c r="II8" s="407">
        <f>+'FY-10, FEB-10 - JAN-11'!II8*$EJ$76</f>
        <v>16351.101000000001</v>
      </c>
      <c r="IJ8" s="407">
        <f>+'FY-10, FEB-10 - JAN-11'!IJ8*$EJ$76</f>
        <v>6525</v>
      </c>
      <c r="IK8" s="407">
        <f>+'FY-10, FEB-10 - JAN-11'!IK8*$EJ$76</f>
        <v>23490.234</v>
      </c>
      <c r="IL8" s="427">
        <f>+'FY-10, FEB-10 - JAN-11'!IL8*$EJ$76</f>
        <v>23990.373000000003</v>
      </c>
      <c r="IM8" s="407">
        <f>+'FY-10, FEB-10 - JAN-11'!IM8*$EJ$76</f>
        <v>67357.179000000004</v>
      </c>
      <c r="IN8" s="407">
        <f>+'FY-10, FEB-10 - JAN-11'!IN8*$EJ$76</f>
        <v>172687.24799999999</v>
      </c>
      <c r="IO8" s="407">
        <f>+'FY-10, FEB-10 - JAN-11'!IO8*$EJ$76</f>
        <v>11787.948</v>
      </c>
      <c r="IP8" s="407">
        <f>+'FY-10, FEB-10 - JAN-11'!IP8*$EJ$76</f>
        <v>16634.232</v>
      </c>
      <c r="IQ8" s="407">
        <f>+'FY-10, FEB-10 - JAN-11'!IQ8*$EJ$76</f>
        <v>2979.4770000000003</v>
      </c>
      <c r="IR8" s="407">
        <f>+'FY-10, FEB-10 - JAN-11'!IR8*$EJ$76</f>
        <v>9164.0430000000015</v>
      </c>
      <c r="IS8" s="407">
        <f>+'FY-10, FEB-10 - JAN-11'!IS8*$EJ$76</f>
        <v>35330.553</v>
      </c>
      <c r="IT8" s="407">
        <f>+'FY-10, FEB-10 - JAN-11'!IT8*$EJ$76</f>
        <v>10343.888999999999</v>
      </c>
      <c r="IU8" s="407">
        <f>+'FY-10, FEB-10 - JAN-11'!IU8*$EJ$76</f>
        <v>0</v>
      </c>
      <c r="IV8" s="407">
        <f>+'FY-10, FEB-10 - JAN-11'!IV8*$EJ$76</f>
        <v>57220.821000000004</v>
      </c>
      <c r="IW8" s="682"/>
      <c r="IX8" s="407">
        <f>+D8*$EJ$76</f>
        <v>0</v>
      </c>
      <c r="IY8" s="407">
        <f t="shared" ref="IY8:JH8" si="16">+E8*$EJ$76</f>
        <v>0</v>
      </c>
      <c r="IZ8" s="407">
        <f t="shared" si="16"/>
        <v>21804.498000000003</v>
      </c>
      <c r="JA8" s="407">
        <f t="shared" si="16"/>
        <v>0</v>
      </c>
      <c r="JB8" s="407">
        <f t="shared" si="16"/>
        <v>0</v>
      </c>
      <c r="JC8" s="407">
        <f t="shared" si="16"/>
        <v>16603.191000000003</v>
      </c>
      <c r="JD8" s="407">
        <f t="shared" si="16"/>
        <v>0</v>
      </c>
      <c r="JE8" s="407">
        <f t="shared" si="16"/>
        <v>0</v>
      </c>
      <c r="JF8" s="407">
        <f t="shared" si="16"/>
        <v>0</v>
      </c>
      <c r="JG8" s="407">
        <f t="shared" si="16"/>
        <v>19530.63</v>
      </c>
      <c r="JH8" s="407">
        <f t="shared" si="16"/>
        <v>18649.674000000003</v>
      </c>
      <c r="JI8" s="4">
        <f>SUM(D8:JH8)</f>
        <v>12099118.953999998</v>
      </c>
      <c r="JJ8" s="407">
        <f>'FY-09, FEB-09 - JAN-10, w TANs'!IU8*$EJ$78</f>
        <v>12932514.195999997</v>
      </c>
      <c r="JK8" s="407">
        <f>'FY-09, FEB-09 - JAN-10, w TANs'!IV8*$EJ$78</f>
        <v>0</v>
      </c>
    </row>
    <row r="9" spans="1:271" s="428" customFormat="1" ht="14.1" customHeight="1">
      <c r="A9" s="407" t="s">
        <v>6</v>
      </c>
      <c r="B9" s="407"/>
      <c r="C9" s="427"/>
      <c r="D9" s="407"/>
      <c r="E9" s="407"/>
      <c r="F9" s="407"/>
      <c r="G9" s="407"/>
      <c r="H9" s="407"/>
      <c r="I9" s="407"/>
      <c r="J9" s="407"/>
      <c r="K9" s="407">
        <v>6104.89</v>
      </c>
      <c r="L9" s="407"/>
      <c r="M9" s="407">
        <v>180212.35</v>
      </c>
      <c r="N9" s="42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7"/>
      <c r="AB9" s="407"/>
      <c r="AC9" s="407"/>
      <c r="AD9" s="407">
        <v>6104.89</v>
      </c>
      <c r="AE9" s="407"/>
      <c r="AF9" s="407"/>
      <c r="AG9" s="427">
        <v>1547.4</v>
      </c>
      <c r="AH9" s="407">
        <f>180262.66+300</f>
        <v>180562.66</v>
      </c>
      <c r="AI9" s="407"/>
      <c r="AJ9" s="407"/>
      <c r="AK9" s="407"/>
      <c r="AL9" s="407"/>
      <c r="AM9" s="407"/>
      <c r="AN9" s="407"/>
      <c r="AO9" s="569"/>
      <c r="AP9" s="407"/>
      <c r="AQ9" s="407"/>
      <c r="AR9" s="407"/>
      <c r="AS9" s="407"/>
      <c r="AT9" s="407"/>
      <c r="AU9" s="407"/>
      <c r="AV9" s="407"/>
      <c r="AW9" s="407"/>
      <c r="AX9" s="407"/>
      <c r="AY9" s="407">
        <v>6104.89</v>
      </c>
      <c r="AZ9" s="407"/>
      <c r="BA9" s="407"/>
      <c r="BB9" s="407">
        <v>180311.22</v>
      </c>
      <c r="BC9" s="407"/>
      <c r="BD9" s="427"/>
      <c r="BE9" s="407"/>
      <c r="BF9" s="407"/>
      <c r="BG9" s="407"/>
      <c r="BH9" s="407"/>
      <c r="BI9" s="407"/>
      <c r="BJ9" s="407"/>
      <c r="BK9" s="407"/>
      <c r="BL9" s="407"/>
      <c r="BM9" s="407"/>
      <c r="BN9" s="407"/>
      <c r="BO9" s="407"/>
      <c r="BP9" s="407"/>
      <c r="BQ9" s="407"/>
      <c r="BR9" s="407"/>
      <c r="BS9" s="407"/>
      <c r="BT9" s="407"/>
      <c r="BU9" s="407">
        <v>6104.89</v>
      </c>
      <c r="BV9" s="407">
        <v>180365.66</v>
      </c>
      <c r="BW9" s="407"/>
      <c r="BX9" s="427"/>
      <c r="BY9" s="407"/>
      <c r="BZ9" s="407"/>
      <c r="CA9" s="407"/>
      <c r="CB9" s="407"/>
      <c r="CC9" s="407"/>
      <c r="CD9" s="407"/>
      <c r="CE9" s="407"/>
      <c r="CF9" s="407"/>
      <c r="CG9" s="407"/>
      <c r="CH9" s="407"/>
      <c r="CI9" s="407"/>
      <c r="CJ9" s="407"/>
      <c r="CK9" s="407"/>
      <c r="CL9" s="407"/>
      <c r="CM9" s="407"/>
      <c r="CN9" s="407"/>
      <c r="CO9" s="407"/>
      <c r="CP9" s="407"/>
      <c r="CQ9" s="407">
        <v>6104.89</v>
      </c>
      <c r="CR9" s="407"/>
      <c r="CS9" s="407" t="s">
        <v>49</v>
      </c>
      <c r="CT9" s="427">
        <v>180584.41</v>
      </c>
      <c r="CU9" s="407"/>
      <c r="CV9" s="407"/>
      <c r="CW9" s="407"/>
      <c r="CX9" s="407"/>
      <c r="CY9" s="407"/>
      <c r="CZ9" s="407"/>
      <c r="DA9" s="407"/>
      <c r="DB9" s="407"/>
      <c r="DC9" s="407"/>
      <c r="DD9" s="407"/>
      <c r="DE9" s="407"/>
      <c r="DF9" s="407"/>
      <c r="DG9" s="407"/>
      <c r="DH9" s="407"/>
      <c r="DI9" s="407"/>
      <c r="DJ9" s="407"/>
      <c r="DK9" s="407"/>
      <c r="DL9" s="407">
        <f>+'FY-10, FEB-10 - JAN-11'!DL9</f>
        <v>5971.21</v>
      </c>
      <c r="DM9" s="407">
        <f>+'FY-10, FEB-10 - JAN-11'!DM9</f>
        <v>80426.559999999998</v>
      </c>
      <c r="DN9" s="407">
        <f>+'FY-10, FEB-10 - JAN-11'!DN9</f>
        <v>0</v>
      </c>
      <c r="DO9" s="427">
        <f>+'FY-10, FEB-10 - JAN-11'!DO9</f>
        <v>0</v>
      </c>
      <c r="DP9" s="407">
        <f>+'FY-10, FEB-10 - JAN-11'!DP9</f>
        <v>0</v>
      </c>
      <c r="DQ9" s="407">
        <f>+'FY-10, FEB-10 - JAN-11'!DQ9</f>
        <v>0</v>
      </c>
      <c r="DR9" s="407">
        <f>+'FY-10, FEB-10 - JAN-11'!DR9</f>
        <v>0</v>
      </c>
      <c r="DS9" s="407">
        <f>+'FY-10, FEB-10 - JAN-11'!DS9</f>
        <v>0</v>
      </c>
      <c r="DT9" s="407">
        <f>+'FY-10, FEB-10 - JAN-11'!DT9</f>
        <v>0</v>
      </c>
      <c r="DU9" s="407">
        <f>+'FY-10, FEB-10 - JAN-11'!DU9</f>
        <v>0</v>
      </c>
      <c r="DV9" s="407">
        <f>+'FY-10, FEB-10 - JAN-11'!DV9</f>
        <v>0</v>
      </c>
      <c r="DW9" s="407">
        <f>+'FY-10, FEB-10 - JAN-11'!DW9</f>
        <v>0</v>
      </c>
      <c r="DX9" s="407">
        <f>+'FY-10, FEB-10 - JAN-11'!DX9</f>
        <v>0</v>
      </c>
      <c r="DY9" s="407">
        <f>+'FY-10, FEB-10 - JAN-11'!DY9</f>
        <v>0</v>
      </c>
      <c r="DZ9" s="407">
        <f>+'FY-10, FEB-10 - JAN-11'!DZ9</f>
        <v>0</v>
      </c>
      <c r="EA9" s="407">
        <f>+'FY-10, FEB-10 - JAN-11'!EA9</f>
        <v>0</v>
      </c>
      <c r="EB9" s="407">
        <f>+'FY-10, FEB-10 - JAN-11'!EB9</f>
        <v>0</v>
      </c>
      <c r="EC9" s="407">
        <f>+'FY-10, FEB-10 - JAN-11'!EC9</f>
        <v>0</v>
      </c>
      <c r="ED9" s="407">
        <f>+'FY-10, FEB-10 - JAN-11'!ED9</f>
        <v>0</v>
      </c>
      <c r="EE9" s="407">
        <f>+'FY-10, FEB-10 - JAN-11'!EE9</f>
        <v>0</v>
      </c>
      <c r="EF9" s="407">
        <f>+'FY-10, FEB-10 - JAN-11'!EF9</f>
        <v>9037.6</v>
      </c>
      <c r="EG9" s="407">
        <f>+'FY-10, FEB-10 - JAN-11'!EG9</f>
        <v>5971.21</v>
      </c>
      <c r="EH9" s="407">
        <f>+'FY-10, FEB-10 - JAN-11'!EH9</f>
        <v>0</v>
      </c>
      <c r="EI9" s="407">
        <f>+'FY-10, FEB-10 - JAN-11'!EI9</f>
        <v>0</v>
      </c>
      <c r="EJ9" s="427">
        <f>+'FY-10, FEB-10 - JAN-11'!EJ9</f>
        <v>0</v>
      </c>
      <c r="EK9" s="407">
        <f>+'FY-10, FEB-10 - JAN-11'!EK9</f>
        <v>743.17</v>
      </c>
      <c r="EL9" s="407">
        <f>+'FY-10, FEB-10 - JAN-11'!EL9</f>
        <v>1248.8</v>
      </c>
      <c r="EM9" s="407">
        <f>+'FY-10, FEB-10 - JAN-11'!EM9</f>
        <v>0</v>
      </c>
      <c r="EN9" s="407">
        <f>+'FY-10, FEB-10 - JAN-11'!EN9</f>
        <v>0</v>
      </c>
      <c r="EO9" s="407">
        <f>+'FY-10, FEB-10 - JAN-11'!EO9</f>
        <v>0</v>
      </c>
      <c r="EP9" s="407">
        <f>+'FY-10, FEB-10 - JAN-11'!EP9</f>
        <v>0</v>
      </c>
      <c r="EQ9" s="407">
        <f>+'FY-10, FEB-10 - JAN-11'!EQ9</f>
        <v>0</v>
      </c>
      <c r="ER9" s="407">
        <f>+'FY-10, FEB-10 - JAN-11'!ER9</f>
        <v>0</v>
      </c>
      <c r="ES9" s="407">
        <f>+'FY-10, FEB-10 - JAN-11'!ES9</f>
        <v>453</v>
      </c>
      <c r="ET9" s="407">
        <f>+'FY-10, FEB-10 - JAN-11'!ET9</f>
        <v>531</v>
      </c>
      <c r="EU9" s="407">
        <f>+'FY-10, FEB-10 - JAN-11'!EU9</f>
        <v>0</v>
      </c>
      <c r="EV9" s="407">
        <f>+'FY-10, FEB-10 - JAN-11'!EV9</f>
        <v>0</v>
      </c>
      <c r="EW9" s="407">
        <f>+'FY-10, FEB-10 - JAN-11'!EW9</f>
        <v>0</v>
      </c>
      <c r="EX9" s="407">
        <f>+'FY-10, FEB-10 - JAN-11'!EX9</f>
        <v>0</v>
      </c>
      <c r="EY9" s="407">
        <f>+'FY-10, FEB-10 - JAN-11'!EY9</f>
        <v>0</v>
      </c>
      <c r="EZ9" s="407">
        <f>+'FY-10, FEB-10 - JAN-11'!EZ9</f>
        <v>0</v>
      </c>
      <c r="FA9" s="407">
        <f>+'FY-10, FEB-10 - JAN-11'!FA9</f>
        <v>0</v>
      </c>
      <c r="FB9" s="407">
        <f>+'FY-10, FEB-10 - JAN-11'!FB9</f>
        <v>0</v>
      </c>
      <c r="FC9" s="407">
        <f>+'FY-10, FEB-10 - JAN-11'!FC9</f>
        <v>0</v>
      </c>
      <c r="FD9" s="407">
        <f>+'FY-10, FEB-10 - JAN-11'!FD9</f>
        <v>17381.419999999998</v>
      </c>
      <c r="FE9" s="407">
        <f>+'FY-10, FEB-10 - JAN-11'!FE9</f>
        <v>2988.15</v>
      </c>
      <c r="FF9" s="427">
        <f>+'FY-10, FEB-10 - JAN-11'!FF9</f>
        <v>0</v>
      </c>
      <c r="FG9" s="407">
        <f>+'FY-10, FEB-10 - JAN-11'!FG9</f>
        <v>0</v>
      </c>
      <c r="FH9" s="407">
        <f>+'FY-10, FEB-10 - JAN-11'!FH9</f>
        <v>0</v>
      </c>
      <c r="FI9" s="407">
        <f>+'FY-10, FEB-10 - JAN-11'!FI9</f>
        <v>0</v>
      </c>
      <c r="FJ9" s="407">
        <f>+'FY-10, FEB-10 - JAN-11'!FJ9</f>
        <v>0</v>
      </c>
      <c r="FK9" s="407">
        <f>+'FY-10, FEB-10 - JAN-11'!FK9</f>
        <v>6345.95</v>
      </c>
      <c r="FL9" s="407">
        <f>+'FY-10, FEB-10 - JAN-11'!FL9</f>
        <v>0</v>
      </c>
      <c r="FM9" s="407">
        <f>+'FY-10, FEB-10 - JAN-11'!FM9</f>
        <v>0</v>
      </c>
      <c r="FN9" s="407">
        <f>+'FY-10, FEB-10 - JAN-11'!FN9</f>
        <v>0</v>
      </c>
      <c r="FO9" s="407">
        <f>+'FY-10, FEB-10 - JAN-11'!FO9</f>
        <v>0</v>
      </c>
      <c r="FP9" s="407">
        <f>+'FY-10, FEB-10 - JAN-11'!FP9</f>
        <v>0</v>
      </c>
      <c r="FQ9" s="407">
        <f>+'FY-10, FEB-10 - JAN-11'!FQ9</f>
        <v>0</v>
      </c>
      <c r="FR9" s="407">
        <f>+'FY-10, FEB-10 - JAN-11'!FR9</f>
        <v>0</v>
      </c>
      <c r="FS9" s="407">
        <f>+'FY-10, FEB-10 - JAN-11'!FS9</f>
        <v>0</v>
      </c>
      <c r="FT9" s="407">
        <f>+'FY-10, FEB-10 - JAN-11'!FT9</f>
        <v>0</v>
      </c>
      <c r="FU9" s="407">
        <f>+'FY-10, FEB-10 - JAN-11'!FU9</f>
        <v>732.9</v>
      </c>
      <c r="FV9" s="407">
        <f>+'FY-10, FEB-10 - JAN-11'!FV9</f>
        <v>0</v>
      </c>
      <c r="FW9" s="407">
        <f>+'FY-10, FEB-10 - JAN-11'!FW9</f>
        <v>0</v>
      </c>
      <c r="FX9" s="407">
        <f>+'FY-10, FEB-10 - JAN-11'!FX9</f>
        <v>0</v>
      </c>
      <c r="FY9" s="407">
        <f>+'FY-10, FEB-10 - JAN-11'!FY9</f>
        <v>0</v>
      </c>
      <c r="FZ9" s="427">
        <f>+'FY-10, FEB-10 - JAN-11'!FZ9</f>
        <v>17855.41</v>
      </c>
      <c r="GA9" s="407">
        <f>+'FY-10, FEB-10 - JAN-11'!GA9</f>
        <v>0</v>
      </c>
      <c r="GB9" s="407">
        <f>+'FY-10, FEB-10 - JAN-11'!GB9</f>
        <v>255033.08</v>
      </c>
      <c r="GC9" s="407">
        <f>+'FY-10, FEB-10 - JAN-11'!GC9</f>
        <v>0</v>
      </c>
      <c r="GD9" s="407">
        <f>+'FY-10, FEB-10 - JAN-11'!GD9</f>
        <v>0</v>
      </c>
      <c r="GE9" s="407">
        <f>+'FY-10, FEB-10 - JAN-11'!GE9</f>
        <v>0</v>
      </c>
      <c r="GF9" s="407">
        <f>+'FY-10, FEB-10 - JAN-11'!GF9</f>
        <v>0</v>
      </c>
      <c r="GG9" s="407">
        <f>+'FY-10, FEB-10 - JAN-11'!GG9</f>
        <v>0</v>
      </c>
      <c r="GH9" s="407">
        <f>+'FY-10, FEB-10 - JAN-11'!GH9</f>
        <v>0</v>
      </c>
      <c r="GI9" s="407">
        <f>+'FY-10, FEB-10 - JAN-11'!GI9</f>
        <v>0</v>
      </c>
      <c r="GJ9" s="407">
        <f>+'FY-10, FEB-10 - JAN-11'!GJ9</f>
        <v>0</v>
      </c>
      <c r="GK9" s="407">
        <f>+'FY-10, FEB-10 - JAN-11'!GK9</f>
        <v>0</v>
      </c>
      <c r="GL9" s="407">
        <f>+'FY-10, FEB-10 - JAN-11'!GL9</f>
        <v>0</v>
      </c>
      <c r="GM9" s="407">
        <f>+'FY-10, FEB-10 - JAN-11'!GM9</f>
        <v>0</v>
      </c>
      <c r="GN9" s="407">
        <f>+'FY-10, FEB-10 - JAN-11'!GN9</f>
        <v>0</v>
      </c>
      <c r="GO9" s="407">
        <f>+'FY-10, FEB-10 - JAN-11'!GO9</f>
        <v>0</v>
      </c>
      <c r="GP9" s="407">
        <f>+'FY-10, FEB-10 - JAN-11'!GP9</f>
        <v>0</v>
      </c>
      <c r="GQ9" s="407">
        <f>+'FY-10, FEB-10 - JAN-11'!GQ9</f>
        <v>0</v>
      </c>
      <c r="GR9" s="407">
        <f>+'FY-10, FEB-10 - JAN-11'!GR9</f>
        <v>0</v>
      </c>
      <c r="GS9" s="407">
        <f>+'FY-10, FEB-10 - JAN-11'!GS9</f>
        <v>5971.21</v>
      </c>
      <c r="GT9" s="407">
        <f>+'FY-10, FEB-10 - JAN-11'!GT9</f>
        <v>0</v>
      </c>
      <c r="GU9" s="427">
        <f>+'FY-10, FEB-10 - JAN-11'!GU9</f>
        <v>0</v>
      </c>
      <c r="GV9" s="407">
        <f>+'FY-10, FEB-10 - JAN-11'!GV9</f>
        <v>0</v>
      </c>
      <c r="GW9" s="407">
        <f>+'FY-10, FEB-10 - JAN-11'!GW9</f>
        <v>0</v>
      </c>
      <c r="GX9" s="407">
        <f>+'FY-10, FEB-10 - JAN-11'!GX9</f>
        <v>0</v>
      </c>
      <c r="GY9" s="407">
        <f>+'FY-10, FEB-10 - JAN-11'!GY9</f>
        <v>0</v>
      </c>
      <c r="GZ9" s="407">
        <f>+'FY-10, FEB-10 - JAN-11'!GZ9</f>
        <v>0</v>
      </c>
      <c r="HA9" s="407">
        <f>+'FY-10, FEB-10 - JAN-11'!HA9</f>
        <v>0</v>
      </c>
      <c r="HB9" s="407">
        <f>+'FY-10, FEB-10 - JAN-11'!HB9</f>
        <v>159648.39000000001</v>
      </c>
      <c r="HC9" s="407">
        <f>+'FY-10, FEB-10 - JAN-11'!HC9</f>
        <v>0</v>
      </c>
      <c r="HD9" s="407">
        <f>+'FY-10, FEB-10 - JAN-11'!HD9</f>
        <v>0</v>
      </c>
      <c r="HE9" s="407">
        <f>+'FY-10, FEB-10 - JAN-11'!HE9</f>
        <v>0</v>
      </c>
      <c r="HF9" s="407">
        <f>+'FY-10, FEB-10 - JAN-11'!HF9</f>
        <v>0</v>
      </c>
      <c r="HG9" s="407">
        <f>+'FY-10, FEB-10 - JAN-11'!HG9</f>
        <v>0</v>
      </c>
      <c r="HH9" s="407">
        <f>+'FY-10, FEB-10 - JAN-11'!HH9</f>
        <v>0</v>
      </c>
      <c r="HI9" s="407">
        <f>+'FY-10, FEB-10 - JAN-11'!HI9</f>
        <v>0</v>
      </c>
      <c r="HJ9" s="407">
        <f>+'FY-10, FEB-10 - JAN-11'!HJ9</f>
        <v>0</v>
      </c>
      <c r="HK9" s="407">
        <f>+'FY-10, FEB-10 - JAN-11'!HK9</f>
        <v>0</v>
      </c>
      <c r="HL9" s="407">
        <f>+'FY-10, FEB-10 - JAN-11'!HL9</f>
        <v>0</v>
      </c>
      <c r="HM9" s="407">
        <f>+'FY-10, FEB-10 - JAN-11'!HM9</f>
        <v>0</v>
      </c>
      <c r="HN9" s="407">
        <f>+'FY-10, FEB-10 - JAN-11'!HN9</f>
        <v>5971.21</v>
      </c>
      <c r="HO9" s="407">
        <f>+'FY-10, FEB-10 - JAN-11'!HO9</f>
        <v>250.75</v>
      </c>
      <c r="HP9" s="427">
        <f>+'FY-10, FEB-10 - JAN-11'!HP9</f>
        <v>0</v>
      </c>
      <c r="HQ9" s="407">
        <f>+'FY-10, FEB-10 - JAN-11'!HQ9</f>
        <v>177159.81</v>
      </c>
      <c r="HR9" s="407">
        <f>+'FY-10, FEB-10 - JAN-11'!HR9</f>
        <v>0</v>
      </c>
      <c r="HS9" s="407">
        <f>+'FY-10, FEB-10 - JAN-11'!HS9</f>
        <v>0</v>
      </c>
      <c r="HT9" s="407">
        <f>+'FY-10, FEB-10 - JAN-11'!HT9</f>
        <v>0</v>
      </c>
      <c r="HU9" s="407">
        <f>+'FY-10, FEB-10 - JAN-11'!HU9</f>
        <v>0</v>
      </c>
      <c r="HV9" s="407">
        <f>+'FY-10, FEB-10 - JAN-11'!HV9</f>
        <v>0</v>
      </c>
      <c r="HW9" s="407">
        <f>+'FY-10, FEB-10 - JAN-11'!HW9</f>
        <v>0</v>
      </c>
      <c r="HX9" s="407">
        <f>+'FY-10, FEB-10 - JAN-11'!HX9</f>
        <v>0</v>
      </c>
      <c r="HY9" s="407">
        <f>+'FY-10, FEB-10 - JAN-11'!HY9</f>
        <v>0</v>
      </c>
      <c r="HZ9" s="407">
        <f>+'FY-10, FEB-10 - JAN-11'!HZ9</f>
        <v>0</v>
      </c>
      <c r="IA9" s="407">
        <f>+'FY-10, FEB-10 - JAN-11'!IA9</f>
        <v>0</v>
      </c>
      <c r="IB9" s="407">
        <f>+'FY-10, FEB-10 - JAN-11'!IB9</f>
        <v>0</v>
      </c>
      <c r="IC9" s="407">
        <f>+'FY-10, FEB-10 - JAN-11'!IC9</f>
        <v>0</v>
      </c>
      <c r="ID9" s="407">
        <f>+'FY-10, FEB-10 - JAN-11'!ID9</f>
        <v>23764.07</v>
      </c>
      <c r="IE9" s="407">
        <f>+'FY-10, FEB-10 - JAN-11'!IE9</f>
        <v>0</v>
      </c>
      <c r="IF9" s="407">
        <f>+'FY-10, FEB-10 - JAN-11'!IF9</f>
        <v>0</v>
      </c>
      <c r="IG9" s="407">
        <f>+'FY-10, FEB-10 - JAN-11'!IG9</f>
        <v>0</v>
      </c>
      <c r="IH9" s="407">
        <f>+'FY-10, FEB-10 - JAN-11'!IH9</f>
        <v>5966.71</v>
      </c>
      <c r="II9" s="407">
        <f>+'FY-10, FEB-10 - JAN-11'!II9</f>
        <v>0</v>
      </c>
      <c r="IJ9" s="407">
        <f>+'FY-10, FEB-10 - JAN-11'!IJ9</f>
        <v>0</v>
      </c>
      <c r="IK9" s="407">
        <f>+'FY-10, FEB-10 - JAN-11'!IK9</f>
        <v>0</v>
      </c>
      <c r="IL9" s="427">
        <f>+'FY-10, FEB-10 - JAN-11'!IL9</f>
        <v>0</v>
      </c>
      <c r="IM9" s="407">
        <f>+'FY-10, FEB-10 - JAN-11'!IM9</f>
        <v>0</v>
      </c>
      <c r="IN9" s="407">
        <f>+'FY-10, FEB-10 - JAN-11'!IN9</f>
        <v>0</v>
      </c>
      <c r="IO9" s="407">
        <f>+'FY-10, FEB-10 - JAN-11'!IO9</f>
        <v>0</v>
      </c>
      <c r="IP9" s="407">
        <f>+'FY-10, FEB-10 - JAN-11'!IP9</f>
        <v>176966.34</v>
      </c>
      <c r="IQ9" s="407">
        <f>+'FY-10, FEB-10 - JAN-11'!IQ9</f>
        <v>0</v>
      </c>
      <c r="IR9" s="407">
        <f>+'FY-10, FEB-10 - JAN-11'!IR9</f>
        <v>0</v>
      </c>
      <c r="IS9" s="407">
        <f>+'FY-10, FEB-10 - JAN-11'!IS9</f>
        <v>0</v>
      </c>
      <c r="IT9" s="407">
        <f>+'FY-10, FEB-10 - JAN-11'!IT9</f>
        <v>0</v>
      </c>
      <c r="IU9" s="407">
        <f>+'FY-10, FEB-10 - JAN-11'!IU9</f>
        <v>0</v>
      </c>
      <c r="IV9" s="407">
        <f>+'FY-10, FEB-10 - JAN-11'!IV9</f>
        <v>0</v>
      </c>
      <c r="IW9" s="682"/>
      <c r="IX9" s="407">
        <f>+D9</f>
        <v>0</v>
      </c>
      <c r="IY9" s="407">
        <f t="shared" ref="IY9:JH11" si="17">+E9</f>
        <v>0</v>
      </c>
      <c r="IZ9" s="407">
        <f t="shared" si="17"/>
        <v>0</v>
      </c>
      <c r="JA9" s="407">
        <f t="shared" si="17"/>
        <v>0</v>
      </c>
      <c r="JB9" s="407">
        <f t="shared" si="17"/>
        <v>0</v>
      </c>
      <c r="JC9" s="407">
        <f t="shared" si="17"/>
        <v>0</v>
      </c>
      <c r="JD9" s="407">
        <f t="shared" si="17"/>
        <v>0</v>
      </c>
      <c r="JE9" s="407">
        <f t="shared" si="17"/>
        <v>6104.89</v>
      </c>
      <c r="JF9" s="407">
        <f t="shared" si="17"/>
        <v>0</v>
      </c>
      <c r="JG9" s="407">
        <f t="shared" si="17"/>
        <v>180212.35</v>
      </c>
      <c r="JH9" s="407">
        <f t="shared" si="17"/>
        <v>0</v>
      </c>
      <c r="JI9" s="4">
        <f t="shared" ref="JI9:JI26" si="18">SUM(D9:JH9)</f>
        <v>2080843.34</v>
      </c>
      <c r="JJ9" s="429">
        <f>'FY-09, FEB-09 - JAN-10, w TANs'!IT9</f>
        <v>0</v>
      </c>
      <c r="JK9" s="407">
        <f>'FY-09, FEB-09 - JAN-10, w TANs'!IU9</f>
        <v>1738532.38</v>
      </c>
    </row>
    <row r="10" spans="1:271" s="428" customFormat="1" ht="14.1" customHeight="1" thickBot="1">
      <c r="A10" s="407" t="s">
        <v>28</v>
      </c>
      <c r="B10" s="430"/>
      <c r="C10" s="427"/>
      <c r="D10" s="407"/>
      <c r="E10" s="407"/>
      <c r="F10" s="407">
        <f>56067.03+682.86</f>
        <v>56749.89</v>
      </c>
      <c r="G10" s="407"/>
      <c r="H10" s="407"/>
      <c r="I10" s="407"/>
      <c r="J10" s="407"/>
      <c r="K10" s="407">
        <v>10765.539999999999</v>
      </c>
      <c r="L10" s="407"/>
      <c r="M10" s="407"/>
      <c r="N10" s="427"/>
      <c r="O10" s="407"/>
      <c r="P10" s="407">
        <v>184609.88</v>
      </c>
      <c r="Q10" s="407"/>
      <c r="R10" s="407"/>
      <c r="S10" s="407"/>
      <c r="T10" s="407">
        <v>87048.21</v>
      </c>
      <c r="U10" s="407"/>
      <c r="V10" s="431"/>
      <c r="W10" s="407"/>
      <c r="X10" s="407"/>
      <c r="Y10" s="407">
        <v>48304.9</v>
      </c>
      <c r="Z10" s="407"/>
      <c r="AA10" s="407"/>
      <c r="AB10" s="407"/>
      <c r="AC10" s="407"/>
      <c r="AD10" s="407">
        <v>75348.399999999994</v>
      </c>
      <c r="AE10" s="407"/>
      <c r="AF10" s="407"/>
      <c r="AG10" s="427"/>
      <c r="AH10" s="407"/>
      <c r="AI10" s="407">
        <f>60682.87+741.21</f>
        <v>61424.08</v>
      </c>
      <c r="AJ10" s="407"/>
      <c r="AK10" s="407"/>
      <c r="AL10" s="407"/>
      <c r="AM10" s="407"/>
      <c r="AN10" s="407">
        <v>193394.72</v>
      </c>
      <c r="AO10" s="779"/>
      <c r="AP10" s="407"/>
      <c r="AQ10" s="407"/>
      <c r="AR10" s="407">
        <v>43507.66</v>
      </c>
      <c r="AS10" s="407">
        <v>135779.60999999999</v>
      </c>
      <c r="AT10" s="407"/>
      <c r="AU10" s="407"/>
      <c r="AV10" s="407"/>
      <c r="AW10" s="407"/>
      <c r="AX10" s="407">
        <v>33765.480000000003</v>
      </c>
      <c r="AY10" s="407"/>
      <c r="AZ10" s="407"/>
      <c r="BA10" s="407"/>
      <c r="BB10" s="407"/>
      <c r="BC10" s="407">
        <v>53849.46</v>
      </c>
      <c r="BD10" s="427"/>
      <c r="BE10" s="407"/>
      <c r="BF10" s="407"/>
      <c r="BG10" s="407"/>
      <c r="BH10" s="407">
        <v>58103.040000000001</v>
      </c>
      <c r="BI10" s="407"/>
      <c r="BJ10" s="431"/>
      <c r="BK10" s="407"/>
      <c r="BL10" s="407"/>
      <c r="BM10" s="407">
        <v>48727.59</v>
      </c>
      <c r="BN10" s="407"/>
      <c r="BO10" s="407"/>
      <c r="BP10" s="407"/>
      <c r="BQ10" s="407"/>
      <c r="BR10" s="407">
        <v>192293.33000000002</v>
      </c>
      <c r="BS10" s="407"/>
      <c r="BT10" s="407"/>
      <c r="BU10" s="407"/>
      <c r="BV10" s="407"/>
      <c r="BW10" s="407">
        <v>191808.54</v>
      </c>
      <c r="BX10" s="427"/>
      <c r="BY10" s="407"/>
      <c r="BZ10" s="407"/>
      <c r="CA10" s="407"/>
      <c r="CB10" s="407">
        <v>67548.95</v>
      </c>
      <c r="CC10" s="407"/>
      <c r="CD10" s="407"/>
      <c r="CE10" s="407"/>
      <c r="CF10" s="407"/>
      <c r="CG10" s="407">
        <v>87929.48</v>
      </c>
      <c r="CH10" s="407"/>
      <c r="CI10" s="407"/>
      <c r="CJ10" s="407"/>
      <c r="CK10" s="407"/>
      <c r="CL10" s="407">
        <v>58770.99</v>
      </c>
      <c r="CM10" s="407"/>
      <c r="CN10" s="407"/>
      <c r="CO10" s="407"/>
      <c r="CP10" s="407">
        <v>1853.48</v>
      </c>
      <c r="CQ10" s="407"/>
      <c r="CR10" s="407"/>
      <c r="CS10" s="407"/>
      <c r="CT10" s="427"/>
      <c r="CU10" s="407">
        <v>190883.18000000002</v>
      </c>
      <c r="CV10" s="407"/>
      <c r="CW10" s="407"/>
      <c r="CX10" s="407"/>
      <c r="CY10" s="407"/>
      <c r="CZ10" s="407">
        <v>236611.19999999998</v>
      </c>
      <c r="DA10" s="407"/>
      <c r="DB10" s="407"/>
      <c r="DC10" s="407"/>
      <c r="DD10" s="407"/>
      <c r="DE10" s="407">
        <v>198408.5</v>
      </c>
      <c r="DF10" s="407"/>
      <c r="DG10" s="407"/>
      <c r="DH10" s="407"/>
      <c r="DI10" s="407"/>
      <c r="DJ10" s="407">
        <f>48260.54+365.04</f>
        <v>48625.58</v>
      </c>
      <c r="DK10" s="407"/>
      <c r="DL10" s="407">
        <f>+'FY-10, FEB-10 - JAN-11'!DL10</f>
        <v>0</v>
      </c>
      <c r="DM10" s="407">
        <f>+'FY-10, FEB-10 - JAN-11'!DM10</f>
        <v>0</v>
      </c>
      <c r="DN10" s="407">
        <f>+'FY-10, FEB-10 - JAN-11'!DN10</f>
        <v>0</v>
      </c>
      <c r="DO10" s="427">
        <f>+'FY-10, FEB-10 - JAN-11'!DO10</f>
        <v>0</v>
      </c>
      <c r="DP10" s="407">
        <f>+'FY-10, FEB-10 - JAN-11'!DP10</f>
        <v>0</v>
      </c>
      <c r="DQ10" s="407">
        <f>+'FY-10, FEB-10 - JAN-11'!DQ10</f>
        <v>0</v>
      </c>
      <c r="DR10" s="407">
        <f>+'FY-10, FEB-10 - JAN-11'!DR10</f>
        <v>0</v>
      </c>
      <c r="DS10" s="407">
        <f>+'FY-10, FEB-10 - JAN-11'!DS10</f>
        <v>0</v>
      </c>
      <c r="DT10" s="407">
        <f>+'FY-10, FEB-10 - JAN-11'!DT10</f>
        <v>5712.91</v>
      </c>
      <c r="DU10" s="407">
        <f>+'FY-10, FEB-10 - JAN-11'!DU10</f>
        <v>0</v>
      </c>
      <c r="DV10" s="407">
        <f>+'FY-10, FEB-10 - JAN-11'!DV10</f>
        <v>0</v>
      </c>
      <c r="DW10" s="407">
        <f>+'FY-10, FEB-10 - JAN-11'!DW10</f>
        <v>0</v>
      </c>
      <c r="DX10" s="407">
        <f>+'FY-10, FEB-10 - JAN-11'!DX10</f>
        <v>0</v>
      </c>
      <c r="DY10" s="407">
        <f>+'FY-10, FEB-10 - JAN-11'!DY10</f>
        <v>4783.5600000000004</v>
      </c>
      <c r="DZ10" s="407">
        <f>+'FY-10, FEB-10 - JAN-11'!DZ10</f>
        <v>0</v>
      </c>
      <c r="EA10" s="407">
        <f>+'FY-10, FEB-10 - JAN-11'!EA10</f>
        <v>0</v>
      </c>
      <c r="EB10" s="407">
        <f>+'FY-10, FEB-10 - JAN-11'!EB10</f>
        <v>0</v>
      </c>
      <c r="EC10" s="407">
        <f>+'FY-10, FEB-10 - JAN-11'!EC10</f>
        <v>0</v>
      </c>
      <c r="ED10" s="407">
        <f>+'FY-10, FEB-10 - JAN-11'!ED10</f>
        <v>12747.06</v>
      </c>
      <c r="EE10" s="407">
        <f>+'FY-10, FEB-10 - JAN-11'!EE10</f>
        <v>0</v>
      </c>
      <c r="EF10" s="407">
        <f>+'FY-10, FEB-10 - JAN-11'!EF10</f>
        <v>0</v>
      </c>
      <c r="EG10" s="431">
        <f>+'FY-10, FEB-10 - JAN-11'!EG10</f>
        <v>0</v>
      </c>
      <c r="EH10" s="407">
        <f>+'FY-10, FEB-10 - JAN-11'!EH10</f>
        <v>0</v>
      </c>
      <c r="EI10" s="407">
        <f>+'FY-10, FEB-10 - JAN-11'!EI10</f>
        <v>481.9</v>
      </c>
      <c r="EJ10" s="427">
        <f>+'FY-10, FEB-10 - JAN-11'!EJ10</f>
        <v>0</v>
      </c>
      <c r="EK10" s="407">
        <f>+'FY-10, FEB-10 - JAN-11'!EK10</f>
        <v>0</v>
      </c>
      <c r="EL10" s="407">
        <f>+'FY-10, FEB-10 - JAN-11'!EL10</f>
        <v>0</v>
      </c>
      <c r="EM10" s="407">
        <f>+'FY-10, FEB-10 - JAN-11'!EM10</f>
        <v>0</v>
      </c>
      <c r="EN10" s="407">
        <f>+'FY-10, FEB-10 - JAN-11'!EN10</f>
        <v>4644.58</v>
      </c>
      <c r="EO10" s="407">
        <f>+'FY-10, FEB-10 - JAN-11'!EO10</f>
        <v>0</v>
      </c>
      <c r="EP10" s="407">
        <f>+'FY-10, FEB-10 - JAN-11'!EP10</f>
        <v>0</v>
      </c>
      <c r="EQ10" s="407">
        <f>+'FY-10, FEB-10 - JAN-11'!EQ10</f>
        <v>0</v>
      </c>
      <c r="ER10" s="431">
        <f>+'FY-10, FEB-10 - JAN-11'!ER10</f>
        <v>0</v>
      </c>
      <c r="ES10" s="407">
        <f>+'FY-10, FEB-10 - JAN-11'!ES10</f>
        <v>0</v>
      </c>
      <c r="ET10" s="407">
        <f>+'FY-10, FEB-10 - JAN-11'!ET10</f>
        <v>0</v>
      </c>
      <c r="EU10" s="407">
        <f>+'FY-10, FEB-10 - JAN-11'!EU10</f>
        <v>0</v>
      </c>
      <c r="EV10" s="407">
        <f>+'FY-10, FEB-10 - JAN-11'!EV10</f>
        <v>0</v>
      </c>
      <c r="EW10" s="407">
        <f>+'FY-10, FEB-10 - JAN-11'!EW10</f>
        <v>0</v>
      </c>
      <c r="EX10" s="407">
        <f>+'FY-10, FEB-10 - JAN-11'!EX10</f>
        <v>1092.02</v>
      </c>
      <c r="EY10" s="407">
        <f>+'FY-10, FEB-10 - JAN-11'!EY10</f>
        <v>0</v>
      </c>
      <c r="EZ10" s="407">
        <f>+'FY-10, FEB-10 - JAN-11'!EZ10</f>
        <v>0</v>
      </c>
      <c r="FA10" s="407">
        <f>+'FY-10, FEB-10 - JAN-11'!FA10</f>
        <v>0</v>
      </c>
      <c r="FB10" s="431">
        <f>+'FY-10, FEB-10 - JAN-11'!FB10</f>
        <v>0</v>
      </c>
      <c r="FC10" s="407">
        <f>+'FY-10, FEB-10 - JAN-11'!FC10</f>
        <v>0</v>
      </c>
      <c r="FD10" s="407">
        <f>+'FY-10, FEB-10 - JAN-11'!FD10</f>
        <v>0</v>
      </c>
      <c r="FE10" s="407">
        <f>+'FY-10, FEB-10 - JAN-11'!FE10</f>
        <v>0</v>
      </c>
      <c r="FF10" s="427">
        <f>+'FY-10, FEB-10 - JAN-11'!FF10</f>
        <v>0</v>
      </c>
      <c r="FG10" s="407">
        <f>+'FY-10, FEB-10 - JAN-11'!FG10</f>
        <v>490</v>
      </c>
      <c r="FH10" s="407">
        <f>+'FY-10, FEB-10 - JAN-11'!FH10</f>
        <v>0</v>
      </c>
      <c r="FI10" s="407">
        <f>+'FY-10, FEB-10 - JAN-11'!FI10</f>
        <v>0</v>
      </c>
      <c r="FJ10" s="407">
        <f>+'FY-10, FEB-10 - JAN-11'!FJ10</f>
        <v>0</v>
      </c>
      <c r="FK10" s="407">
        <f>+'FY-10, FEB-10 - JAN-11'!FK10</f>
        <v>0</v>
      </c>
      <c r="FL10" s="407">
        <f>+'FY-10, FEB-10 - JAN-11'!FL10</f>
        <v>0</v>
      </c>
      <c r="FM10" s="407">
        <f>+'FY-10, FEB-10 - JAN-11'!FM10</f>
        <v>0</v>
      </c>
      <c r="FN10" s="431">
        <f>+'FY-10, FEB-10 - JAN-11'!FN10</f>
        <v>65831.94</v>
      </c>
      <c r="FO10" s="407">
        <f>+'FY-10, FEB-10 - JAN-11'!FO10</f>
        <v>0</v>
      </c>
      <c r="FP10" s="407">
        <f>+'FY-10, FEB-10 - JAN-11'!FP10</f>
        <v>0</v>
      </c>
      <c r="FQ10" s="431">
        <f>+'FY-10, FEB-10 - JAN-11'!FQ10</f>
        <v>611.44000000000005</v>
      </c>
      <c r="FR10" s="407">
        <f>+'FY-10, FEB-10 - JAN-11'!FR10</f>
        <v>41953.05</v>
      </c>
      <c r="FS10" s="407">
        <f>+'FY-10, FEB-10 - JAN-11'!FS10</f>
        <v>0</v>
      </c>
      <c r="FT10" s="407">
        <f>+'FY-10, FEB-10 - JAN-11'!FT10</f>
        <v>0</v>
      </c>
      <c r="FU10" s="407">
        <f>+'FY-10, FEB-10 - JAN-11'!FU10</f>
        <v>0</v>
      </c>
      <c r="FV10" s="407">
        <f>+'FY-10, FEB-10 - JAN-11'!FV10</f>
        <v>0</v>
      </c>
      <c r="FW10" s="407">
        <f>+'FY-10, FEB-10 - JAN-11'!FW10</f>
        <v>0</v>
      </c>
      <c r="FX10" s="407">
        <f>+'FY-10, FEB-10 - JAN-11'!FX10</f>
        <v>0</v>
      </c>
      <c r="FY10" s="407">
        <f>+'FY-10, FEB-10 - JAN-11'!FY10</f>
        <v>0</v>
      </c>
      <c r="FZ10" s="427">
        <f>+'FY-10, FEB-10 - JAN-11'!FZ10</f>
        <v>0</v>
      </c>
      <c r="GA10" s="407">
        <f>+'FY-10, FEB-10 - JAN-11'!GA10</f>
        <v>0</v>
      </c>
      <c r="GB10" s="407">
        <f>+'FY-10, FEB-10 - JAN-11'!GB10</f>
        <v>0</v>
      </c>
      <c r="GC10" s="407">
        <f>+'FY-10, FEB-10 - JAN-11'!GC10</f>
        <v>0</v>
      </c>
      <c r="GD10" s="407">
        <f>+'FY-10, FEB-10 - JAN-11'!GD10</f>
        <v>0</v>
      </c>
      <c r="GE10" s="407">
        <f>+'FY-10, FEB-10 - JAN-11'!GE10</f>
        <v>40673.9</v>
      </c>
      <c r="GF10" s="407">
        <f>+'FY-10, FEB-10 - JAN-11'!GF10</f>
        <v>0</v>
      </c>
      <c r="GG10" s="431">
        <f>+'FY-10, FEB-10 - JAN-11'!GG10</f>
        <v>0</v>
      </c>
      <c r="GH10" s="407">
        <f>+'FY-10, FEB-10 - JAN-11'!GH10</f>
        <v>0</v>
      </c>
      <c r="GI10" s="407">
        <f>+'FY-10, FEB-10 - JAN-11'!GI10</f>
        <v>0</v>
      </c>
      <c r="GJ10" s="407">
        <f>+'FY-10, FEB-10 - JAN-11'!GJ10</f>
        <v>4404666.28</v>
      </c>
      <c r="GK10" s="407">
        <f>+'FY-10, FEB-10 - JAN-11'!GK10</f>
        <v>0</v>
      </c>
      <c r="GL10" s="407">
        <f>+'FY-10, FEB-10 - JAN-11'!GL10</f>
        <v>0</v>
      </c>
      <c r="GM10" s="407">
        <f>+'FY-10, FEB-10 - JAN-11'!GM10</f>
        <v>0</v>
      </c>
      <c r="GN10" s="407">
        <f>+'FY-10, FEB-10 - JAN-11'!GN10</f>
        <v>0</v>
      </c>
      <c r="GO10" s="407">
        <f>+'FY-10, FEB-10 - JAN-11'!GO10</f>
        <v>34353.79</v>
      </c>
      <c r="GP10" s="407">
        <f>+'FY-10, FEB-10 - JAN-11'!GP10</f>
        <v>0</v>
      </c>
      <c r="GQ10" s="407">
        <f>+'FY-10, FEB-10 - JAN-11'!GQ10</f>
        <v>0</v>
      </c>
      <c r="GR10" s="407">
        <f>+'FY-10, FEB-10 - JAN-11'!GR10</f>
        <v>0</v>
      </c>
      <c r="GS10" s="407">
        <f>+'FY-10, FEB-10 - JAN-11'!GS10</f>
        <v>0</v>
      </c>
      <c r="GT10" s="407">
        <f>+'FY-10, FEB-10 - JAN-11'!GT10</f>
        <v>7135.84</v>
      </c>
      <c r="GU10" s="427">
        <f>+'FY-10, FEB-10 - JAN-11'!GU10</f>
        <v>0</v>
      </c>
      <c r="GV10" s="407">
        <f>+'FY-10, FEB-10 - JAN-11'!GV10</f>
        <v>0</v>
      </c>
      <c r="GW10" s="407">
        <f>+'FY-10, FEB-10 - JAN-11'!GW10</f>
        <v>0</v>
      </c>
      <c r="GX10" s="407">
        <f>+'FY-10, FEB-10 - JAN-11'!GX10</f>
        <v>86904.71</v>
      </c>
      <c r="GY10" s="407">
        <f>+'FY-10, FEB-10 - JAN-11'!GY10</f>
        <v>0</v>
      </c>
      <c r="GZ10" s="407">
        <f>+'FY-10, FEB-10 - JAN-11'!GZ10</f>
        <v>0</v>
      </c>
      <c r="HA10" s="407">
        <f>+'FY-10, FEB-10 - JAN-11'!HA10</f>
        <v>0</v>
      </c>
      <c r="HB10" s="407">
        <f>+'FY-10, FEB-10 - JAN-11'!HB10</f>
        <v>0</v>
      </c>
      <c r="HC10" s="431">
        <f>+'FY-10, FEB-10 - JAN-11'!HC10</f>
        <v>36802.44</v>
      </c>
      <c r="HD10" s="407">
        <f>+'FY-10, FEB-10 - JAN-11'!HD10</f>
        <v>0</v>
      </c>
      <c r="HE10" s="407">
        <f>+'FY-10, FEB-10 - JAN-11'!HE10</f>
        <v>0</v>
      </c>
      <c r="HF10" s="407">
        <f>+'FY-10, FEB-10 - JAN-11'!HF10</f>
        <v>0</v>
      </c>
      <c r="HG10" s="407">
        <f>+'FY-10, FEB-10 - JAN-11'!HG10</f>
        <v>13101.56</v>
      </c>
      <c r="HH10" s="407">
        <f>+'FY-10, FEB-10 - JAN-11'!HH10</f>
        <v>0</v>
      </c>
      <c r="HI10" s="407">
        <f>+'FY-10, FEB-10 - JAN-11'!HI10</f>
        <v>0</v>
      </c>
      <c r="HJ10" s="407">
        <f>+'FY-10, FEB-10 - JAN-11'!HJ10</f>
        <v>0</v>
      </c>
      <c r="HK10" s="407">
        <f>+'FY-10, FEB-10 - JAN-11'!HK10</f>
        <v>0</v>
      </c>
      <c r="HL10" s="407">
        <f>+'FY-10, FEB-10 - JAN-11'!HL10</f>
        <v>87491.01</v>
      </c>
      <c r="HM10" s="407">
        <f>+'FY-10, FEB-10 - JAN-11'!HM10</f>
        <v>0</v>
      </c>
      <c r="HN10" s="407">
        <f>+'FY-10, FEB-10 - JAN-11'!HN10</f>
        <v>0</v>
      </c>
      <c r="HO10" s="407">
        <f>+'FY-10, FEB-10 - JAN-11'!HO10</f>
        <v>0</v>
      </c>
      <c r="HP10" s="427">
        <f>+'FY-10, FEB-10 - JAN-11'!HP10</f>
        <v>0</v>
      </c>
      <c r="HQ10" s="407">
        <f>+'FY-10, FEB-10 - JAN-11'!HQ10</f>
        <v>54764.1</v>
      </c>
      <c r="HR10" s="407">
        <f>+'FY-10, FEB-10 - JAN-11'!HR10</f>
        <v>0</v>
      </c>
      <c r="HS10" s="407">
        <f>+'FY-10, FEB-10 - JAN-11'!HS10</f>
        <v>0</v>
      </c>
      <c r="HT10" s="407">
        <f>+'FY-10, FEB-10 - JAN-11'!HT10</f>
        <v>0</v>
      </c>
      <c r="HU10" s="407">
        <f>+'FY-10, FEB-10 - JAN-11'!HU10</f>
        <v>0</v>
      </c>
      <c r="HV10" s="407">
        <f>+'FY-10, FEB-10 - JAN-11'!HV10</f>
        <v>34370.659999999996</v>
      </c>
      <c r="HW10" s="407">
        <f>+'FY-10, FEB-10 - JAN-11'!HW10</f>
        <v>0</v>
      </c>
      <c r="HX10" s="431">
        <f>+'FY-10, FEB-10 - JAN-11'!HX10</f>
        <v>0</v>
      </c>
      <c r="HY10" s="407">
        <f>+'FY-10, FEB-10 - JAN-11'!HY10</f>
        <v>0</v>
      </c>
      <c r="HZ10" s="407">
        <f>+'FY-10, FEB-10 - JAN-11'!HZ10</f>
        <v>0</v>
      </c>
      <c r="IA10" s="407">
        <f>+'FY-10, FEB-10 - JAN-11'!IA10</f>
        <v>49020.38</v>
      </c>
      <c r="IB10" s="407">
        <f>+'FY-10, FEB-10 - JAN-11'!IB10</f>
        <v>0</v>
      </c>
      <c r="IC10" s="407">
        <f>+'FY-10, FEB-10 - JAN-11'!IC10</f>
        <v>0</v>
      </c>
      <c r="ID10" s="407">
        <f>+'FY-10, FEB-10 - JAN-11'!ID10</f>
        <v>0</v>
      </c>
      <c r="IE10" s="407">
        <f>+'FY-10, FEB-10 - JAN-11'!IE10</f>
        <v>0</v>
      </c>
      <c r="IF10" s="407">
        <f>+'FY-10, FEB-10 - JAN-11'!IF10</f>
        <v>119573.19</v>
      </c>
      <c r="IG10" s="407">
        <f>+'FY-10, FEB-10 - JAN-11'!IG10</f>
        <v>0</v>
      </c>
      <c r="IH10" s="407">
        <f>+'FY-10, FEB-10 - JAN-11'!IH10</f>
        <v>0</v>
      </c>
      <c r="II10" s="407">
        <f>+'FY-10, FEB-10 - JAN-11'!II10</f>
        <v>0</v>
      </c>
      <c r="IJ10" s="407">
        <f>+'FY-10, FEB-10 - JAN-11'!IJ10</f>
        <v>0</v>
      </c>
      <c r="IK10" s="407">
        <f>+'FY-10, FEB-10 - JAN-11'!IK10</f>
        <v>23258.34</v>
      </c>
      <c r="IL10" s="427">
        <f>+'FY-10, FEB-10 - JAN-11'!IL10</f>
        <v>0</v>
      </c>
      <c r="IM10" s="407">
        <f>+'FY-10, FEB-10 - JAN-11'!IM10</f>
        <v>0</v>
      </c>
      <c r="IN10" s="407">
        <f>+'FY-10, FEB-10 - JAN-11'!IN10</f>
        <v>0</v>
      </c>
      <c r="IO10" s="407">
        <f>+'FY-10, FEB-10 - JAN-11'!IO10</f>
        <v>0</v>
      </c>
      <c r="IP10" s="407">
        <f>+'FY-10, FEB-10 - JAN-11'!IP10</f>
        <v>13665.26</v>
      </c>
      <c r="IQ10" s="407">
        <f>+'FY-10, FEB-10 - JAN-11'!IQ10</f>
        <v>0</v>
      </c>
      <c r="IR10" s="407">
        <f>+'FY-10, FEB-10 - JAN-11'!IR10</f>
        <v>0</v>
      </c>
      <c r="IS10" s="407">
        <f>+'FY-10, FEB-10 - JAN-11'!IS10</f>
        <v>0</v>
      </c>
      <c r="IT10" s="407">
        <f>+'FY-10, FEB-10 - JAN-11'!IT10</f>
        <v>90988.479999999996</v>
      </c>
      <c r="IU10" s="407">
        <f>+'FY-10, FEB-10 - JAN-11'!IU10</f>
        <v>0</v>
      </c>
      <c r="IV10" s="407">
        <f>+'FY-10, FEB-10 - JAN-11'!IV10</f>
        <v>0</v>
      </c>
      <c r="IW10" s="682"/>
      <c r="IX10" s="407">
        <f t="shared" ref="IX10:IX11" si="19">+D10</f>
        <v>0</v>
      </c>
      <c r="IY10" s="407">
        <f t="shared" si="17"/>
        <v>0</v>
      </c>
      <c r="IZ10" s="407">
        <f t="shared" si="17"/>
        <v>56749.89</v>
      </c>
      <c r="JA10" s="407">
        <f t="shared" si="17"/>
        <v>0</v>
      </c>
      <c r="JB10" s="407">
        <f t="shared" si="17"/>
        <v>0</v>
      </c>
      <c r="JC10" s="407">
        <f t="shared" si="17"/>
        <v>0</v>
      </c>
      <c r="JD10" s="407">
        <f t="shared" si="17"/>
        <v>0</v>
      </c>
      <c r="JE10" s="407">
        <f t="shared" si="17"/>
        <v>10765.539999999999</v>
      </c>
      <c r="JF10" s="407">
        <f t="shared" si="17"/>
        <v>0</v>
      </c>
      <c r="JG10" s="407">
        <f t="shared" si="17"/>
        <v>0</v>
      </c>
      <c r="JH10" s="407">
        <f t="shared" si="17"/>
        <v>0</v>
      </c>
      <c r="JI10" s="4">
        <f t="shared" si="18"/>
        <v>7668745.5199999996</v>
      </c>
      <c r="JJ10" s="429">
        <f>'FY-09, FEB-09 - JAN-10, w TANs'!IT10</f>
        <v>0</v>
      </c>
      <c r="JK10" s="407">
        <f>'FY-09, FEB-09 - JAN-10, w TANs'!IU10</f>
        <v>6599286.7400000002</v>
      </c>
    </row>
    <row r="11" spans="1:271" s="428" customFormat="1" ht="14.1" customHeight="1" thickBot="1">
      <c r="A11" s="407" t="s">
        <v>7</v>
      </c>
      <c r="B11" s="407"/>
      <c r="C11" s="427"/>
      <c r="D11" s="407"/>
      <c r="E11" s="407"/>
      <c r="F11" s="407"/>
      <c r="G11" s="407"/>
      <c r="H11" s="407">
        <v>28415.21</v>
      </c>
      <c r="I11" s="407"/>
      <c r="J11" s="407"/>
      <c r="K11" s="407"/>
      <c r="L11" s="407"/>
      <c r="M11" s="407"/>
      <c r="N11" s="427">
        <f>9946.22+1421.26</f>
        <v>11367.48</v>
      </c>
      <c r="O11" s="407"/>
      <c r="P11" s="407"/>
      <c r="Q11" s="407"/>
      <c r="R11" s="407"/>
      <c r="S11" s="407"/>
      <c r="T11" s="407">
        <v>3420.9</v>
      </c>
      <c r="U11" s="407" t="s">
        <v>49</v>
      </c>
      <c r="V11" s="906">
        <v>4216766</v>
      </c>
      <c r="W11" s="407"/>
      <c r="X11" s="407"/>
      <c r="Y11" s="407"/>
      <c r="Z11" s="407">
        <v>7251.3</v>
      </c>
      <c r="AA11" s="407"/>
      <c r="AB11" s="407"/>
      <c r="AC11" s="407"/>
      <c r="AD11" s="407">
        <v>0.01</v>
      </c>
      <c r="AE11" s="407"/>
      <c r="AF11" s="407">
        <f>5688.49+3420.9</f>
        <v>9109.39</v>
      </c>
      <c r="AG11" s="427">
        <v>1221.17</v>
      </c>
      <c r="AH11" s="407">
        <v>125977.33</v>
      </c>
      <c r="AI11" s="407"/>
      <c r="AJ11" s="407"/>
      <c r="AK11" s="407"/>
      <c r="AL11" s="407"/>
      <c r="AM11" s="407"/>
      <c r="AN11" s="407"/>
      <c r="AO11" s="781">
        <v>6318681</v>
      </c>
      <c r="AP11" s="407"/>
      <c r="AQ11" s="407">
        <v>4800</v>
      </c>
      <c r="AR11" s="407"/>
      <c r="AS11" s="407"/>
      <c r="AT11" s="407">
        <v>3580</v>
      </c>
      <c r="AU11" s="407"/>
      <c r="AV11" s="407"/>
      <c r="AW11" s="407">
        <v>2705.22</v>
      </c>
      <c r="AX11" s="407"/>
      <c r="AY11" s="407"/>
      <c r="AZ11" s="407"/>
      <c r="BA11" s="407"/>
      <c r="BB11" s="407">
        <v>1580.12</v>
      </c>
      <c r="BC11" s="407">
        <v>3420.9</v>
      </c>
      <c r="BD11" s="427">
        <v>671.29</v>
      </c>
      <c r="BE11" s="407"/>
      <c r="BF11" s="407"/>
      <c r="BG11" s="407"/>
      <c r="BH11" s="407"/>
      <c r="BI11" s="407"/>
      <c r="BJ11" s="771">
        <v>4969297</v>
      </c>
      <c r="BK11" s="407">
        <v>0.18</v>
      </c>
      <c r="BL11" s="407">
        <v>9600</v>
      </c>
      <c r="BM11" s="407">
        <v>3386.25</v>
      </c>
      <c r="BN11" s="407"/>
      <c r="BO11" s="407"/>
      <c r="BP11" s="407"/>
      <c r="BQ11" s="407"/>
      <c r="BR11" s="407">
        <v>2020</v>
      </c>
      <c r="BS11" s="407">
        <v>812.65</v>
      </c>
      <c r="BT11" s="407"/>
      <c r="BU11" s="407"/>
      <c r="BV11" s="407"/>
      <c r="BW11" s="407">
        <v>1174.54</v>
      </c>
      <c r="BX11" s="427"/>
      <c r="BY11" s="407">
        <v>218.48</v>
      </c>
      <c r="BZ11" s="407"/>
      <c r="CA11" s="407"/>
      <c r="CB11" s="407">
        <v>0.02</v>
      </c>
      <c r="CC11" s="407"/>
      <c r="CD11" s="407"/>
      <c r="CE11" s="407"/>
      <c r="CF11" s="905">
        <v>4969297</v>
      </c>
      <c r="CG11" s="407"/>
      <c r="CH11" s="407">
        <v>4800</v>
      </c>
      <c r="CI11" s="407"/>
      <c r="CJ11" s="407"/>
      <c r="CK11" s="407"/>
      <c r="CL11" s="407"/>
      <c r="CM11" s="407"/>
      <c r="CN11" s="407"/>
      <c r="CO11" s="407">
        <v>1117.28</v>
      </c>
      <c r="CP11" s="407"/>
      <c r="CQ11" s="945">
        <f>20264322.57+1842211.14</f>
        <v>22106533.710000001</v>
      </c>
      <c r="CR11" s="407"/>
      <c r="CS11" s="407"/>
      <c r="CT11" s="427">
        <v>401.66</v>
      </c>
      <c r="CU11" s="407"/>
      <c r="CV11" s="407"/>
      <c r="CW11" s="407"/>
      <c r="CX11" s="407"/>
      <c r="CY11" s="407"/>
      <c r="CZ11" s="407"/>
      <c r="DA11" s="407"/>
      <c r="DB11" s="905">
        <v>4969297</v>
      </c>
      <c r="DC11" s="407"/>
      <c r="DD11" s="407"/>
      <c r="DE11" s="407"/>
      <c r="DF11" s="407"/>
      <c r="DG11" s="407"/>
      <c r="DH11" s="407"/>
      <c r="DI11" s="407"/>
      <c r="DJ11" s="407"/>
      <c r="DK11" s="407"/>
      <c r="DL11" s="407">
        <f>+'FY-10, FEB-10 - JAN-11'!DL11</f>
        <v>0</v>
      </c>
      <c r="DM11" s="407">
        <f>+'FY-10, FEB-10 - JAN-11'!DM11</f>
        <v>0</v>
      </c>
      <c r="DN11" s="407">
        <f>+'FY-10, FEB-10 - JAN-11'!DN11</f>
        <v>0</v>
      </c>
      <c r="DO11" s="427">
        <f>+'FY-10, FEB-10 - JAN-11'!DO11</f>
        <v>430.96</v>
      </c>
      <c r="DP11" s="407">
        <f>+'FY-10, FEB-10 - JAN-11'!DP11</f>
        <v>0</v>
      </c>
      <c r="DQ11" s="407">
        <f>+'FY-10, FEB-10 - JAN-11'!DQ11</f>
        <v>0</v>
      </c>
      <c r="DR11" s="407">
        <f>+'FY-10, FEB-10 - JAN-11'!DR11</f>
        <v>0</v>
      </c>
      <c r="DS11" s="407">
        <f>+'FY-10, FEB-10 - JAN-11'!DS11</f>
        <v>0</v>
      </c>
      <c r="DT11" s="407">
        <f>+'FY-10, FEB-10 - JAN-11'!DT11</f>
        <v>0</v>
      </c>
      <c r="DU11" s="407">
        <f>+'FY-10, FEB-10 - JAN-11'!DU11</f>
        <v>0</v>
      </c>
      <c r="DV11" s="905">
        <v>4969297</v>
      </c>
      <c r="DW11" s="407">
        <f>+'FY-10, FEB-10 - JAN-11'!DW11</f>
        <v>0</v>
      </c>
      <c r="DX11" s="407">
        <f>+'FY-10, FEB-10 - JAN-11'!DX11</f>
        <v>0</v>
      </c>
      <c r="DY11" s="407">
        <f>+'FY-10, FEB-10 - JAN-11'!DY11</f>
        <v>24617.83</v>
      </c>
      <c r="DZ11" s="407">
        <f>+'FY-10, FEB-10 - JAN-11'!DZ11</f>
        <v>0</v>
      </c>
      <c r="EA11" s="407">
        <f>+'FY-10, FEB-10 - JAN-11'!EA11</f>
        <v>0</v>
      </c>
      <c r="EB11" s="407">
        <f>+'FY-10, FEB-10 - JAN-11'!EB11</f>
        <v>0</v>
      </c>
      <c r="EC11" s="757">
        <v>65000000</v>
      </c>
      <c r="ED11" s="407">
        <f>+'FY-10, FEB-10 - JAN-11'!ED11</f>
        <v>0</v>
      </c>
      <c r="EE11" s="407">
        <f>+'FY-10, FEB-10 - JAN-11'!EE11</f>
        <v>0</v>
      </c>
      <c r="EF11" s="407">
        <f>+'FY-10, FEB-10 - JAN-11'!EF11</f>
        <v>0</v>
      </c>
      <c r="EG11" s="407">
        <v>0</v>
      </c>
      <c r="EH11" s="407">
        <f>+'FY-10, FEB-10 - JAN-11'!EH11</f>
        <v>10760.62</v>
      </c>
      <c r="EI11" s="407">
        <f>+'FY-10, FEB-10 - JAN-11'!EI11</f>
        <v>0</v>
      </c>
      <c r="EJ11" s="427">
        <f>+'FY-10, FEB-10 - JAN-11'!EJ11</f>
        <v>0</v>
      </c>
      <c r="EK11" s="407">
        <f>+'FY-10, FEB-10 - JAN-11'!EK11</f>
        <v>446.07</v>
      </c>
      <c r="EL11" s="407">
        <f>+'FY-10, FEB-10 - JAN-11'!EL11</f>
        <v>0</v>
      </c>
      <c r="EM11" s="407">
        <f>+'FY-10, FEB-10 - JAN-11'!EM11</f>
        <v>0</v>
      </c>
      <c r="EN11" s="407">
        <f>+'FY-10, FEB-10 - JAN-11'!EN11</f>
        <v>0</v>
      </c>
      <c r="EO11" s="407">
        <f>+'FY-10, FEB-10 - JAN-11'!EO11</f>
        <v>0</v>
      </c>
      <c r="EP11" s="407">
        <f>+'FY-10, FEB-10 - JAN-11'!EP11</f>
        <v>0</v>
      </c>
      <c r="EQ11" s="407">
        <f>+'FY-10, FEB-10 - JAN-11'!EQ11</f>
        <v>0</v>
      </c>
      <c r="ER11" s="905">
        <v>4969297</v>
      </c>
      <c r="ES11" s="407">
        <f>+'FY-10, FEB-10 - JAN-11'!ES11</f>
        <v>0</v>
      </c>
      <c r="ET11" s="407">
        <f>+'FY-10, FEB-10 - JAN-11'!ET11</f>
        <v>0</v>
      </c>
      <c r="EU11" s="407">
        <f>+'FY-10, FEB-10 - JAN-11'!EU11</f>
        <v>0</v>
      </c>
      <c r="EV11" s="407">
        <f>+'FY-10, FEB-10 - JAN-11'!EV11</f>
        <v>0</v>
      </c>
      <c r="EW11" s="407">
        <f>+'FY-10, FEB-10 - JAN-11'!EW11</f>
        <v>0</v>
      </c>
      <c r="EX11" s="407">
        <f>+'FY-10, FEB-10 - JAN-11'!EX11</f>
        <v>0</v>
      </c>
      <c r="EY11" s="407">
        <f>+'FY-10, FEB-10 - JAN-11'!EY11</f>
        <v>0</v>
      </c>
      <c r="EZ11" s="407">
        <f>+'FY-10, FEB-10 - JAN-11'!EZ11</f>
        <v>0</v>
      </c>
      <c r="FA11" s="757">
        <v>35000000</v>
      </c>
      <c r="FB11" s="407">
        <f>+'FY-10, FEB-10 - JAN-11'!FA11</f>
        <v>0</v>
      </c>
      <c r="FC11" s="407">
        <f>+'FY-10, FEB-10 - JAN-11'!FC11</f>
        <v>1262.3</v>
      </c>
      <c r="FD11" s="407">
        <f>+'FY-10, FEB-10 - JAN-11'!FD11</f>
        <v>0</v>
      </c>
      <c r="FE11" s="407">
        <f>+'FY-10, FEB-10 - JAN-11'!FE11</f>
        <v>0</v>
      </c>
      <c r="FF11" s="427">
        <f>+'FY-10, FEB-10 - JAN-11'!FF11</f>
        <v>569.71</v>
      </c>
      <c r="FG11" s="407">
        <f>+'FY-10, FEB-10 - JAN-11'!FG11</f>
        <v>0</v>
      </c>
      <c r="FH11" s="407">
        <f>+'FY-10, FEB-10 - JAN-11'!FH11</f>
        <v>0</v>
      </c>
      <c r="FI11" s="407">
        <f>+'FY-10, FEB-10 - JAN-11'!FI11</f>
        <v>0</v>
      </c>
      <c r="FJ11" s="407">
        <f>+'FY-10, FEB-10 - JAN-11'!FJ11</f>
        <v>0</v>
      </c>
      <c r="FK11" s="407">
        <f>+'FY-10, FEB-10 - JAN-11'!FK11</f>
        <v>0</v>
      </c>
      <c r="FL11" s="407">
        <f>+'FY-10, FEB-10 - JAN-11'!FL11</f>
        <v>0</v>
      </c>
      <c r="FM11" s="949">
        <v>3157998.25</v>
      </c>
      <c r="FN11" s="949">
        <v>2332096</v>
      </c>
      <c r="FO11" s="407">
        <f>+'FY-10, FEB-10 - JAN-11'!FO11</f>
        <v>0</v>
      </c>
      <c r="FP11" s="407">
        <f>+'FY-10, FEB-10 - JAN-11'!FP11</f>
        <v>0</v>
      </c>
      <c r="FQ11" s="947">
        <f>26900000-CQ11</f>
        <v>4793466.2899999991</v>
      </c>
      <c r="FR11" s="407">
        <f>+'FY-10, FEB-10 - JAN-11'!FR11</f>
        <v>0</v>
      </c>
      <c r="FS11" s="407">
        <f>+'FY-10, FEB-10 - JAN-11'!FS11</f>
        <v>0</v>
      </c>
      <c r="FT11" s="407">
        <f>+'FY-10, FEB-10 - JAN-11'!FT11</f>
        <v>0</v>
      </c>
      <c r="FU11" s="407">
        <f>+'FY-10, FEB-10 - JAN-11'!FU11</f>
        <v>0</v>
      </c>
      <c r="FV11" s="407">
        <f>+'FY-10, FEB-10 - JAN-11'!FV11</f>
        <v>0</v>
      </c>
      <c r="FW11" s="407">
        <f>+'FY-10, FEB-10 - JAN-11'!FW11</f>
        <v>0</v>
      </c>
      <c r="FX11" s="407">
        <f>+'FY-10, FEB-10 - JAN-11'!FX11</f>
        <v>0</v>
      </c>
      <c r="FY11" s="407">
        <f>+'FY-10, FEB-10 - JAN-11'!FY11</f>
        <v>0</v>
      </c>
      <c r="FZ11" s="427">
        <f>+'FY-10, FEB-10 - JAN-11'!FZ11</f>
        <v>1612.98</v>
      </c>
      <c r="GA11" s="407">
        <f>+'FY-10, FEB-10 - JAN-11'!GA11</f>
        <v>0</v>
      </c>
      <c r="GB11" s="407">
        <f>+'FY-10, FEB-10 - JAN-11'!GB11</f>
        <v>282.77999999999997</v>
      </c>
      <c r="GC11" s="407">
        <f>+'FY-10, FEB-10 - JAN-11'!GC11</f>
        <v>0</v>
      </c>
      <c r="GD11" s="407">
        <f>+'FY-10, FEB-10 - JAN-11'!GD11</f>
        <v>0</v>
      </c>
      <c r="GE11" s="407">
        <f>+'FY-10, FEB-10 - JAN-11'!GE11</f>
        <v>0</v>
      </c>
      <c r="GF11" s="407">
        <f>+'FY-10, FEB-10 - JAN-11'!GF11</f>
        <v>0</v>
      </c>
      <c r="GG11" s="949">
        <v>3157998.25</v>
      </c>
      <c r="GH11" s="407">
        <f>+'FY-10, FEB-10 - JAN-11'!GH11</f>
        <v>0</v>
      </c>
      <c r="GI11" s="407">
        <v>0</v>
      </c>
      <c r="GJ11" s="407">
        <f>+'FY-10, FEB-10 - JAN-11'!GJ11</f>
        <v>0</v>
      </c>
      <c r="GK11" s="407">
        <f>+'FY-10, FEB-10 - JAN-11'!GK11</f>
        <v>0</v>
      </c>
      <c r="GL11" s="407">
        <f>+'FY-10, FEB-10 - JAN-11'!GL11</f>
        <v>0</v>
      </c>
      <c r="GM11" s="407">
        <f>+'FY-10, FEB-10 - JAN-11'!GM11</f>
        <v>0</v>
      </c>
      <c r="GN11" s="407">
        <f>+'FY-10, FEB-10 - JAN-11'!GN11</f>
        <v>0</v>
      </c>
      <c r="GO11" s="407">
        <f>+'FY-10, FEB-10 - JAN-11'!GO11</f>
        <v>0</v>
      </c>
      <c r="GP11" s="407">
        <f>+'FY-10, FEB-10 - JAN-11'!GP11</f>
        <v>0</v>
      </c>
      <c r="GQ11" s="407">
        <f>+'FY-10, FEB-10 - JAN-11'!GQ11</f>
        <v>0</v>
      </c>
      <c r="GR11" s="407">
        <f>+'FY-10, FEB-10 - JAN-11'!GR11</f>
        <v>0</v>
      </c>
      <c r="GS11" s="407">
        <f>+'FY-10, FEB-10 - JAN-11'!GS11</f>
        <v>0</v>
      </c>
      <c r="GT11" s="407">
        <f>+'FY-10, FEB-10 - JAN-11'!GT11</f>
        <v>0</v>
      </c>
      <c r="GU11" s="427">
        <f>+'FY-10, FEB-10 - JAN-11'!GU11</f>
        <v>1679.11</v>
      </c>
      <c r="GV11" s="407">
        <f>+'FY-10, FEB-10 - JAN-11'!GV11</f>
        <v>584.97</v>
      </c>
      <c r="GW11" s="407">
        <f>+'FY-10, FEB-10 - JAN-11'!GW11</f>
        <v>0</v>
      </c>
      <c r="GX11" s="407">
        <f>+'FY-10, FEB-10 - JAN-11'!GX11</f>
        <v>0</v>
      </c>
      <c r="GY11" s="407">
        <f>+'FY-10, FEB-10 - JAN-11'!GY11</f>
        <v>0</v>
      </c>
      <c r="GZ11" s="407">
        <f>+'FY-10, FEB-10 - JAN-11'!GZ11</f>
        <v>0</v>
      </c>
      <c r="HA11" s="407">
        <f>+'FY-10, FEB-10 - JAN-11'!HA11</f>
        <v>0</v>
      </c>
      <c r="HB11" s="407">
        <f>+'FY-10, FEB-10 - JAN-11'!HB11</f>
        <v>0</v>
      </c>
      <c r="HC11" s="949">
        <v>3157998.25</v>
      </c>
      <c r="HD11" s="407">
        <f>+'FY-10, FEB-10 - JAN-11'!HD11</f>
        <v>0</v>
      </c>
      <c r="HE11" s="407">
        <f>+'FY-10, FEB-10 - JAN-11'!HE11</f>
        <v>0</v>
      </c>
      <c r="HF11" s="407">
        <f>+'FY-10, FEB-10 - JAN-11'!HF11</f>
        <v>0</v>
      </c>
      <c r="HG11" s="407">
        <f>+'FY-10, FEB-10 - JAN-11'!HG11</f>
        <v>0</v>
      </c>
      <c r="HH11" s="407">
        <f>+'FY-10, FEB-10 - JAN-11'!HH11</f>
        <v>0</v>
      </c>
      <c r="HI11" s="407">
        <f>+'FY-10, FEB-10 - JAN-11'!HI11</f>
        <v>0</v>
      </c>
      <c r="HJ11" s="407">
        <f>+'FY-10, FEB-10 - JAN-11'!HJ11</f>
        <v>0</v>
      </c>
      <c r="HK11" s="407">
        <f>+'FY-10, FEB-10 - JAN-11'!HK11</f>
        <v>999.07</v>
      </c>
      <c r="HL11" s="407">
        <f>+'FY-10, FEB-10 - JAN-11'!HL11</f>
        <v>0</v>
      </c>
      <c r="HM11" s="407">
        <f>+'FY-10, FEB-10 - JAN-11'!HM11</f>
        <v>0</v>
      </c>
      <c r="HN11" s="407">
        <f>+'FY-10, FEB-10 - JAN-11'!HN11</f>
        <v>0</v>
      </c>
      <c r="HO11" s="407">
        <f>+'FY-10, FEB-10 - JAN-11'!HO11</f>
        <v>0</v>
      </c>
      <c r="HP11" s="427">
        <f>+'FY-10, FEB-10 - JAN-11'!HP11</f>
        <v>929.92</v>
      </c>
      <c r="HQ11" s="407">
        <f>+'FY-10, FEB-10 - JAN-11'!HQ11</f>
        <v>0</v>
      </c>
      <c r="HR11" s="407">
        <f>+'FY-10, FEB-10 - JAN-11'!HR11</f>
        <v>0</v>
      </c>
      <c r="HS11" s="407">
        <f>+'FY-10, FEB-10 - JAN-11'!HS11</f>
        <v>0</v>
      </c>
      <c r="HT11" s="407">
        <f>+'FY-10, FEB-10 - JAN-11'!HT11</f>
        <v>0</v>
      </c>
      <c r="HU11" s="407">
        <f>+'FY-10, FEB-10 - JAN-11'!HU11</f>
        <v>0</v>
      </c>
      <c r="HV11" s="407">
        <f>+'FY-10, FEB-10 - JAN-11'!HV11</f>
        <v>0</v>
      </c>
      <c r="HW11" s="407">
        <f>+'FY-10, FEB-10 - JAN-11'!HW11</f>
        <v>0</v>
      </c>
      <c r="HX11" s="949">
        <v>3157998.25</v>
      </c>
      <c r="HY11" s="407">
        <f>+'FY-10, FEB-10 - JAN-11'!HY11</f>
        <v>0</v>
      </c>
      <c r="HZ11" s="407">
        <f>+'FY-10, FEB-10 - JAN-11'!HZ11</f>
        <v>0</v>
      </c>
      <c r="IA11" s="407">
        <f>+'FY-10, FEB-10 - JAN-11'!IA11</f>
        <v>0</v>
      </c>
      <c r="IB11" s="407">
        <f>+'FY-10, FEB-10 - JAN-11'!IB11</f>
        <v>0</v>
      </c>
      <c r="IC11" s="407">
        <f>+'FY-10, FEB-10 - JAN-11'!IC11</f>
        <v>0</v>
      </c>
      <c r="ID11" s="407">
        <f>+'FY-10, FEB-10 - JAN-11'!ID11</f>
        <v>0</v>
      </c>
      <c r="IE11" s="407">
        <f>+'FY-10, FEB-10 - JAN-11'!IE11</f>
        <v>0</v>
      </c>
      <c r="IF11" s="407">
        <f>+'FY-10, FEB-10 - JAN-11'!IF11</f>
        <v>0</v>
      </c>
      <c r="IG11" s="407">
        <f>+'FY-10, FEB-10 - JAN-11'!IG11</f>
        <v>0</v>
      </c>
      <c r="IH11" s="407">
        <f>+'FY-10, FEB-10 - JAN-11'!IH11</f>
        <v>0</v>
      </c>
      <c r="II11" s="407">
        <f>+'FY-10, FEB-10 - JAN-11'!II11</f>
        <v>0</v>
      </c>
      <c r="IJ11" s="407">
        <f>+'FY-10, FEB-10 - JAN-11'!IJ11</f>
        <v>1066.0899999999999</v>
      </c>
      <c r="IK11" s="407">
        <f>+'FY-10, FEB-10 - JAN-11'!IK11</f>
        <v>0</v>
      </c>
      <c r="IL11" s="427">
        <f>+'FY-10, FEB-10 - JAN-11'!IL11</f>
        <v>10067.709999999999</v>
      </c>
      <c r="IM11" s="407">
        <f>+'FY-10, FEB-10 - JAN-11'!IM11</f>
        <v>0</v>
      </c>
      <c r="IN11" s="407">
        <f>+'FY-10, FEB-10 - JAN-11'!IN11</f>
        <v>0</v>
      </c>
      <c r="IO11" s="407">
        <f>+'FY-10, FEB-10 - JAN-11'!IO11</f>
        <v>0</v>
      </c>
      <c r="IP11" s="407">
        <f>+'FY-10, FEB-10 - JAN-11'!IP11</f>
        <v>0</v>
      </c>
      <c r="IQ11" s="407">
        <f>+'FY-10, FEB-10 - JAN-11'!IQ11</f>
        <v>0</v>
      </c>
      <c r="IR11" s="949">
        <v>3157998.25</v>
      </c>
      <c r="IS11" s="407">
        <f>+'FY-10, FEB-10 - JAN-11'!IS11</f>
        <v>0</v>
      </c>
      <c r="IT11" s="407">
        <f>+'FY-10, FEB-10 - JAN-11'!IT11</f>
        <v>0</v>
      </c>
      <c r="IU11" s="407">
        <f>+'FY-10, FEB-10 - JAN-11'!IU11</f>
        <v>0</v>
      </c>
      <c r="IV11" s="407">
        <f>+'FY-10, FEB-10 - JAN-11'!IV11</f>
        <v>0</v>
      </c>
      <c r="IW11" s="682"/>
      <c r="IX11" s="407">
        <f t="shared" si="19"/>
        <v>0</v>
      </c>
      <c r="IY11" s="407">
        <f t="shared" si="17"/>
        <v>0</v>
      </c>
      <c r="IZ11" s="407">
        <f t="shared" si="17"/>
        <v>0</v>
      </c>
      <c r="JA11" s="407">
        <f t="shared" si="17"/>
        <v>0</v>
      </c>
      <c r="JB11" s="407">
        <f t="shared" si="17"/>
        <v>28415.21</v>
      </c>
      <c r="JC11" s="407">
        <f t="shared" si="17"/>
        <v>0</v>
      </c>
      <c r="JD11" s="407">
        <f t="shared" si="17"/>
        <v>0</v>
      </c>
      <c r="JE11" s="407">
        <f t="shared" si="17"/>
        <v>0</v>
      </c>
      <c r="JF11" s="407">
        <f t="shared" si="17"/>
        <v>0</v>
      </c>
      <c r="JG11" s="407">
        <f t="shared" si="17"/>
        <v>0</v>
      </c>
      <c r="JH11" s="407">
        <f t="shared" si="17"/>
        <v>11367.48</v>
      </c>
      <c r="JI11" s="4">
        <f t="shared" si="18"/>
        <v>180726163.44</v>
      </c>
      <c r="JJ11" s="429">
        <f>'FY-09, FEB-09 - JAN-10, w TANs'!IT11</f>
        <v>0</v>
      </c>
      <c r="JK11" s="407">
        <f>'FY-09, FEB-09 - JAN-10, w TANs'!IU11</f>
        <v>108795507.59999999</v>
      </c>
    </row>
    <row r="12" spans="1:271" s="840" customFormat="1" ht="14.1" customHeight="1">
      <c r="A12" s="835" t="s">
        <v>38</v>
      </c>
      <c r="B12" s="836"/>
      <c r="C12" s="837">
        <v>1629.2</v>
      </c>
      <c r="D12" s="835"/>
      <c r="E12" s="835"/>
      <c r="F12" s="835"/>
      <c r="G12" s="835"/>
      <c r="H12" s="835">
        <v>2440.06</v>
      </c>
      <c r="I12" s="835"/>
      <c r="J12" s="835"/>
      <c r="K12" s="835"/>
      <c r="L12" s="835"/>
      <c r="M12" s="835"/>
      <c r="N12" s="837"/>
      <c r="O12" s="835"/>
      <c r="P12" s="835"/>
      <c r="Q12" s="835"/>
      <c r="R12" s="835"/>
      <c r="S12" s="835"/>
      <c r="T12" s="835"/>
      <c r="U12" s="835"/>
      <c r="V12" s="839"/>
      <c r="W12" s="835"/>
      <c r="X12" s="835"/>
      <c r="Y12" s="835">
        <v>12420.39</v>
      </c>
      <c r="Z12" s="835">
        <v>24827.599999999999</v>
      </c>
      <c r="AA12" s="835"/>
      <c r="AB12" s="835"/>
      <c r="AC12" s="835">
        <v>1678.51</v>
      </c>
      <c r="AD12" s="835"/>
      <c r="AE12" s="835"/>
      <c r="AF12" s="835"/>
      <c r="AG12" s="837"/>
      <c r="AH12" s="835"/>
      <c r="AI12" s="835"/>
      <c r="AJ12" s="835"/>
      <c r="AK12" s="835"/>
      <c r="AL12" s="835"/>
      <c r="AM12" s="835">
        <v>71436.639999999999</v>
      </c>
      <c r="AN12" s="835">
        <v>287169.40999999997</v>
      </c>
      <c r="AO12" s="838"/>
      <c r="AP12" s="835"/>
      <c r="AQ12" s="835"/>
      <c r="AR12" s="835"/>
      <c r="AS12" s="835"/>
      <c r="AT12" s="835"/>
      <c r="AU12" s="835"/>
      <c r="AV12" s="835"/>
      <c r="AW12" s="835"/>
      <c r="AX12" s="835">
        <v>1562.62</v>
      </c>
      <c r="AY12" s="835"/>
      <c r="AZ12" s="835"/>
      <c r="BA12" s="835">
        <v>2085666.15</v>
      </c>
      <c r="BB12" s="835"/>
      <c r="BC12" s="835"/>
      <c r="BD12" s="837"/>
      <c r="BE12" s="835"/>
      <c r="BF12" s="835"/>
      <c r="BG12" s="835"/>
      <c r="BH12" s="835"/>
      <c r="BI12" s="835"/>
      <c r="BJ12" s="839"/>
      <c r="BK12" s="835"/>
      <c r="BL12" s="835"/>
      <c r="BM12" s="835"/>
      <c r="BN12" s="835"/>
      <c r="BO12" s="835"/>
      <c r="BP12" s="835"/>
      <c r="BQ12" s="835"/>
      <c r="BR12" s="835"/>
      <c r="BS12" s="835">
        <v>3053.26</v>
      </c>
      <c r="BT12" s="835"/>
      <c r="BU12" s="835"/>
      <c r="BV12" s="835"/>
      <c r="BW12" s="835"/>
      <c r="BX12" s="837">
        <v>82909.930000000008</v>
      </c>
      <c r="BY12" s="835"/>
      <c r="BZ12" s="835"/>
      <c r="CA12" s="835"/>
      <c r="CB12" s="835"/>
      <c r="CC12" s="835"/>
      <c r="CD12" s="835"/>
      <c r="CE12" s="835"/>
      <c r="CF12" s="835"/>
      <c r="CG12" s="835"/>
      <c r="CH12" s="835"/>
      <c r="CI12" s="835"/>
      <c r="CJ12" s="835"/>
      <c r="CK12" s="835"/>
      <c r="CL12" s="835"/>
      <c r="CM12" s="835"/>
      <c r="CN12" s="835"/>
      <c r="CO12" s="835">
        <v>2554.5100000000002</v>
      </c>
      <c r="CP12" s="835"/>
      <c r="CQ12" s="835"/>
      <c r="CR12" s="835"/>
      <c r="CS12" s="835"/>
      <c r="CT12" s="837"/>
      <c r="CU12" s="835">
        <v>30879.05</v>
      </c>
      <c r="CV12" s="835"/>
      <c r="CW12" s="835"/>
      <c r="CX12" s="835">
        <v>3176043.5100000002</v>
      </c>
      <c r="CY12" s="835"/>
      <c r="CZ12" s="835"/>
      <c r="DA12" s="835"/>
      <c r="DB12" s="835"/>
      <c r="DC12" s="835"/>
      <c r="DD12" s="835"/>
      <c r="DE12" s="835">
        <f>44133.26+34942.5+2007.63</f>
        <v>81083.390000000014</v>
      </c>
      <c r="DF12" s="835">
        <v>103116.63</v>
      </c>
      <c r="DG12" s="835"/>
      <c r="DH12" s="835"/>
      <c r="DI12" s="835"/>
      <c r="DJ12" s="835">
        <v>1276.31</v>
      </c>
      <c r="DK12" s="835"/>
      <c r="DL12" s="835">
        <f>+'FY-10, FEB-10 - JAN-11'!DL12*$EJ78</f>
        <v>0</v>
      </c>
      <c r="DM12" s="835">
        <f>+'FY-10, FEB-10 - JAN-11'!DM12*$EJ78</f>
        <v>0</v>
      </c>
      <c r="DN12" s="835">
        <f>+'FY-10, FEB-10 - JAN-11'!DN12*$EJ78</f>
        <v>0</v>
      </c>
      <c r="DO12" s="837">
        <f>+'FY-10, FEB-10 - JAN-11'!DO12*$EJ78</f>
        <v>0</v>
      </c>
      <c r="DP12" s="835">
        <f>+'FY-10, FEB-10 - JAN-11'!DP12*$EJ78</f>
        <v>0</v>
      </c>
      <c r="DQ12" s="835">
        <f>+'FY-10, FEB-10 - JAN-11'!DQ12*$EJ78</f>
        <v>0</v>
      </c>
      <c r="DR12" s="835">
        <f>+'FY-10, FEB-10 - JAN-11'!DR12*$EJ78</f>
        <v>0</v>
      </c>
      <c r="DS12" s="835">
        <f>+'FY-10, FEB-10 - JAN-11'!DS12*$EJ78</f>
        <v>0</v>
      </c>
      <c r="DT12" s="835">
        <f>+'FY-10, FEB-10 - JAN-11'!DT12*$EJ78</f>
        <v>0</v>
      </c>
      <c r="DU12" s="835">
        <f>+'FY-10, FEB-10 - JAN-11'!DU12*$EJ78</f>
        <v>11197.451999999999</v>
      </c>
      <c r="DV12" s="835">
        <f>+'FY-10, FEB-10 - JAN-11'!DV12*$EJ78</f>
        <v>0</v>
      </c>
      <c r="DW12" s="835">
        <f>+'FY-10, FEB-10 - JAN-11'!DW12*$EJ78</f>
        <v>0</v>
      </c>
      <c r="DX12" s="835">
        <f>+'FY-10, FEB-10 - JAN-11'!DX12*$EJ78</f>
        <v>0</v>
      </c>
      <c r="DY12" s="835">
        <f>+'FY-10, FEB-10 - JAN-11'!DY12*$EJ78</f>
        <v>0</v>
      </c>
      <c r="DZ12" s="835">
        <f>+'FY-10, FEB-10 - JAN-11'!DZ12*$EJ78</f>
        <v>11713.142</v>
      </c>
      <c r="EA12" s="835">
        <f>+'FY-10, FEB-10 - JAN-11'!EA12*$EJ78</f>
        <v>0</v>
      </c>
      <c r="EB12" s="835">
        <f>+'FY-10, FEB-10 - JAN-11'!EB12*$EJ78</f>
        <v>0</v>
      </c>
      <c r="EC12" s="835">
        <f>+'FY-10, FEB-10 - JAN-11'!EC12*$EJ78</f>
        <v>0</v>
      </c>
      <c r="ED12" s="835">
        <f>+'FY-10, FEB-10 - JAN-11'!ED12*$EJ78</f>
        <v>0</v>
      </c>
      <c r="EE12" s="835">
        <f>+'FY-10, FEB-10 - JAN-11'!EE12*$EJ78</f>
        <v>822.07299999999998</v>
      </c>
      <c r="EF12" s="835">
        <f>+'FY-10, FEB-10 - JAN-11'!EF12*$EJ78</f>
        <v>0</v>
      </c>
      <c r="EG12" s="835">
        <f>+'FY-10, FEB-10 - JAN-11'!EG12*$EJ78</f>
        <v>0</v>
      </c>
      <c r="EH12" s="835">
        <f>+'FY-10, FEB-10 - JAN-11'!EH12*$EJ78</f>
        <v>34500.178999999996</v>
      </c>
      <c r="EI12" s="835">
        <f>+'FY-10, FEB-10 - JAN-11'!EI12*$EJ78</f>
        <v>138663.69299999997</v>
      </c>
      <c r="EJ12" s="837">
        <f>+'FY-10, FEB-10 - JAN-11'!EJ12*$EJ78</f>
        <v>0</v>
      </c>
      <c r="EK12" s="835">
        <f>+'FY-10, FEB-10 - JAN-11'!EK12*$EJ78</f>
        <v>0</v>
      </c>
      <c r="EL12" s="835">
        <f>+'FY-10, FEB-10 - JAN-11'!EL12*$EJ78</f>
        <v>0</v>
      </c>
      <c r="EM12" s="835">
        <f>+'FY-10, FEB-10 - JAN-11'!EM12*$EJ78</f>
        <v>0</v>
      </c>
      <c r="EN12" s="835">
        <f>+'FY-10, FEB-10 - JAN-11'!EN12*$EJ78</f>
        <v>0</v>
      </c>
      <c r="EO12" s="835">
        <f>+'FY-10, FEB-10 - JAN-11'!EO12*$EJ78</f>
        <v>0</v>
      </c>
      <c r="EP12" s="835">
        <f>+'FY-10, FEB-10 - JAN-11'!EP12*$EJ78</f>
        <v>0</v>
      </c>
      <c r="EQ12" s="835">
        <f>+'FY-10, FEB-10 - JAN-11'!EQ12*$EJ78</f>
        <v>0</v>
      </c>
      <c r="ER12" s="835">
        <f>+'FY-10, FEB-10 - JAN-11'!ER12*$EJ78</f>
        <v>8680.601999999999</v>
      </c>
      <c r="ES12" s="835">
        <f>+'FY-10, FEB-10 - JAN-11'!ES12*$EJ78</f>
        <v>0</v>
      </c>
      <c r="ET12" s="835">
        <f>+'FY-10, FEB-10 - JAN-11'!ET12*$EJ78</f>
        <v>0</v>
      </c>
      <c r="EU12" s="835">
        <f>+'FY-10, FEB-10 - JAN-11'!EU12*$EJ78</f>
        <v>0</v>
      </c>
      <c r="EV12" s="835">
        <f>+'FY-10, FEB-10 - JAN-11'!EV12*$EJ78</f>
        <v>0</v>
      </c>
      <c r="EW12" s="835">
        <f>+'FY-10, FEB-10 - JAN-11'!EW12*$EJ78</f>
        <v>0</v>
      </c>
      <c r="EX12" s="835">
        <f>+'FY-10, FEB-10 - JAN-11'!EX12*$EJ78</f>
        <v>0</v>
      </c>
      <c r="EY12" s="835">
        <f>+'FY-10, FEB-10 - JAN-11'!EY12*$EJ78</f>
        <v>0</v>
      </c>
      <c r="EZ12" s="835">
        <f>+'FY-10, FEB-10 - JAN-11'!EZ12*$EJ78</f>
        <v>0</v>
      </c>
      <c r="FA12" s="835">
        <f>+'FY-10, FEB-10 - JAN-11'!FA12*$EJ78</f>
        <v>0</v>
      </c>
      <c r="FB12" s="835">
        <f>+'FY-10, FEB-10 - JAN-11'!FB12*$EJ78</f>
        <v>1401.8059999999998</v>
      </c>
      <c r="FC12" s="835">
        <f>+'FY-10, FEB-10 - JAN-11'!FC12*$EJ78</f>
        <v>0</v>
      </c>
      <c r="FD12" s="835">
        <f>+'FY-10, FEB-10 - JAN-11'!FD12*$EJ78</f>
        <v>4294.9480000000003</v>
      </c>
      <c r="FE12" s="835">
        <f>+'FY-10, FEB-10 - JAN-11'!FE12*$EJ78</f>
        <v>0</v>
      </c>
      <c r="FF12" s="837">
        <f>+'FY-10, FEB-10 - JAN-11'!FF12*$EJ78</f>
        <v>0</v>
      </c>
      <c r="FG12" s="835">
        <f>+'FY-10, FEB-10 - JAN-11'!FG12*$EJ78</f>
        <v>0</v>
      </c>
      <c r="FH12" s="835">
        <f>+'FY-10, FEB-10 - JAN-11'!FH12*$EJ78</f>
        <v>0</v>
      </c>
      <c r="FI12" s="835">
        <f>+'FY-10, FEB-10 - JAN-11'!FI12*$EJ78</f>
        <v>0</v>
      </c>
      <c r="FJ12" s="835">
        <f>+'FY-10, FEB-10 - JAN-11'!FJ12*$EJ78</f>
        <v>0</v>
      </c>
      <c r="FK12" s="835">
        <f>+'FY-10, FEB-10 - JAN-11'!FK12*$EJ78</f>
        <v>0</v>
      </c>
      <c r="FL12" s="835">
        <f>+'FY-10, FEB-10 - JAN-11'!FL12*$EJ78</f>
        <v>0</v>
      </c>
      <c r="FM12" s="835">
        <f>+'FY-10, FEB-10 - JAN-11'!FM12*$EJ78</f>
        <v>0</v>
      </c>
      <c r="FN12" s="835">
        <f>+'FY-10, FEB-10 - JAN-11'!FN12*$EJ78</f>
        <v>0</v>
      </c>
      <c r="FO12" s="835">
        <f>+'FY-10, FEB-10 - JAN-11'!FO12*$EJ78</f>
        <v>0</v>
      </c>
      <c r="FP12" s="835">
        <f>+'FY-10, FEB-10 - JAN-11'!FP12*$EJ78</f>
        <v>0</v>
      </c>
      <c r="FQ12" s="839">
        <f>+'FY-10, FEB-10 - JAN-11'!FQ12*$EJ78</f>
        <v>0</v>
      </c>
      <c r="FR12" s="835">
        <f>+'FY-10, FEB-10 - JAN-11'!FR12*$EJ78</f>
        <v>0</v>
      </c>
      <c r="FS12" s="835">
        <f>+'FY-10, FEB-10 - JAN-11'!FS12*$EJ78</f>
        <v>0</v>
      </c>
      <c r="FT12" s="835">
        <f>+'FY-10, FEB-10 - JAN-11'!FT12*$EJ78</f>
        <v>0</v>
      </c>
      <c r="FU12" s="835">
        <f>+'FY-10, FEB-10 - JAN-11'!FU12*$EJ78</f>
        <v>0</v>
      </c>
      <c r="FV12" s="835">
        <f>+'FY-10, FEB-10 - JAN-11'!FV12*$EJ78</f>
        <v>1056.153</v>
      </c>
      <c r="FW12" s="835">
        <f>+'FY-10, FEB-10 - JAN-11'!FW12*$EJ78</f>
        <v>0</v>
      </c>
      <c r="FX12" s="835">
        <f>+'FY-10, FEB-10 - JAN-11'!FX12*$EJ78</f>
        <v>0</v>
      </c>
      <c r="FY12" s="835">
        <f>+'FY-10, FEB-10 - JAN-11'!FY12*$EJ78</f>
        <v>42</v>
      </c>
      <c r="FZ12" s="837">
        <f>+'FY-10, FEB-10 - JAN-11'!FZ12*$EJ78</f>
        <v>1375.962</v>
      </c>
      <c r="GA12" s="835">
        <f>+'FY-10, FEB-10 - JAN-11'!GA12*$EJ78</f>
        <v>0</v>
      </c>
      <c r="GB12" s="835">
        <f>+'FY-10, FEB-10 - JAN-11'!GB12*$EJ78</f>
        <v>0</v>
      </c>
      <c r="GC12" s="835">
        <f>+'FY-10, FEB-10 - JAN-11'!GC12*$EJ78</f>
        <v>12959.905000000001</v>
      </c>
      <c r="GD12" s="835">
        <f>+'FY-10, FEB-10 - JAN-11'!GD12*$EJ78</f>
        <v>0</v>
      </c>
      <c r="GE12" s="835">
        <f>+'FY-10, FEB-10 - JAN-11'!GE12*$EJ78</f>
        <v>0</v>
      </c>
      <c r="GF12" s="835">
        <f>+'FY-10, FEB-10 - JAN-11'!GF12*$EJ78</f>
        <v>0</v>
      </c>
      <c r="GG12" s="835">
        <f>+'FY-10, FEB-10 - JAN-11'!GG12*$EJ78</f>
        <v>198225.3</v>
      </c>
      <c r="GH12" s="835">
        <f>+'FY-10, FEB-10 - JAN-11'!GH12*$EJ78</f>
        <v>0</v>
      </c>
      <c r="GI12" s="835">
        <f>+'FY-10, FEB-10 - JAN-11'!GI12*$EJ78</f>
        <v>0</v>
      </c>
      <c r="GJ12" s="835">
        <f>+'FY-10, FEB-10 - JAN-11'!GJ12*$EJ78</f>
        <v>0</v>
      </c>
      <c r="GK12" s="835">
        <f>+'FY-10, FEB-10 - JAN-11'!GK12*$EJ78</f>
        <v>0</v>
      </c>
      <c r="GL12" s="835">
        <f>+'FY-10, FEB-10 - JAN-11'!GL12*$EJ78</f>
        <v>0</v>
      </c>
      <c r="GM12" s="835">
        <f>+'FY-10, FEB-10 - JAN-11'!GM12*$EJ78</f>
        <v>0</v>
      </c>
      <c r="GN12" s="835">
        <f>+'FY-10, FEB-10 - JAN-11'!GN12*$EJ78</f>
        <v>0</v>
      </c>
      <c r="GO12" s="835">
        <f>+'FY-10, FEB-10 - JAN-11'!GO12*$EJ78</f>
        <v>0</v>
      </c>
      <c r="GP12" s="835">
        <f>+'FY-10, FEB-10 - JAN-11'!GP12*$EJ78</f>
        <v>2989.9380000000001</v>
      </c>
      <c r="GQ12" s="835">
        <f>+'FY-10, FEB-10 - JAN-11'!GQ12*$EJ78</f>
        <v>0</v>
      </c>
      <c r="GR12" s="835">
        <f>+'FY-10, FEB-10 - JAN-11'!GR12*$EJ78</f>
        <v>0</v>
      </c>
      <c r="GS12" s="835">
        <f>+'FY-10, FEB-10 - JAN-11'!GS12*$EJ78</f>
        <v>0</v>
      </c>
      <c r="GT12" s="835">
        <f>+'FY-10, FEB-10 - JAN-11'!GT12*$EJ78</f>
        <v>26351.576999999997</v>
      </c>
      <c r="GU12" s="837">
        <f>+'FY-10, FEB-10 - JAN-11'!GU12*$EJ78</f>
        <v>8334.1229999999996</v>
      </c>
      <c r="GV12" s="835">
        <f>+'FY-10, FEB-10 - JAN-11'!GV12*$EJ78</f>
        <v>0</v>
      </c>
      <c r="GW12" s="835">
        <f>+'FY-10, FEB-10 - JAN-11'!GW12*$EJ78</f>
        <v>0</v>
      </c>
      <c r="GX12" s="835">
        <f>+'FY-10, FEB-10 - JAN-11'!GX12*$EJ78</f>
        <v>0</v>
      </c>
      <c r="GY12" s="835">
        <f>+'FY-10, FEB-10 - JAN-11'!GY12*$EJ78</f>
        <v>0</v>
      </c>
      <c r="GZ12" s="835">
        <f>+'FY-10, FEB-10 - JAN-11'!GZ12*$EJ78</f>
        <v>0</v>
      </c>
      <c r="HA12" s="835">
        <f>+'FY-10, FEB-10 - JAN-11'!HA12*$EJ78</f>
        <v>0</v>
      </c>
      <c r="HB12" s="835">
        <f>+'FY-10, FEB-10 - JAN-11'!HB12*$EJ78</f>
        <v>0</v>
      </c>
      <c r="HC12" s="835">
        <f>+'FY-10, FEB-10 - JAN-11'!HC12*$EJ78</f>
        <v>0</v>
      </c>
      <c r="HD12" s="835">
        <f>+'FY-10, FEB-10 - JAN-11'!HD12*$EJ78</f>
        <v>0</v>
      </c>
      <c r="HE12" s="835">
        <f>+'FY-10, FEB-10 - JAN-11'!HE12*$EJ78</f>
        <v>0</v>
      </c>
      <c r="HF12" s="835">
        <f>+'FY-10, FEB-10 - JAN-11'!HF12*$EJ78</f>
        <v>0</v>
      </c>
      <c r="HG12" s="835">
        <f>+'FY-10, FEB-10 - JAN-11'!HG12*$EJ78</f>
        <v>0</v>
      </c>
      <c r="HH12" s="835">
        <f>+'FY-10, FEB-10 - JAN-11'!HH12*$EJ78</f>
        <v>0</v>
      </c>
      <c r="HI12" s="835">
        <f>+'FY-10, FEB-10 - JAN-11'!HI12*$EJ78</f>
        <v>0</v>
      </c>
      <c r="HJ12" s="835">
        <f>+'FY-10, FEB-10 - JAN-11'!HJ12*$EJ78</f>
        <v>2822.96</v>
      </c>
      <c r="HK12" s="835">
        <f>+'FY-10, FEB-10 - JAN-11'!HK12*$EJ78</f>
        <v>0</v>
      </c>
      <c r="HL12" s="835">
        <f>+'FY-10, FEB-10 - JAN-11'!HL12*$EJ78</f>
        <v>14008.014999999999</v>
      </c>
      <c r="HM12" s="835">
        <f>+'FY-10, FEB-10 - JAN-11'!HM12*$EJ78</f>
        <v>0</v>
      </c>
      <c r="HN12" s="835">
        <f>+'FY-10, FEB-10 - JAN-11'!HN12*$EJ78</f>
        <v>0</v>
      </c>
      <c r="HO12" s="835">
        <f>+'FY-10, FEB-10 - JAN-11'!HO12*$EJ78</f>
        <v>15117.598999999998</v>
      </c>
      <c r="HP12" s="837">
        <f>+'FY-10, FEB-10 - JAN-11'!HP12*$EJ78</f>
        <v>0</v>
      </c>
      <c r="HQ12" s="835">
        <f>+'FY-10, FEB-10 - JAN-11'!HQ12*$EJ78</f>
        <v>0</v>
      </c>
      <c r="HR12" s="835">
        <f>+'FY-10, FEB-10 - JAN-11'!HR12*$EJ78</f>
        <v>0</v>
      </c>
      <c r="HS12" s="835">
        <f>+'FY-10, FEB-10 - JAN-11'!HS12*$EJ78</f>
        <v>0</v>
      </c>
      <c r="HT12" s="835">
        <f>+'FY-10, FEB-10 - JAN-11'!HT12*$EJ78</f>
        <v>0</v>
      </c>
      <c r="HU12" s="835">
        <f>+'FY-10, FEB-10 - JAN-11'!HU12*$EJ78</f>
        <v>0</v>
      </c>
      <c r="HV12" s="835">
        <f>+'FY-10, FEB-10 - JAN-11'!HV12*$EJ78</f>
        <v>0</v>
      </c>
      <c r="HW12" s="835">
        <f>+'FY-10, FEB-10 - JAN-11'!HW12*$EJ78</f>
        <v>0</v>
      </c>
      <c r="HX12" s="835">
        <f>+'FY-10, FEB-10 - JAN-11'!HX12*$EJ78</f>
        <v>0</v>
      </c>
      <c r="HY12" s="835">
        <f>+'FY-10, FEB-10 - JAN-11'!HY12*$EJ78</f>
        <v>0</v>
      </c>
      <c r="HZ12" s="835">
        <f>+'FY-10, FEB-10 - JAN-11'!HZ12*$EJ78</f>
        <v>0</v>
      </c>
      <c r="IA12" s="835">
        <f>+'FY-10, FEB-10 - JAN-11'!IA12*$EJ78</f>
        <v>0</v>
      </c>
      <c r="IB12" s="835">
        <f>+'FY-10, FEB-10 - JAN-11'!IB12*$EJ78</f>
        <v>0</v>
      </c>
      <c r="IC12" s="835">
        <f>+'FY-10, FEB-10 - JAN-11'!IC12*$EJ78</f>
        <v>0</v>
      </c>
      <c r="ID12" s="835">
        <f>+'FY-10, FEB-10 - JAN-11'!ID12*$EJ78</f>
        <v>0</v>
      </c>
      <c r="IE12" s="835">
        <f>+'FY-10, FEB-10 - JAN-11'!IE12*$EJ78</f>
        <v>0</v>
      </c>
      <c r="IF12" s="835">
        <f>+'FY-10, FEB-10 - JAN-11'!IF12*$EJ78</f>
        <v>0</v>
      </c>
      <c r="IG12" s="835">
        <f>+'FY-10, FEB-10 - JAN-11'!IG12*$EJ78</f>
        <v>0</v>
      </c>
      <c r="IH12" s="835">
        <f>+'FY-10, FEB-10 - JAN-11'!IH12*$EJ78</f>
        <v>23656.695999999996</v>
      </c>
      <c r="II12" s="835">
        <f>+'FY-10, FEB-10 - JAN-11'!II12*$EJ78</f>
        <v>0</v>
      </c>
      <c r="IJ12" s="835">
        <f>+'FY-10, FEB-10 - JAN-11'!IJ12*$EJ78</f>
        <v>0</v>
      </c>
      <c r="IK12" s="835">
        <f>+'FY-10, FEB-10 - JAN-11'!IK12*$EJ78</f>
        <v>0</v>
      </c>
      <c r="IL12" s="837">
        <f>+'FY-10, FEB-10 - JAN-11'!IL12*$EJ78</f>
        <v>0</v>
      </c>
      <c r="IM12" s="835">
        <f>+'FY-10, FEB-10 - JAN-11'!IM12*$EJ78</f>
        <v>0</v>
      </c>
      <c r="IN12" s="835">
        <f>+'FY-10, FEB-10 - JAN-11'!IN12*$EJ78</f>
        <v>0</v>
      </c>
      <c r="IO12" s="835">
        <f>+'FY-10, FEB-10 - JAN-11'!IO12*$EJ78</f>
        <v>0</v>
      </c>
      <c r="IP12" s="835">
        <f>+'FY-10, FEB-10 - JAN-11'!IP12*$EJ78</f>
        <v>0</v>
      </c>
      <c r="IQ12" s="835">
        <f>+'FY-10, FEB-10 - JAN-11'!IQ12*$EJ78</f>
        <v>0</v>
      </c>
      <c r="IR12" s="835">
        <f>+'FY-10, FEB-10 - JAN-11'!IR12*$EJ78</f>
        <v>0</v>
      </c>
      <c r="IS12" s="835">
        <f>+'FY-10, FEB-10 - JAN-11'!IS12*$EJ78</f>
        <v>18706.246999999999</v>
      </c>
      <c r="IT12" s="835">
        <f>+'FY-10, FEB-10 - JAN-11'!IT12*$EJ78</f>
        <v>678289.94799999997</v>
      </c>
      <c r="IU12" s="835">
        <f>+'FY-10, FEB-10 - JAN-11'!IU12*$EJ78</f>
        <v>0</v>
      </c>
      <c r="IV12" s="835">
        <f>+'FY-10, FEB-10 - JAN-11'!IV12*$EJ78</f>
        <v>1140.44</v>
      </c>
      <c r="IW12" s="682"/>
      <c r="IX12" s="835">
        <f>+D12*$EJ$78</f>
        <v>0</v>
      </c>
      <c r="IY12" s="835">
        <f t="shared" ref="IY12:JH12" si="20">+E12*$EJ$78</f>
        <v>0</v>
      </c>
      <c r="IZ12" s="835">
        <f t="shared" si="20"/>
        <v>0</v>
      </c>
      <c r="JA12" s="835">
        <f t="shared" si="20"/>
        <v>0</v>
      </c>
      <c r="JB12" s="835">
        <f t="shared" si="20"/>
        <v>1708.0419999999999</v>
      </c>
      <c r="JC12" s="835">
        <f t="shared" si="20"/>
        <v>0</v>
      </c>
      <c r="JD12" s="835">
        <f t="shared" si="20"/>
        <v>0</v>
      </c>
      <c r="JE12" s="835">
        <f t="shared" si="20"/>
        <v>0</v>
      </c>
      <c r="JF12" s="835">
        <f t="shared" si="20"/>
        <v>0</v>
      </c>
      <c r="JG12" s="835">
        <f t="shared" si="20"/>
        <v>0</v>
      </c>
      <c r="JH12" s="835">
        <f t="shared" si="20"/>
        <v>0</v>
      </c>
      <c r="JI12" s="835">
        <f t="shared" si="18"/>
        <v>7186176.7699999977</v>
      </c>
      <c r="JJ12" s="835">
        <f>'FY-09, FEB-09 - JAN-10, w TANs'!IT12</f>
        <v>0</v>
      </c>
      <c r="JK12" s="835">
        <f>'FY-09, FEB-09 - JAN-10, w TANs'!IU12</f>
        <v>14317478.85</v>
      </c>
    </row>
    <row r="13" spans="1:271" s="38" customFormat="1" ht="14.1" customHeight="1">
      <c r="A13" s="32" t="s">
        <v>47</v>
      </c>
      <c r="B13" s="32"/>
      <c r="C13" s="123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123">
        <v>0</v>
      </c>
      <c r="O13" s="32">
        <v>0</v>
      </c>
      <c r="P13" s="32">
        <v>0</v>
      </c>
      <c r="Q13" s="32">
        <v>0</v>
      </c>
      <c r="R13" s="32">
        <v>0</v>
      </c>
      <c r="S13" s="32"/>
      <c r="T13" s="32">
        <v>0</v>
      </c>
      <c r="U13" s="32"/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/>
      <c r="AG13" s="123">
        <v>0</v>
      </c>
      <c r="AH13" s="32">
        <v>0</v>
      </c>
      <c r="AI13" s="32"/>
      <c r="AJ13" s="32"/>
      <c r="AK13" s="32">
        <v>0</v>
      </c>
      <c r="AL13" s="32">
        <v>0</v>
      </c>
      <c r="AM13" s="32">
        <v>0</v>
      </c>
      <c r="AN13" s="32">
        <v>0</v>
      </c>
      <c r="AO13" s="570">
        <v>0</v>
      </c>
      <c r="AP13" s="32">
        <v>0</v>
      </c>
      <c r="AQ13" s="32"/>
      <c r="AR13" s="32">
        <v>0</v>
      </c>
      <c r="AS13" s="32"/>
      <c r="AT13" s="32"/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123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406">
        <v>0</v>
      </c>
      <c r="BL13" s="406">
        <v>0</v>
      </c>
      <c r="BM13" s="406">
        <v>0</v>
      </c>
      <c r="BN13" s="406">
        <v>0</v>
      </c>
      <c r="BO13" s="406">
        <v>0</v>
      </c>
      <c r="BP13" s="406">
        <v>0</v>
      </c>
      <c r="BQ13" s="406">
        <v>0</v>
      </c>
      <c r="BR13" s="406">
        <v>0</v>
      </c>
      <c r="BS13" s="406">
        <v>0</v>
      </c>
      <c r="BT13" s="406">
        <v>0</v>
      </c>
      <c r="BU13" s="406">
        <v>0</v>
      </c>
      <c r="BV13" s="406">
        <v>0</v>
      </c>
      <c r="BW13" s="406">
        <v>0</v>
      </c>
      <c r="BX13" s="436">
        <v>0</v>
      </c>
      <c r="BY13" s="406">
        <v>0</v>
      </c>
      <c r="BZ13" s="406">
        <v>0</v>
      </c>
      <c r="CA13" s="406">
        <v>0</v>
      </c>
      <c r="CB13" s="406">
        <v>0</v>
      </c>
      <c r="CC13" s="406">
        <v>0</v>
      </c>
      <c r="CD13" s="406">
        <v>0</v>
      </c>
      <c r="CE13" s="406">
        <v>0</v>
      </c>
      <c r="CF13" s="437">
        <v>0</v>
      </c>
      <c r="CG13" s="406">
        <v>0</v>
      </c>
      <c r="CH13" s="406">
        <v>0</v>
      </c>
      <c r="CI13" s="406">
        <v>0</v>
      </c>
      <c r="CJ13" s="406">
        <v>0</v>
      </c>
      <c r="CK13" s="406">
        <v>0</v>
      </c>
      <c r="CL13" s="406">
        <v>0</v>
      </c>
      <c r="CM13" s="406">
        <v>0</v>
      </c>
      <c r="CN13" s="406"/>
      <c r="CO13" s="406">
        <v>0</v>
      </c>
      <c r="CP13" s="406">
        <v>0</v>
      </c>
      <c r="CQ13" s="437">
        <v>0</v>
      </c>
      <c r="CR13" s="406">
        <v>0</v>
      </c>
      <c r="CS13" s="406">
        <v>0</v>
      </c>
      <c r="CT13" s="436">
        <v>0</v>
      </c>
      <c r="CU13" s="406">
        <v>0</v>
      </c>
      <c r="CV13" s="406">
        <v>0</v>
      </c>
      <c r="CW13" s="406">
        <v>0</v>
      </c>
      <c r="CX13" s="406">
        <v>0</v>
      </c>
      <c r="CY13" s="406">
        <v>0</v>
      </c>
      <c r="CZ13" s="406">
        <v>0</v>
      </c>
      <c r="DA13" s="406">
        <v>0</v>
      </c>
      <c r="DB13" s="437">
        <v>0</v>
      </c>
      <c r="DC13" s="406">
        <v>0</v>
      </c>
      <c r="DD13" s="406">
        <v>0</v>
      </c>
      <c r="DE13" s="406">
        <v>0</v>
      </c>
      <c r="DF13" s="406">
        <v>0</v>
      </c>
      <c r="DG13" s="406">
        <v>0</v>
      </c>
      <c r="DH13" s="406">
        <v>0</v>
      </c>
      <c r="DI13" s="406">
        <v>0</v>
      </c>
      <c r="DJ13" s="406">
        <v>0</v>
      </c>
      <c r="DK13" s="406">
        <v>0</v>
      </c>
      <c r="DL13" s="406">
        <v>0</v>
      </c>
      <c r="DM13" s="406">
        <v>0</v>
      </c>
      <c r="DN13" s="406">
        <v>0</v>
      </c>
      <c r="DO13" s="436">
        <v>0</v>
      </c>
      <c r="DP13" s="406">
        <v>0</v>
      </c>
      <c r="DQ13" s="406">
        <v>0</v>
      </c>
      <c r="DR13" s="406">
        <v>0</v>
      </c>
      <c r="DS13" s="406">
        <v>0</v>
      </c>
      <c r="DT13" s="406">
        <v>0</v>
      </c>
      <c r="DU13" s="406">
        <v>0</v>
      </c>
      <c r="DV13" s="437">
        <v>0</v>
      </c>
      <c r="DW13" s="406">
        <v>0</v>
      </c>
      <c r="DX13" s="406">
        <v>0</v>
      </c>
      <c r="DY13" s="406">
        <v>0</v>
      </c>
      <c r="DZ13" s="406">
        <v>0</v>
      </c>
      <c r="EA13" s="406">
        <v>0</v>
      </c>
      <c r="EB13" s="406">
        <v>0</v>
      </c>
      <c r="EC13" s="406">
        <v>0</v>
      </c>
      <c r="ED13" s="406">
        <v>0</v>
      </c>
      <c r="EE13" s="406">
        <v>0</v>
      </c>
      <c r="EF13" s="406">
        <v>0</v>
      </c>
      <c r="EG13" s="406">
        <v>0</v>
      </c>
      <c r="EH13" s="406">
        <v>0</v>
      </c>
      <c r="EI13" s="406">
        <v>0</v>
      </c>
      <c r="EJ13" s="436">
        <v>0</v>
      </c>
      <c r="EK13" s="406">
        <v>0</v>
      </c>
      <c r="EL13" s="406">
        <v>0</v>
      </c>
      <c r="EM13" s="406">
        <v>0</v>
      </c>
      <c r="EN13" s="406">
        <v>0</v>
      </c>
      <c r="EO13" s="406">
        <v>0</v>
      </c>
      <c r="EP13" s="406">
        <v>0</v>
      </c>
      <c r="EQ13" s="406">
        <v>0</v>
      </c>
      <c r="ER13" s="406">
        <v>0</v>
      </c>
      <c r="ES13" s="406">
        <v>0</v>
      </c>
      <c r="ET13" s="406">
        <v>0</v>
      </c>
      <c r="EU13" s="406">
        <v>0</v>
      </c>
      <c r="EV13" s="406">
        <v>0</v>
      </c>
      <c r="EW13" s="406">
        <v>0</v>
      </c>
      <c r="EX13" s="406">
        <v>0</v>
      </c>
      <c r="EY13" s="406">
        <v>0</v>
      </c>
      <c r="EZ13" s="406">
        <v>0</v>
      </c>
      <c r="FA13" s="406">
        <v>0</v>
      </c>
      <c r="FB13" s="406">
        <v>0</v>
      </c>
      <c r="FC13" s="406">
        <v>0</v>
      </c>
      <c r="FD13" s="406">
        <v>0</v>
      </c>
      <c r="FE13" s="406">
        <v>0</v>
      </c>
      <c r="FF13" s="436">
        <v>0</v>
      </c>
      <c r="FG13" s="406">
        <v>0</v>
      </c>
      <c r="FH13" s="406">
        <v>0</v>
      </c>
      <c r="FI13" s="406">
        <v>0</v>
      </c>
      <c r="FJ13" s="406">
        <v>0</v>
      </c>
      <c r="FK13" s="406">
        <v>0</v>
      </c>
      <c r="FL13" s="406">
        <v>0</v>
      </c>
      <c r="FM13" s="406">
        <v>0</v>
      </c>
      <c r="FN13" s="406">
        <v>0</v>
      </c>
      <c r="FO13" s="406">
        <v>0</v>
      </c>
      <c r="FP13" s="406">
        <v>0</v>
      </c>
      <c r="FQ13" s="406">
        <v>0</v>
      </c>
      <c r="FR13" s="406">
        <v>0</v>
      </c>
      <c r="FS13" s="406">
        <v>0</v>
      </c>
      <c r="FT13" s="406">
        <v>0</v>
      </c>
      <c r="FU13" s="406">
        <v>0</v>
      </c>
      <c r="FV13" s="406">
        <v>0</v>
      </c>
      <c r="FW13" s="406">
        <v>0</v>
      </c>
      <c r="FX13" s="406">
        <v>0</v>
      </c>
      <c r="FY13" s="406">
        <v>0</v>
      </c>
      <c r="FZ13" s="436">
        <v>0</v>
      </c>
      <c r="GA13" s="406">
        <v>0</v>
      </c>
      <c r="GB13" s="406">
        <v>0</v>
      </c>
      <c r="GC13" s="406">
        <v>0</v>
      </c>
      <c r="GD13" s="406">
        <v>0</v>
      </c>
      <c r="GE13" s="406">
        <v>0</v>
      </c>
      <c r="GF13" s="406">
        <v>0</v>
      </c>
      <c r="GG13" s="406">
        <v>0</v>
      </c>
      <c r="GH13" s="406">
        <v>0</v>
      </c>
      <c r="GI13" s="406">
        <v>0</v>
      </c>
      <c r="GJ13" s="406">
        <v>0</v>
      </c>
      <c r="GK13" s="406">
        <v>0</v>
      </c>
      <c r="GL13" s="406">
        <v>0</v>
      </c>
      <c r="GM13" s="406">
        <v>0</v>
      </c>
      <c r="GN13" s="406">
        <v>0</v>
      </c>
      <c r="GO13" s="406">
        <v>0</v>
      </c>
      <c r="GP13" s="406">
        <v>0</v>
      </c>
      <c r="GQ13" s="406">
        <v>0</v>
      </c>
      <c r="GR13" s="406">
        <v>0</v>
      </c>
      <c r="GS13" s="406">
        <v>0</v>
      </c>
      <c r="GT13" s="406">
        <v>0</v>
      </c>
      <c r="GU13" s="436">
        <v>0</v>
      </c>
      <c r="GV13" s="406">
        <v>0</v>
      </c>
      <c r="GW13" s="406">
        <v>0</v>
      </c>
      <c r="GX13" s="406">
        <v>0</v>
      </c>
      <c r="GY13" s="406">
        <v>0</v>
      </c>
      <c r="GZ13" s="406">
        <v>0</v>
      </c>
      <c r="HA13" s="406">
        <v>0</v>
      </c>
      <c r="HB13" s="406">
        <v>0</v>
      </c>
      <c r="HC13" s="406">
        <v>0</v>
      </c>
      <c r="HD13" s="406">
        <v>0</v>
      </c>
      <c r="HE13" s="406">
        <v>0</v>
      </c>
      <c r="HF13" s="406">
        <v>0</v>
      </c>
      <c r="HG13" s="406">
        <v>0</v>
      </c>
      <c r="HH13" s="406">
        <v>0</v>
      </c>
      <c r="HI13" s="406">
        <v>0</v>
      </c>
      <c r="HJ13" s="406">
        <v>0</v>
      </c>
      <c r="HK13" s="406">
        <v>0</v>
      </c>
      <c r="HL13" s="406">
        <v>0</v>
      </c>
      <c r="HM13" s="406">
        <v>0</v>
      </c>
      <c r="HN13" s="406">
        <v>0</v>
      </c>
      <c r="HO13" s="406">
        <v>0</v>
      </c>
      <c r="HP13" s="436">
        <v>0</v>
      </c>
      <c r="HQ13" s="406">
        <v>0</v>
      </c>
      <c r="HR13" s="406">
        <v>0</v>
      </c>
      <c r="HS13" s="406">
        <v>0</v>
      </c>
      <c r="HT13" s="406">
        <v>0</v>
      </c>
      <c r="HU13" s="406">
        <v>0</v>
      </c>
      <c r="HV13" s="406">
        <v>0</v>
      </c>
      <c r="HW13" s="406">
        <v>0</v>
      </c>
      <c r="HX13" s="406">
        <v>0</v>
      </c>
      <c r="HY13" s="406">
        <v>0</v>
      </c>
      <c r="HZ13" s="406">
        <v>0</v>
      </c>
      <c r="IA13" s="406">
        <v>0</v>
      </c>
      <c r="IB13" s="406">
        <v>0</v>
      </c>
      <c r="IC13" s="406">
        <v>0</v>
      </c>
      <c r="ID13" s="406">
        <v>0</v>
      </c>
      <c r="IE13" s="406">
        <v>0</v>
      </c>
      <c r="IF13" s="406">
        <v>0</v>
      </c>
      <c r="IG13" s="406">
        <v>0</v>
      </c>
      <c r="IH13" s="406">
        <v>0</v>
      </c>
      <c r="II13" s="406">
        <v>0</v>
      </c>
      <c r="IJ13" s="406">
        <v>0</v>
      </c>
      <c r="IK13" s="406">
        <v>0</v>
      </c>
      <c r="IL13" s="436">
        <v>0</v>
      </c>
      <c r="IM13" s="406">
        <v>0</v>
      </c>
      <c r="IN13" s="406">
        <v>0</v>
      </c>
      <c r="IO13" s="406">
        <v>0</v>
      </c>
      <c r="IP13" s="406">
        <v>0</v>
      </c>
      <c r="IQ13" s="406">
        <v>0</v>
      </c>
      <c r="IR13" s="406">
        <v>0</v>
      </c>
      <c r="IS13" s="406">
        <v>0</v>
      </c>
      <c r="IT13" s="406">
        <v>0</v>
      </c>
      <c r="IU13" s="406">
        <v>0</v>
      </c>
      <c r="IV13" s="406">
        <v>0</v>
      </c>
      <c r="IW13" s="682"/>
      <c r="IX13" s="406">
        <v>0</v>
      </c>
      <c r="IY13" s="406">
        <v>0</v>
      </c>
      <c r="IZ13" s="406">
        <v>0</v>
      </c>
      <c r="JA13" s="406">
        <v>0</v>
      </c>
      <c r="JB13" s="406">
        <v>0</v>
      </c>
      <c r="JC13" s="406">
        <v>0</v>
      </c>
      <c r="JD13" s="406">
        <v>0</v>
      </c>
      <c r="JE13" s="406">
        <v>0</v>
      </c>
      <c r="JF13" s="406">
        <v>0</v>
      </c>
      <c r="JG13" s="406">
        <v>0</v>
      </c>
      <c r="JH13" s="406">
        <v>0</v>
      </c>
      <c r="JI13" s="4">
        <f t="shared" si="18"/>
        <v>0</v>
      </c>
      <c r="JJ13" s="201"/>
      <c r="JK13" s="32"/>
    </row>
    <row r="14" spans="1:271" s="428" customFormat="1" ht="14.1" customHeight="1">
      <c r="A14" s="407" t="s">
        <v>4</v>
      </c>
      <c r="B14" s="430"/>
      <c r="C14" s="427">
        <v>32324653.09</v>
      </c>
      <c r="D14" s="407">
        <v>51457980.119999997</v>
      </c>
      <c r="E14" s="407">
        <v>0</v>
      </c>
      <c r="F14" s="407">
        <f>42682361.66+17419192.44</f>
        <v>60101554.099999994</v>
      </c>
      <c r="G14" s="407">
        <v>9682098.4600000009</v>
      </c>
      <c r="H14" s="407">
        <v>0</v>
      </c>
      <c r="I14" s="407">
        <v>17310753.039999999</v>
      </c>
      <c r="J14" s="407">
        <v>1549027.14</v>
      </c>
      <c r="K14" s="407">
        <v>48241855.560000002</v>
      </c>
      <c r="L14" s="407">
        <v>10717048.57</v>
      </c>
      <c r="M14" s="407">
        <v>6738692.6600000001</v>
      </c>
      <c r="N14" s="427">
        <v>12661144.029999999</v>
      </c>
      <c r="O14" s="407">
        <v>0</v>
      </c>
      <c r="P14" s="407">
        <v>1398890.47</v>
      </c>
      <c r="Q14" s="407">
        <v>179280.6</v>
      </c>
      <c r="R14" s="407">
        <v>941119.74</v>
      </c>
      <c r="S14" s="407">
        <v>1212749.33</v>
      </c>
      <c r="T14" s="407">
        <v>1446137.97</v>
      </c>
      <c r="U14" s="407">
        <v>1343709.84</v>
      </c>
      <c r="V14" s="407">
        <v>1018448.82</v>
      </c>
      <c r="W14" s="407">
        <v>728440.3</v>
      </c>
      <c r="X14" s="407">
        <v>1702848.47</v>
      </c>
      <c r="Y14" s="407">
        <v>1556279.38</v>
      </c>
      <c r="Z14" s="407">
        <v>681895.98</v>
      </c>
      <c r="AA14" s="407">
        <v>491431.32</v>
      </c>
      <c r="AB14" s="407">
        <v>509204.41</v>
      </c>
      <c r="AC14" s="407">
        <v>749217.54</v>
      </c>
      <c r="AD14" s="407">
        <v>811273.13</v>
      </c>
      <c r="AE14" s="407">
        <v>639967.99</v>
      </c>
      <c r="AF14" s="407">
        <v>471222.14</v>
      </c>
      <c r="AG14" s="427">
        <v>435123.45</v>
      </c>
      <c r="AH14" s="407">
        <v>539571.81999999995</v>
      </c>
      <c r="AI14" s="407">
        <v>573255.98</v>
      </c>
      <c r="AJ14" s="407">
        <v>424559.5</v>
      </c>
      <c r="AK14" s="407">
        <v>674365.09</v>
      </c>
      <c r="AL14" s="407">
        <v>483227.03</v>
      </c>
      <c r="AM14" s="407">
        <v>282372.83</v>
      </c>
      <c r="AN14" s="407">
        <v>878843.42</v>
      </c>
      <c r="AO14" s="569">
        <v>656973.31999999995</v>
      </c>
      <c r="AP14" s="407">
        <v>193808.35</v>
      </c>
      <c r="AQ14" s="407">
        <v>707989.19</v>
      </c>
      <c r="AR14" s="407">
        <v>489539.98</v>
      </c>
      <c r="AS14" s="407">
        <v>807146.92</v>
      </c>
      <c r="AT14" s="407">
        <v>774931.66</v>
      </c>
      <c r="AU14" s="407">
        <v>1129811.1599999999</v>
      </c>
      <c r="AV14" s="407">
        <v>740172.48</v>
      </c>
      <c r="AW14" s="407">
        <v>546216.35</v>
      </c>
      <c r="AX14" s="407">
        <v>756524.22</v>
      </c>
      <c r="AY14" s="407">
        <v>398182.25</v>
      </c>
      <c r="AZ14" s="407">
        <v>340769.92</v>
      </c>
      <c r="BA14" s="407">
        <v>287504.96000000002</v>
      </c>
      <c r="BB14" s="407">
        <v>500254.77</v>
      </c>
      <c r="BC14" s="407">
        <v>286805.71000000002</v>
      </c>
      <c r="BD14" s="427">
        <v>205163.9</v>
      </c>
      <c r="BE14" s="407">
        <v>415025.58</v>
      </c>
      <c r="BF14" s="407">
        <v>189255.06</v>
      </c>
      <c r="BG14" s="407">
        <v>188100.83</v>
      </c>
      <c r="BH14" s="407">
        <v>0</v>
      </c>
      <c r="BI14" s="407">
        <v>0</v>
      </c>
      <c r="BJ14" s="407">
        <v>596885.81999999995</v>
      </c>
      <c r="BK14" s="407">
        <v>305649.53999999998</v>
      </c>
      <c r="BL14" s="407">
        <v>0</v>
      </c>
      <c r="BM14" s="407">
        <v>0</v>
      </c>
      <c r="BN14" s="407">
        <v>218978.79</v>
      </c>
      <c r="BO14" s="407">
        <v>363441.21</v>
      </c>
      <c r="BP14" s="407">
        <v>566227.81000000006</v>
      </c>
      <c r="BQ14" s="407">
        <v>624370.47</v>
      </c>
      <c r="BR14" s="407">
        <v>285016.38</v>
      </c>
      <c r="BS14" s="407">
        <v>304389.32</v>
      </c>
      <c r="BT14" s="407">
        <v>308758.76</v>
      </c>
      <c r="BU14" s="407">
        <v>125067.41</v>
      </c>
      <c r="BV14" s="407">
        <v>0</v>
      </c>
      <c r="BW14" s="407">
        <v>0</v>
      </c>
      <c r="BX14" s="427">
        <v>0</v>
      </c>
      <c r="BY14" s="407">
        <v>0</v>
      </c>
      <c r="BZ14" s="407">
        <v>0</v>
      </c>
      <c r="CA14" s="407">
        <v>0</v>
      </c>
      <c r="CB14" s="407">
        <v>0</v>
      </c>
      <c r="CC14" s="407">
        <v>0</v>
      </c>
      <c r="CD14" s="407">
        <v>0</v>
      </c>
      <c r="CE14" s="407">
        <v>0</v>
      </c>
      <c r="CF14" s="407">
        <v>0</v>
      </c>
      <c r="CG14" s="407">
        <v>0</v>
      </c>
      <c r="CH14" s="407">
        <v>0</v>
      </c>
      <c r="CI14" s="407">
        <v>0</v>
      </c>
      <c r="CJ14" s="407">
        <v>152845.99</v>
      </c>
      <c r="CK14" s="407">
        <v>886167.94</v>
      </c>
      <c r="CL14" s="407">
        <v>665293.46</v>
      </c>
      <c r="CM14" s="407">
        <v>499690.29</v>
      </c>
      <c r="CN14" s="407">
        <v>138733.15</v>
      </c>
      <c r="CO14" s="407">
        <v>0</v>
      </c>
      <c r="CP14" s="407">
        <v>0</v>
      </c>
      <c r="CQ14" s="407">
        <v>0</v>
      </c>
      <c r="CR14" s="407">
        <v>0</v>
      </c>
      <c r="CS14" s="407">
        <v>96819.09</v>
      </c>
      <c r="CT14" s="427">
        <v>199275.59</v>
      </c>
      <c r="CU14" s="407">
        <v>172507.42</v>
      </c>
      <c r="CV14" s="407">
        <v>161933.85999999999</v>
      </c>
      <c r="CW14" s="407">
        <v>154696.06</v>
      </c>
      <c r="CX14" s="407">
        <v>81657.98</v>
      </c>
      <c r="CY14" s="407">
        <v>150858.84</v>
      </c>
      <c r="CZ14" s="407">
        <v>200383.45</v>
      </c>
      <c r="DA14" s="407">
        <v>158259.31</v>
      </c>
      <c r="DB14" s="407">
        <v>299506.61</v>
      </c>
      <c r="DC14" s="407">
        <v>134228.63</v>
      </c>
      <c r="DD14" s="407">
        <v>243921.38</v>
      </c>
      <c r="DE14" s="407">
        <v>387622.52</v>
      </c>
      <c r="DF14" s="407">
        <v>383071.08</v>
      </c>
      <c r="DG14" s="407">
        <v>734739.96</v>
      </c>
      <c r="DH14" s="407">
        <v>677612.27</v>
      </c>
      <c r="DI14" s="407">
        <v>347317.26</v>
      </c>
      <c r="DJ14" s="407">
        <v>265354.86</v>
      </c>
      <c r="DK14" s="407">
        <v>195544.83</v>
      </c>
      <c r="DL14" s="407">
        <f>+'FY-10, FEB-10 - JAN-11'!DL14*$EJ$77</f>
        <v>274021.90200000006</v>
      </c>
      <c r="DM14" s="407">
        <f>+'FY-10, FEB-10 - JAN-11'!DM14*$EJ$77</f>
        <v>191877.804</v>
      </c>
      <c r="DN14" s="407">
        <f>+'FY-10, FEB-10 - JAN-11'!DN14*$EJ$77</f>
        <v>0</v>
      </c>
      <c r="DO14" s="427">
        <f>+'FY-10, FEB-10 - JAN-11'!DO14*$EJ$77</f>
        <v>0</v>
      </c>
      <c r="DP14" s="407">
        <f>+'FY-10, FEB-10 - JAN-11'!DP14*$EJ$77</f>
        <v>0</v>
      </c>
      <c r="DQ14" s="407">
        <f>+'FY-10, FEB-10 - JAN-11'!DQ14*$EJ$77</f>
        <v>0</v>
      </c>
      <c r="DR14" s="407">
        <f>+'FY-10, FEB-10 - JAN-11'!DR14*$EJ$77</f>
        <v>0</v>
      </c>
      <c r="DS14" s="407">
        <f>+'FY-10, FEB-10 - JAN-11'!DS14*$EJ$77</f>
        <v>0</v>
      </c>
      <c r="DT14" s="407">
        <f>+'FY-10, FEB-10 - JAN-11'!DT14*$EJ$77</f>
        <v>0</v>
      </c>
      <c r="DU14" s="407">
        <f>+'FY-10, FEB-10 - JAN-11'!DU14*$EJ$77</f>
        <v>3048.3</v>
      </c>
      <c r="DV14" s="407">
        <f>+'FY-10, FEB-10 - JAN-11'!DV14*$EJ$77</f>
        <v>0</v>
      </c>
      <c r="DW14" s="407">
        <f>+'FY-10, FEB-10 - JAN-11'!DW14*$EJ$77</f>
        <v>0</v>
      </c>
      <c r="DX14" s="407">
        <f>+'FY-10, FEB-10 - JAN-11'!DX14*$EJ$77</f>
        <v>0</v>
      </c>
      <c r="DY14" s="407">
        <f>+'FY-10, FEB-10 - JAN-11'!DY14*$EJ$77</f>
        <v>0</v>
      </c>
      <c r="DZ14" s="407">
        <f>+'FY-10, FEB-10 - JAN-11'!DZ14*$EJ$77</f>
        <v>0</v>
      </c>
      <c r="EA14" s="407">
        <f>+'FY-10, FEB-10 - JAN-11'!EA14*$EJ$77</f>
        <v>0</v>
      </c>
      <c r="EB14" s="407">
        <f>+'FY-10, FEB-10 - JAN-11'!EB14*$EJ$77</f>
        <v>0</v>
      </c>
      <c r="EC14" s="407">
        <f>+'FY-10, FEB-10 - JAN-11'!EC14*$EJ$77</f>
        <v>150958.62900000002</v>
      </c>
      <c r="ED14" s="407">
        <f>+'FY-10, FEB-10 - JAN-11'!ED14*$EJ$77</f>
        <v>224912.448</v>
      </c>
      <c r="EE14" s="407">
        <f>+'FY-10, FEB-10 - JAN-11'!EE14*$EJ$77</f>
        <v>83012.660999999993</v>
      </c>
      <c r="EF14" s="407">
        <f>+'FY-10, FEB-10 - JAN-11'!EF14*$EJ$77</f>
        <v>330067.35000000003</v>
      </c>
      <c r="EG14" s="407">
        <f>+'FY-10, FEB-10 - JAN-11'!EG14*$EJ$77</f>
        <v>285947.64</v>
      </c>
      <c r="EH14" s="407">
        <f>+'FY-10, FEB-10 - JAN-11'!EH14*$EJ$77</f>
        <v>0</v>
      </c>
      <c r="EI14" s="407">
        <f>+'FY-10, FEB-10 - JAN-11'!EI14*$EJ$77</f>
        <v>0</v>
      </c>
      <c r="EJ14" s="427">
        <f>+'FY-10, FEB-10 - JAN-11'!EJ14*$EJ$77</f>
        <v>0</v>
      </c>
      <c r="EK14" s="407">
        <f>+'FY-10, FEB-10 - JAN-11'!EK14*$EJ$77</f>
        <v>0</v>
      </c>
      <c r="EL14" s="407">
        <f>+'FY-10, FEB-10 - JAN-11'!EL14*$EJ$77</f>
        <v>0</v>
      </c>
      <c r="EM14" s="407">
        <f>+'FY-10, FEB-10 - JAN-11'!EM14*$EJ$77</f>
        <v>0</v>
      </c>
      <c r="EN14" s="407">
        <f>+'FY-10, FEB-10 - JAN-11'!EN14*$EJ$77</f>
        <v>0</v>
      </c>
      <c r="EO14" s="407">
        <f>+'FY-10, FEB-10 - JAN-11'!EO14*$EJ$77</f>
        <v>56426.697</v>
      </c>
      <c r="EP14" s="407">
        <f>+'FY-10, FEB-10 - JAN-11'!EP14*$EJ$77</f>
        <v>47611.565999999999</v>
      </c>
      <c r="EQ14" s="407">
        <f>+'FY-10, FEB-10 - JAN-11'!EQ14*$EJ$77</f>
        <v>98602.100999999995</v>
      </c>
      <c r="ER14" s="407">
        <f>+'FY-10, FEB-10 - JAN-11'!ER14*$EJ$77</f>
        <v>75729.879000000001</v>
      </c>
      <c r="ES14" s="407">
        <f>+'FY-10, FEB-10 - JAN-11'!ES14*$EJ$77</f>
        <v>63488.285999999993</v>
      </c>
      <c r="ET14" s="407">
        <f>+'FY-10, FEB-10 - JAN-11'!ET14*$EJ$77</f>
        <v>162742.83300000001</v>
      </c>
      <c r="EU14" s="407">
        <f>+'FY-10, FEB-10 - JAN-11'!EU14*$EJ$77</f>
        <v>103749.651</v>
      </c>
      <c r="EV14" s="407">
        <f>+'FY-10, FEB-10 - JAN-11'!EV14*$EJ$77</f>
        <v>51447.69</v>
      </c>
      <c r="EW14" s="407">
        <f>+'FY-10, FEB-10 - JAN-11'!EW14*$EJ$77</f>
        <v>136665.666</v>
      </c>
      <c r="EX14" s="407">
        <f>+'FY-10, FEB-10 - JAN-11'!EX14*$EJ$77</f>
        <v>190959.15599999999</v>
      </c>
      <c r="EY14" s="407">
        <f>+'FY-10, FEB-10 - JAN-11'!EY14*$EJ$77</f>
        <v>105822.342</v>
      </c>
      <c r="EZ14" s="407">
        <f>+'FY-10, FEB-10 - JAN-11'!EZ14*$EJ$77</f>
        <v>66968.217000000004</v>
      </c>
      <c r="FA14" s="407">
        <f>+'FY-10, FEB-10 - JAN-11'!FA14*$EJ$77</f>
        <v>190946.17800000001</v>
      </c>
      <c r="FB14" s="407">
        <f>+'FY-10, FEB-10 - JAN-11'!FB14*$EJ$77</f>
        <v>105195.501</v>
      </c>
      <c r="FC14" s="407">
        <f>+'FY-10, FEB-10 - JAN-11'!FC14*$EJ$77</f>
        <v>56323.691999999995</v>
      </c>
      <c r="FD14" s="407">
        <f>+'FY-10, FEB-10 - JAN-11'!FD14*$EJ$77</f>
        <v>95092.956000000006</v>
      </c>
      <c r="FE14" s="407">
        <f>+'FY-10, FEB-10 - JAN-11'!FE14*$EJ$77</f>
        <v>63524.016000000003</v>
      </c>
      <c r="FF14" s="427">
        <f>+'FY-10, FEB-10 - JAN-11'!FF14*$EJ$77</f>
        <v>69728.616000000009</v>
      </c>
      <c r="FG14" s="407">
        <f>+'FY-10, FEB-10 - JAN-11'!FG14*$EJ$77</f>
        <v>23749.956000000002</v>
      </c>
      <c r="FH14" s="407">
        <f>+'FY-10, FEB-10 - JAN-11'!FH14*$EJ$77</f>
        <v>97471.08</v>
      </c>
      <c r="FI14" s="407">
        <f>+'FY-10, FEB-10 - JAN-11'!FI14*$EJ$77</f>
        <v>43618.311000000002</v>
      </c>
      <c r="FJ14" s="407">
        <f>+'FY-10, FEB-10 - JAN-11'!FJ14*$EJ$77</f>
        <v>44993.322</v>
      </c>
      <c r="FK14" s="407">
        <f>+'FY-10, FEB-10 - JAN-11'!FK14*$EJ$77</f>
        <v>19292.004000000001</v>
      </c>
      <c r="FL14" s="407">
        <f>+'FY-10, FEB-10 - JAN-11'!FL14*$EJ$77</f>
        <v>74608.416000000012</v>
      </c>
      <c r="FM14" s="407">
        <f>+'FY-10, FEB-10 - JAN-11'!FM14*$EJ$77</f>
        <v>139516.40700000001</v>
      </c>
      <c r="FN14" s="407">
        <f>+'FY-10, FEB-10 - JAN-11'!FN14*$EJ$77</f>
        <v>38323.782000000007</v>
      </c>
      <c r="FO14" s="407">
        <f>+'FY-10, FEB-10 - JAN-11'!FO14*$EJ$77</f>
        <v>59663.943000000007</v>
      </c>
      <c r="FP14" s="407">
        <f>+'FY-10, FEB-10 - JAN-11'!FP14*$EJ$77</f>
        <v>43872.408000000003</v>
      </c>
      <c r="FQ14" s="407">
        <f>+'FY-10, FEB-10 - JAN-11'!FQ14*$EJ$77</f>
        <v>110835.44100000001</v>
      </c>
      <c r="FR14" s="407">
        <f>+'FY-10, FEB-10 - JAN-11'!FR14*$EJ$77</f>
        <v>270536.68800000002</v>
      </c>
      <c r="FS14" s="407">
        <f>+'FY-10, FEB-10 - JAN-11'!FS14*$EJ$77</f>
        <v>307643.40000000002</v>
      </c>
      <c r="FT14" s="407">
        <f>+'FY-10, FEB-10 - JAN-11'!FT14*$EJ$77</f>
        <v>0</v>
      </c>
      <c r="FU14" s="407">
        <f>+'FY-10, FEB-10 - JAN-11'!FU14*$EJ$77</f>
        <v>269861.53500000003</v>
      </c>
      <c r="FV14" s="407">
        <f>+'FY-10, FEB-10 - JAN-11'!FV14*$EJ$77</f>
        <v>327534.174</v>
      </c>
      <c r="FW14" s="407">
        <f>+'FY-10, FEB-10 - JAN-11'!FW14*$EJ$77</f>
        <v>127853.01</v>
      </c>
      <c r="FX14" s="407">
        <f>+'FY-10, FEB-10 - JAN-11'!FX14*$EJ$77</f>
        <v>0</v>
      </c>
      <c r="FY14" s="407">
        <f>+'FY-10, FEB-10 - JAN-11'!FY14*$EJ$77</f>
        <v>144445.554</v>
      </c>
      <c r="FZ14" s="427">
        <f>+'FY-10, FEB-10 - JAN-11'!FZ14*$EJ$77</f>
        <v>403425.94500000001</v>
      </c>
      <c r="GA14" s="407">
        <f>+'FY-10, FEB-10 - JAN-11'!GA14*$EJ$77</f>
        <v>799297.75800000003</v>
      </c>
      <c r="GB14" s="407">
        <f>+'FY-10, FEB-10 - JAN-11'!GB14*$EJ$77</f>
        <v>857700.17999999993</v>
      </c>
      <c r="GC14" s="407">
        <f>+'FY-10, FEB-10 - JAN-11'!GC14*$EJ$77</f>
        <v>934292.87099999993</v>
      </c>
      <c r="GD14" s="407">
        <f>+'FY-10, FEB-10 - JAN-11'!GD14*$EJ$77</f>
        <v>1173309.0119999999</v>
      </c>
      <c r="GE14" s="407">
        <f>+'FY-10, FEB-10 - JAN-11'!GE14*$EJ$77</f>
        <v>889974.36900000006</v>
      </c>
      <c r="GF14" s="407">
        <f>+'FY-10, FEB-10 - JAN-11'!GF14*$EJ$77</f>
        <v>1225956.078</v>
      </c>
      <c r="GG14" s="407">
        <f>+'FY-10, FEB-10 - JAN-11'!GG14*$EJ$77</f>
        <v>1147421.0970000001</v>
      </c>
      <c r="GH14" s="407">
        <f>+'FY-10, FEB-10 - JAN-11'!GH14*$EJ$77</f>
        <v>647113.5</v>
      </c>
      <c r="GI14" s="407">
        <f>+'FY-10, FEB-10 - JAN-11'!GI14*$EJ$77</f>
        <v>657920.68200000003</v>
      </c>
      <c r="GJ14" s="407">
        <f>+'FY-10, FEB-10 - JAN-11'!GJ14*$EJ$77</f>
        <v>978885.69300000009</v>
      </c>
      <c r="GK14" s="407">
        <f>+'FY-10, FEB-10 - JAN-11'!GK14*$EJ$77</f>
        <v>684149.26500000001</v>
      </c>
      <c r="GL14" s="407">
        <f>+'FY-10, FEB-10 - JAN-11'!GL14*$EJ$77</f>
        <v>1375928.0009999999</v>
      </c>
      <c r="GM14" s="407">
        <f>+'FY-10, FEB-10 - JAN-11'!GM14*$EJ$77</f>
        <v>866538.64800000004</v>
      </c>
      <c r="GN14" s="407">
        <f>+'FY-10, FEB-10 - JAN-11'!GN14*$EJ$77</f>
        <v>855914.11200000008</v>
      </c>
      <c r="GO14" s="407">
        <f>+'FY-10, FEB-10 - JAN-11'!GO14*$EJ$77</f>
        <v>441384.96600000001</v>
      </c>
      <c r="GP14" s="407">
        <f>+'FY-10, FEB-10 - JAN-11'!GP14*$EJ$77</f>
        <v>1004362.398</v>
      </c>
      <c r="GQ14" s="407">
        <f>+'FY-10, FEB-10 - JAN-11'!GQ14*$EJ$77</f>
        <v>1381954.7610000002</v>
      </c>
      <c r="GR14" s="407">
        <f>+'FY-10, FEB-10 - JAN-11'!GR14*$EJ$77</f>
        <v>1185357.51</v>
      </c>
      <c r="GS14" s="407">
        <f>+'FY-10, FEB-10 - JAN-11'!GS14*$EJ$77</f>
        <v>753637.77</v>
      </c>
      <c r="GT14" s="407">
        <f>+'FY-10, FEB-10 - JAN-11'!GT14*$EJ$77</f>
        <v>1145991.3930000002</v>
      </c>
      <c r="GU14" s="427">
        <f>+'FY-10, FEB-10 - JAN-11'!GU14*$EJ$77</f>
        <v>2125026.2339999997</v>
      </c>
      <c r="GV14" s="407">
        <f>+'FY-10, FEB-10 - JAN-11'!GV14*$EJ$77</f>
        <v>245163.09600000002</v>
      </c>
      <c r="GW14" s="407">
        <f>+'FY-10, FEB-10 - JAN-11'!GW14*$EJ$77</f>
        <v>1011675.0060000001</v>
      </c>
      <c r="GX14" s="407">
        <f>+'FY-10, FEB-10 - JAN-11'!GX14*$EJ$77</f>
        <v>1591742.0520000001</v>
      </c>
      <c r="GY14" s="407">
        <f>+'FY-10, FEB-10 - JAN-11'!GY14*$EJ$77</f>
        <v>1488808.638</v>
      </c>
      <c r="GZ14" s="407">
        <f>+'FY-10, FEB-10 - JAN-11'!GZ14*$EJ$77</f>
        <v>730170.23400000005</v>
      </c>
      <c r="HA14" s="407">
        <f>+'FY-10, FEB-10 - JAN-11'!HA14*$EJ$77</f>
        <v>781372.47600000002</v>
      </c>
      <c r="HB14" s="407">
        <f>+'FY-10, FEB-10 - JAN-11'!HB14*$EJ$77</f>
        <v>930911.45400000003</v>
      </c>
      <c r="HC14" s="407">
        <f>+'FY-10, FEB-10 - JAN-11'!HC14*$EJ$77</f>
        <v>1180725.6330000001</v>
      </c>
      <c r="HD14" s="407">
        <f>+'FY-10, FEB-10 - JAN-11'!HD14*$EJ$77</f>
        <v>0</v>
      </c>
      <c r="HE14" s="407">
        <f>+'FY-10, FEB-10 - JAN-11'!HE14*$EJ$77</f>
        <v>1375481.0970000001</v>
      </c>
      <c r="HF14" s="407">
        <f>+'FY-10, FEB-10 - JAN-11'!HF14*$EJ$77</f>
        <v>1058477.2560000001</v>
      </c>
      <c r="HG14" s="407">
        <f>+'FY-10, FEB-10 - JAN-11'!HG14*$EJ$77</f>
        <v>1693014.1830000002</v>
      </c>
      <c r="HH14" s="407">
        <f>+'FY-10, FEB-10 - JAN-11'!HH14*$EJ$77</f>
        <v>1710210.132</v>
      </c>
      <c r="HI14" s="407">
        <f>+'FY-10, FEB-10 - JAN-11'!HI14*$EJ$77</f>
        <v>1658102.166</v>
      </c>
      <c r="HJ14" s="407">
        <f>+'FY-10, FEB-10 - JAN-11'!HJ14*$EJ$77</f>
        <v>1950421.149</v>
      </c>
      <c r="HK14" s="407">
        <f>+'FY-10, FEB-10 - JAN-11'!HK14*$EJ$77</f>
        <v>1787889.987</v>
      </c>
      <c r="HL14" s="407">
        <f>+'FY-10, FEB-10 - JAN-11'!HL14*$EJ$77</f>
        <v>2268657.0809999998</v>
      </c>
      <c r="HM14" s="407">
        <f>+'FY-10, FEB-10 - JAN-11'!HM14*$EJ$77</f>
        <v>3549768.8130000001</v>
      </c>
      <c r="HN14" s="407">
        <f>+'FY-10, FEB-10 - JAN-11'!HN14*$EJ$77</f>
        <v>2744574.2370000002</v>
      </c>
      <c r="HO14" s="407">
        <f>+'FY-10, FEB-10 - JAN-11'!HO14*$EJ$77</f>
        <v>2582544.6809999999</v>
      </c>
      <c r="HP14" s="427">
        <f>+'FY-10, FEB-10 - JAN-11'!HP14*$EJ$77</f>
        <v>19319021.595000003</v>
      </c>
      <c r="HQ14" s="407">
        <f>+'FY-10, FEB-10 - JAN-11'!HQ14*$EJ$77</f>
        <v>5591561.3640000001</v>
      </c>
      <c r="HR14" s="407">
        <f>+'FY-10, FEB-10 - JAN-11'!HR14*$EJ$77</f>
        <v>3898725.0570000005</v>
      </c>
      <c r="HS14" s="407">
        <f>+'FY-10, FEB-10 - JAN-11'!HS14*$EJ$77</f>
        <v>4589323.1009999998</v>
      </c>
      <c r="HT14" s="407">
        <f>+'FY-10, FEB-10 - JAN-11'!HT14*$EJ$77</f>
        <v>5016586.5810000002</v>
      </c>
      <c r="HU14" s="407">
        <f>+'FY-10, FEB-10 - JAN-11'!HU14*$EJ$77</f>
        <v>5400276.8760000002</v>
      </c>
      <c r="HV14" s="407">
        <f>+'FY-10, FEB-10 - JAN-11'!HV14*$EJ$77</f>
        <v>7937718.6780000003</v>
      </c>
      <c r="HW14" s="407">
        <f>+'FY-10, FEB-10 - JAN-11'!HW14*$EJ$77</f>
        <v>5645740.2570000002</v>
      </c>
      <c r="HX14" s="407">
        <f>+'FY-10, FEB-10 - JAN-11'!HX14*$EJ$77</f>
        <v>0</v>
      </c>
      <c r="HY14" s="407">
        <f>+'FY-10, FEB-10 - JAN-11'!HY14*$EJ$77</f>
        <v>0</v>
      </c>
      <c r="HZ14" s="407">
        <f>+'FY-10, FEB-10 - JAN-11'!HZ14*$EJ$77</f>
        <v>4899577.0320000006</v>
      </c>
      <c r="IA14" s="407">
        <f>+'FY-10, FEB-10 - JAN-11'!IA14*$EJ$77</f>
        <v>48105383.967</v>
      </c>
      <c r="IB14" s="407">
        <f>+'FY-10, FEB-10 - JAN-11'!IB14*$EJ$77</f>
        <v>11200096.170000002</v>
      </c>
      <c r="IC14" s="407">
        <f>+'FY-10, FEB-10 - JAN-11'!IC14*$EJ$77</f>
        <v>47947700.655000001</v>
      </c>
      <c r="ID14" s="407">
        <f>+'FY-10, FEB-10 - JAN-11'!ID14*$EJ$77</f>
        <v>0</v>
      </c>
      <c r="IE14" s="407">
        <f>+'FY-10, FEB-10 - JAN-11'!IE14*$EJ$77</f>
        <v>11421683.793</v>
      </c>
      <c r="IF14" s="407">
        <f>+'FY-10, FEB-10 - JAN-11'!IF14*$EJ$77</f>
        <v>13866027.615</v>
      </c>
      <c r="IG14" s="407">
        <f>+'FY-10, FEB-10 - JAN-11'!IG14*$EJ$77</f>
        <v>10220416.947000001</v>
      </c>
      <c r="IH14" s="407">
        <f>+'FY-10, FEB-10 - JAN-11'!IH14*$EJ$77</f>
        <v>4359574.3590000002</v>
      </c>
      <c r="II14" s="407">
        <f>+'FY-10, FEB-10 - JAN-11'!II14*$EJ$77</f>
        <v>11359535.841</v>
      </c>
      <c r="IJ14" s="407">
        <f>+'FY-10, FEB-10 - JAN-11'!IJ14*$EJ$77</f>
        <v>8240543.1000000006</v>
      </c>
      <c r="IK14" s="407">
        <f>+'FY-10, FEB-10 - JAN-11'!IK14*$EJ$77</f>
        <v>6019201.2869999995</v>
      </c>
      <c r="IL14" s="427">
        <f>+'FY-10, FEB-10 - JAN-11'!IL14*$EJ$77</f>
        <v>5625072.7289999994</v>
      </c>
      <c r="IM14" s="407">
        <f>+'FY-10, FEB-10 - JAN-11'!IM14*$EJ$77</f>
        <v>8915239.2870000005</v>
      </c>
      <c r="IN14" s="407">
        <f>+'FY-10, FEB-10 - JAN-11'!IN14*$EJ$77</f>
        <v>7164222.3539999994</v>
      </c>
      <c r="IO14" s="407">
        <f>+'FY-10, FEB-10 - JAN-11'!IO14*$EJ$77</f>
        <v>8072973.4140000008</v>
      </c>
      <c r="IP14" s="407">
        <f>+'FY-10, FEB-10 - JAN-11'!IP14*$EJ$77</f>
        <v>10824682.635</v>
      </c>
      <c r="IQ14" s="407">
        <f>+'FY-10, FEB-10 - JAN-11'!IQ14*$EJ$77</f>
        <v>16674312.537</v>
      </c>
      <c r="IR14" s="407">
        <f>+'FY-10, FEB-10 - JAN-11'!IR14*$EJ$77</f>
        <v>17277635.790000003</v>
      </c>
      <c r="IS14" s="407">
        <f>+'FY-10, FEB-10 - JAN-11'!IS14*$EJ$77</f>
        <v>15225234.039000001</v>
      </c>
      <c r="IT14" s="407">
        <f>+'FY-10, FEB-10 - JAN-11'!IT14*$EJ$77</f>
        <v>16359146.711999999</v>
      </c>
      <c r="IU14" s="407">
        <f>+'FY-10, FEB-10 - JAN-11'!IU14*$EJ$77</f>
        <v>25893721.332000002</v>
      </c>
      <c r="IV14" s="407">
        <f>+'FY-10, FEB-10 - JAN-11'!IV14*$EJ$77</f>
        <v>29092187.780999999</v>
      </c>
      <c r="IW14" s="682"/>
      <c r="IX14" s="407">
        <f>+D14*$EJ$77</f>
        <v>46312182.107999995</v>
      </c>
      <c r="IY14" s="407">
        <f t="shared" ref="IY14:JH15" si="21">+E14*$EJ$77</f>
        <v>0</v>
      </c>
      <c r="IZ14" s="407">
        <f t="shared" si="21"/>
        <v>54091398.689999998</v>
      </c>
      <c r="JA14" s="407">
        <f t="shared" si="21"/>
        <v>8713888.6140000019</v>
      </c>
      <c r="JB14" s="407">
        <f t="shared" si="21"/>
        <v>0</v>
      </c>
      <c r="JC14" s="407">
        <f t="shared" si="21"/>
        <v>15579677.736</v>
      </c>
      <c r="JD14" s="407">
        <f t="shared" si="21"/>
        <v>1394124.426</v>
      </c>
      <c r="JE14" s="407">
        <f t="shared" si="21"/>
        <v>43417670.004000001</v>
      </c>
      <c r="JF14" s="407">
        <f t="shared" si="21"/>
        <v>9645343.7130000014</v>
      </c>
      <c r="JG14" s="407">
        <f t="shared" si="21"/>
        <v>6064823.3940000003</v>
      </c>
      <c r="JH14" s="407">
        <f t="shared" si="21"/>
        <v>11395029.627</v>
      </c>
      <c r="JI14" s="4">
        <f t="shared" si="18"/>
        <v>909415798.19900012</v>
      </c>
      <c r="JJ14" s="429">
        <f>'FY-09, FEB-09 - JAN-10, w TANs'!IT14</f>
        <v>0</v>
      </c>
      <c r="JK14" s="407">
        <f>'FY-09, FEB-09 - JAN-10, w TANs'!IU14</f>
        <v>919249646.79999948</v>
      </c>
    </row>
    <row r="15" spans="1:271" s="428" customFormat="1" ht="14.1" customHeight="1" thickBot="1">
      <c r="A15" s="407" t="s">
        <v>53</v>
      </c>
      <c r="B15" s="430"/>
      <c r="C15" s="427">
        <v>140.96</v>
      </c>
      <c r="D15" s="407"/>
      <c r="E15" s="407"/>
      <c r="F15" s="407">
        <v>235.13</v>
      </c>
      <c r="G15" s="407">
        <v>5990.77</v>
      </c>
      <c r="H15" s="407">
        <v>0</v>
      </c>
      <c r="I15" s="407">
        <v>0</v>
      </c>
      <c r="J15" s="407">
        <v>305.62</v>
      </c>
      <c r="K15" s="407">
        <v>1413.27</v>
      </c>
      <c r="L15" s="407"/>
      <c r="M15" s="407">
        <v>139.88999999999999</v>
      </c>
      <c r="N15" s="427">
        <v>8501.5400000000009</v>
      </c>
      <c r="O15" s="407">
        <v>4798.3100000000004</v>
      </c>
      <c r="P15" s="407">
        <v>0</v>
      </c>
      <c r="Q15" s="407">
        <v>0</v>
      </c>
      <c r="R15" s="407"/>
      <c r="S15" s="407"/>
      <c r="T15" s="431">
        <v>0</v>
      </c>
      <c r="U15" s="407">
        <v>0</v>
      </c>
      <c r="V15" s="407">
        <v>0</v>
      </c>
      <c r="W15" s="407">
        <v>0</v>
      </c>
      <c r="X15" s="407">
        <v>0</v>
      </c>
      <c r="Y15" s="407">
        <v>0</v>
      </c>
      <c r="Z15" s="407">
        <v>0</v>
      </c>
      <c r="AA15" s="407">
        <v>0</v>
      </c>
      <c r="AB15" s="407">
        <v>0</v>
      </c>
      <c r="AC15" s="407">
        <v>0</v>
      </c>
      <c r="AD15" s="407">
        <v>0</v>
      </c>
      <c r="AE15" s="407">
        <v>0</v>
      </c>
      <c r="AF15" s="407">
        <v>0</v>
      </c>
      <c r="AG15" s="427">
        <v>0</v>
      </c>
      <c r="AH15" s="407">
        <v>0</v>
      </c>
      <c r="AI15" s="407">
        <v>37.56</v>
      </c>
      <c r="AJ15" s="407">
        <v>49.7</v>
      </c>
      <c r="AK15" s="407">
        <v>179.68</v>
      </c>
      <c r="AL15" s="407">
        <v>0</v>
      </c>
      <c r="AM15" s="407">
        <v>624.6</v>
      </c>
      <c r="AN15" s="407">
        <v>1320.7</v>
      </c>
      <c r="AO15" s="569">
        <v>0</v>
      </c>
      <c r="AP15" s="407">
        <v>0</v>
      </c>
      <c r="AQ15" s="407">
        <v>233.99</v>
      </c>
      <c r="AR15" s="407">
        <v>0</v>
      </c>
      <c r="AS15" s="407">
        <v>486.47</v>
      </c>
      <c r="AT15" s="407">
        <v>32.92</v>
      </c>
      <c r="AU15" s="407">
        <v>0</v>
      </c>
      <c r="AV15" s="407">
        <v>610.72</v>
      </c>
      <c r="AW15" s="407">
        <v>308.24</v>
      </c>
      <c r="AX15" s="407">
        <v>261.94</v>
      </c>
      <c r="AY15" s="407">
        <v>142.08000000000001</v>
      </c>
      <c r="AZ15" s="407">
        <v>47.17</v>
      </c>
      <c r="BA15" s="407">
        <v>0</v>
      </c>
      <c r="BB15" s="407">
        <v>0</v>
      </c>
      <c r="BC15" s="407">
        <v>110.07</v>
      </c>
      <c r="BD15" s="427">
        <v>0</v>
      </c>
      <c r="BE15" s="407">
        <v>397.96</v>
      </c>
      <c r="BF15" s="407">
        <v>41.49</v>
      </c>
      <c r="BG15" s="407">
        <v>291.56</v>
      </c>
      <c r="BH15" s="407">
        <v>40.46</v>
      </c>
      <c r="BI15" s="407">
        <v>3080.89</v>
      </c>
      <c r="BJ15" s="407">
        <v>0</v>
      </c>
      <c r="BK15" s="407">
        <v>413.13</v>
      </c>
      <c r="BL15" s="407">
        <v>0</v>
      </c>
      <c r="BM15" s="407">
        <v>1399.48</v>
      </c>
      <c r="BN15" s="407">
        <v>0</v>
      </c>
      <c r="BO15" s="407">
        <v>840.29</v>
      </c>
      <c r="BP15" s="407">
        <v>0</v>
      </c>
      <c r="BQ15" s="407">
        <v>154.63</v>
      </c>
      <c r="BR15" s="407">
        <v>128</v>
      </c>
      <c r="BS15" s="407">
        <v>0</v>
      </c>
      <c r="BT15" s="407">
        <v>1545.95</v>
      </c>
      <c r="BU15" s="407">
        <v>0</v>
      </c>
      <c r="BV15" s="407">
        <v>650.67999999999995</v>
      </c>
      <c r="BW15" s="407">
        <v>47.16</v>
      </c>
      <c r="BX15" s="427">
        <v>0</v>
      </c>
      <c r="BY15" s="407">
        <v>84.02</v>
      </c>
      <c r="BZ15" s="407">
        <v>46.75</v>
      </c>
      <c r="CA15" s="407">
        <v>0</v>
      </c>
      <c r="CB15" s="407">
        <v>336.67</v>
      </c>
      <c r="CC15" s="407">
        <v>593.67999999999995</v>
      </c>
      <c r="CD15" s="407">
        <v>0</v>
      </c>
      <c r="CE15" s="407">
        <v>0</v>
      </c>
      <c r="CF15" s="407">
        <v>214.07</v>
      </c>
      <c r="CG15" s="407">
        <v>0</v>
      </c>
      <c r="CH15" s="407">
        <v>1552.1</v>
      </c>
      <c r="CI15" s="407">
        <v>0</v>
      </c>
      <c r="CJ15" s="407">
        <v>0</v>
      </c>
      <c r="CK15" s="407">
        <v>0</v>
      </c>
      <c r="CL15" s="407">
        <v>0</v>
      </c>
      <c r="CM15" s="407">
        <v>108.28</v>
      </c>
      <c r="CN15" s="407">
        <v>304.01</v>
      </c>
      <c r="CO15" s="407">
        <v>562.35</v>
      </c>
      <c r="CP15" s="407">
        <v>33.03</v>
      </c>
      <c r="CQ15" s="407">
        <v>0</v>
      </c>
      <c r="CR15" s="407">
        <v>89.7</v>
      </c>
      <c r="CS15" s="407">
        <v>883.36</v>
      </c>
      <c r="CT15" s="427">
        <v>55963.51</v>
      </c>
      <c r="CU15" s="407">
        <v>0</v>
      </c>
      <c r="CV15" s="407"/>
      <c r="CW15" s="407">
        <v>975.36</v>
      </c>
      <c r="CX15" s="407">
        <v>0</v>
      </c>
      <c r="CY15" s="407">
        <v>0</v>
      </c>
      <c r="CZ15" s="407">
        <v>0</v>
      </c>
      <c r="DA15" s="407">
        <v>0</v>
      </c>
      <c r="DB15" s="407">
        <v>0</v>
      </c>
      <c r="DC15" s="407">
        <v>111.45</v>
      </c>
      <c r="DD15" s="407">
        <v>312.92</v>
      </c>
      <c r="DE15" s="407">
        <v>0</v>
      </c>
      <c r="DF15" s="407">
        <v>32.909999999999997</v>
      </c>
      <c r="DG15" s="407">
        <v>1237.5899999999999</v>
      </c>
      <c r="DH15" s="407">
        <v>83.64</v>
      </c>
      <c r="DI15" s="407">
        <v>0</v>
      </c>
      <c r="DJ15" s="407">
        <v>125.96</v>
      </c>
      <c r="DK15" s="407">
        <v>89.7</v>
      </c>
      <c r="DL15" s="407">
        <f>+'FY-10, FEB-10 - JAN-11'!DL15*$EJ$77</f>
        <v>97.209000000000003</v>
      </c>
      <c r="DM15" s="407">
        <f>+'FY-10, FEB-10 - JAN-11'!DM15*$EJ$77</f>
        <v>3133.683</v>
      </c>
      <c r="DN15" s="407">
        <f>+'FY-10, FEB-10 - JAN-11'!DN15*$EJ$77</f>
        <v>0</v>
      </c>
      <c r="DO15" s="427">
        <f>+'FY-10, FEB-10 - JAN-11'!DO15*$EJ$77</f>
        <v>144.88200000000001</v>
      </c>
      <c r="DP15" s="407">
        <f>+'FY-10, FEB-10 - JAN-11'!DP15*$EJ$77</f>
        <v>0</v>
      </c>
      <c r="DQ15" s="407">
        <f>+'FY-10, FEB-10 - JAN-11'!DQ15*$EJ$77</f>
        <v>0</v>
      </c>
      <c r="DR15" s="407">
        <f>+'FY-10, FEB-10 - JAN-11'!DR15*$EJ$77</f>
        <v>0</v>
      </c>
      <c r="DS15" s="407">
        <f>+'FY-10, FEB-10 - JAN-11'!DS15*$EJ$77</f>
        <v>184.203</v>
      </c>
      <c r="DT15" s="407">
        <f>+'FY-10, FEB-10 - JAN-11'!DT15*$EJ$77</f>
        <v>984.21299999999997</v>
      </c>
      <c r="DU15" s="407">
        <f>+'FY-10, FEB-10 - JAN-11'!DU15*$EJ$77</f>
        <v>2350.8000000000002</v>
      </c>
      <c r="DV15" s="407">
        <f>+'FY-10, FEB-10 - JAN-11'!DV15*$EJ$77</f>
        <v>0</v>
      </c>
      <c r="DW15" s="407">
        <f>+'FY-10, FEB-10 - JAN-11'!DW15*$EJ$77</f>
        <v>0</v>
      </c>
      <c r="DX15" s="407">
        <f>+'FY-10, FEB-10 - JAN-11'!DX15*$EJ$77</f>
        <v>0</v>
      </c>
      <c r="DY15" s="407">
        <f>+'FY-10, FEB-10 - JAN-11'!DY15*$EJ$77</f>
        <v>0</v>
      </c>
      <c r="DZ15" s="407">
        <f>+'FY-10, FEB-10 - JAN-11'!DZ15*$EJ$77</f>
        <v>0</v>
      </c>
      <c r="EA15" s="407">
        <f>+'FY-10, FEB-10 - JAN-11'!EA15*$EJ$77</f>
        <v>0</v>
      </c>
      <c r="EB15" s="407">
        <f>+'FY-10, FEB-10 - JAN-11'!EB15*$EJ$77</f>
        <v>761.18399999999997</v>
      </c>
      <c r="EC15" s="407">
        <f>+'FY-10, FEB-10 - JAN-11'!EC15*$EJ$77</f>
        <v>0</v>
      </c>
      <c r="ED15" s="407">
        <f>+'FY-10, FEB-10 - JAN-11'!ED15*$EJ$77</f>
        <v>1250.6220000000001</v>
      </c>
      <c r="EE15" s="407">
        <f>+'FY-10, FEB-10 - JAN-11'!EE15*$EJ$77</f>
        <v>86.337000000000003</v>
      </c>
      <c r="EF15" s="407">
        <f>+'FY-10, FEB-10 - JAN-11'!EF15*$EJ$77</f>
        <v>197.16300000000001</v>
      </c>
      <c r="EG15" s="407">
        <f>+'FY-10, FEB-10 - JAN-11'!EG15*$EJ$77</f>
        <v>438.92099999999999</v>
      </c>
      <c r="EH15" s="407">
        <f>+'FY-10, FEB-10 - JAN-11'!EH15*$EJ$77</f>
        <v>0</v>
      </c>
      <c r="EI15" s="407">
        <f>+'FY-10, FEB-10 - JAN-11'!EI15*$EJ$77</f>
        <v>889.91099999999994</v>
      </c>
      <c r="EJ15" s="427">
        <f>+'FY-10, FEB-10 - JAN-11'!EJ15*$EJ$77</f>
        <v>1152.0989999999999</v>
      </c>
      <c r="EK15" s="407">
        <f>+'FY-10, FEB-10 - JAN-11'!EK15*$EJ$77</f>
        <v>0</v>
      </c>
      <c r="EL15" s="407">
        <f>+'FY-10, FEB-10 - JAN-11'!EL15*$EJ$77</f>
        <v>804.40200000000004</v>
      </c>
      <c r="EM15" s="407">
        <f>+'FY-10, FEB-10 - JAN-11'!EM15*$EJ$77</f>
        <v>0</v>
      </c>
      <c r="EN15" s="407">
        <f>+'FY-10, FEB-10 - JAN-11'!EN15*$EJ$77</f>
        <v>0</v>
      </c>
      <c r="EO15" s="407">
        <f>+'FY-10, FEB-10 - JAN-11'!EO15*$EJ$77</f>
        <v>183.321</v>
      </c>
      <c r="EP15" s="407">
        <f>+'FY-10, FEB-10 - JAN-11'!EP15*$EJ$77</f>
        <v>0</v>
      </c>
      <c r="EQ15" s="407">
        <f>+'FY-10, FEB-10 - JAN-11'!EQ15*$EJ$77</f>
        <v>0</v>
      </c>
      <c r="ER15" s="407">
        <f>+'FY-10, FEB-10 - JAN-11'!ER15*$EJ$77</f>
        <v>0</v>
      </c>
      <c r="ES15" s="407">
        <f>+'FY-10, FEB-10 - JAN-11'!ES15*$EJ$77</f>
        <v>0</v>
      </c>
      <c r="ET15" s="407">
        <f>+'FY-10, FEB-10 - JAN-11'!ET15*$EJ$77</f>
        <v>1860.6420000000001</v>
      </c>
      <c r="EU15" s="407">
        <f>+'FY-10, FEB-10 - JAN-11'!EU15*$EJ$77</f>
        <v>0</v>
      </c>
      <c r="EV15" s="407">
        <f>+'FY-10, FEB-10 - JAN-11'!EV15*$EJ$77</f>
        <v>445.51799999999997</v>
      </c>
      <c r="EW15" s="407">
        <f>+'FY-10, FEB-10 - JAN-11'!EW15*$EJ$77</f>
        <v>0</v>
      </c>
      <c r="EX15" s="407">
        <f>+'FY-10, FEB-10 - JAN-11'!EX15*$EJ$77</f>
        <v>63.657000000000004</v>
      </c>
      <c r="EY15" s="407">
        <f>+'FY-10, FEB-10 - JAN-11'!EY15*$EJ$77</f>
        <v>53.217000000000006</v>
      </c>
      <c r="EZ15" s="407">
        <f>+'FY-10, FEB-10 - JAN-11'!EZ15*$EJ$77</f>
        <v>354.762</v>
      </c>
      <c r="FA15" s="407">
        <f>+'FY-10, FEB-10 - JAN-11'!FA15*$EJ$77</f>
        <v>936.18000000000006</v>
      </c>
      <c r="FB15" s="407">
        <f>+'FY-10, FEB-10 - JAN-11'!FB15*$EJ$77</f>
        <v>273.16800000000001</v>
      </c>
      <c r="FC15" s="407">
        <f>+'FY-10, FEB-10 - JAN-11'!FC15*$EJ$77</f>
        <v>321.94800000000004</v>
      </c>
      <c r="FD15" s="407">
        <f>+'FY-10, FEB-10 - JAN-11'!FD15*$EJ$77</f>
        <v>839.96100000000001</v>
      </c>
      <c r="FE15" s="407">
        <f>+'FY-10, FEB-10 - JAN-11'!FE15*$EJ$77</f>
        <v>117.22500000000001</v>
      </c>
      <c r="FF15" s="427">
        <f>+'FY-10, FEB-10 - JAN-11'!FF15*$EJ$77</f>
        <v>141.56100000000001</v>
      </c>
      <c r="FG15" s="407">
        <f>+'FY-10, FEB-10 - JAN-11'!FG15*$EJ$77</f>
        <v>95.283000000000001</v>
      </c>
      <c r="FH15" s="407">
        <f>+'FY-10, FEB-10 - JAN-11'!FH15*$EJ$77</f>
        <v>332.04599999999999</v>
      </c>
      <c r="FI15" s="407">
        <f>+'FY-10, FEB-10 - JAN-11'!FI15*$EJ$77</f>
        <v>0</v>
      </c>
      <c r="FJ15" s="407">
        <f>+'FY-10, FEB-10 - JAN-11'!FJ15*$EJ$77</f>
        <v>200.44800000000001</v>
      </c>
      <c r="FK15" s="407">
        <f>+'FY-10, FEB-10 - JAN-11'!FK15*$EJ$77</f>
        <v>0</v>
      </c>
      <c r="FL15" s="407">
        <f>+'FY-10, FEB-10 - JAN-11'!FL15*$EJ$77</f>
        <v>0</v>
      </c>
      <c r="FM15" s="407">
        <f>+'FY-10, FEB-10 - JAN-11'!FM15*$EJ$77</f>
        <v>59.012999999999998</v>
      </c>
      <c r="FN15" s="407">
        <f>+'FY-10, FEB-10 - JAN-11'!FN15*$EJ$77</f>
        <v>130.70699999999999</v>
      </c>
      <c r="FO15" s="407">
        <f>+'FY-10, FEB-10 - JAN-11'!FO15*$EJ$77</f>
        <v>0</v>
      </c>
      <c r="FP15" s="407">
        <f>+'FY-10, FEB-10 - JAN-11'!FP15*$EJ$77</f>
        <v>272.44800000000004</v>
      </c>
      <c r="FQ15" s="407">
        <f>+'FY-10, FEB-10 - JAN-11'!FQ15*$EJ$77</f>
        <v>189.63</v>
      </c>
      <c r="FR15" s="407">
        <f>+'FY-10, FEB-10 - JAN-11'!FR15*$EJ$77</f>
        <v>405.738</v>
      </c>
      <c r="FS15" s="407">
        <f>+'FY-10, FEB-10 - JAN-11'!FS15*$EJ$77</f>
        <v>0</v>
      </c>
      <c r="FT15" s="407">
        <f>+'FY-10, FEB-10 - JAN-11'!FT15*$EJ$77</f>
        <v>0</v>
      </c>
      <c r="FU15" s="407">
        <f>+'FY-10, FEB-10 - JAN-11'!FU15*$EJ$77</f>
        <v>637.79399999999998</v>
      </c>
      <c r="FV15" s="407">
        <f>+'FY-10, FEB-10 - JAN-11'!FV15*$EJ$77</f>
        <v>486.88200000000001</v>
      </c>
      <c r="FW15" s="407">
        <f>+'FY-10, FEB-10 - JAN-11'!FW15*$EJ$77</f>
        <v>115.08300000000001</v>
      </c>
      <c r="FX15" s="407">
        <f>+'FY-10, FEB-10 - JAN-11'!FX15*$EJ$77</f>
        <v>545.75099999999998</v>
      </c>
      <c r="FY15" s="407">
        <f>+'FY-10, FEB-10 - JAN-11'!FY15*$EJ$77</f>
        <v>193.66200000000001</v>
      </c>
      <c r="FZ15" s="427">
        <f>+'FY-10, FEB-10 - JAN-11'!FZ15*$EJ$77</f>
        <v>26.73</v>
      </c>
      <c r="GA15" s="407">
        <f>+'FY-10, FEB-10 - JAN-11'!GA15*$EJ$77</f>
        <v>80.775000000000006</v>
      </c>
      <c r="GB15" s="407">
        <f>+'FY-10, FEB-10 - JAN-11'!GB15*$EJ$77</f>
        <v>339.678</v>
      </c>
      <c r="GC15" s="407">
        <f>+'FY-10, FEB-10 - JAN-11'!GC15*$EJ$77</f>
        <v>0</v>
      </c>
      <c r="GD15" s="407">
        <f>+'FY-10, FEB-10 - JAN-11'!GD15*$EJ$77</f>
        <v>287.62200000000001</v>
      </c>
      <c r="GE15" s="407">
        <f>+'FY-10, FEB-10 - JAN-11'!GE15*$EJ$77</f>
        <v>0</v>
      </c>
      <c r="GF15" s="407">
        <f>+'FY-10, FEB-10 - JAN-11'!GF15*$EJ$77</f>
        <v>0</v>
      </c>
      <c r="GG15" s="407">
        <f>+'FY-10, FEB-10 - JAN-11'!GG15*$EJ$77</f>
        <v>1026.6210000000001</v>
      </c>
      <c r="GH15" s="407">
        <f>+'FY-10, FEB-10 - JAN-11'!GH15*$EJ$77</f>
        <v>233.10900000000001</v>
      </c>
      <c r="GI15" s="407">
        <f>+'FY-10, FEB-10 - JAN-11'!GI15*$EJ$77</f>
        <v>80.658000000000001</v>
      </c>
      <c r="GJ15" s="407">
        <f>+'FY-10, FEB-10 - JAN-11'!GJ15*$EJ$77</f>
        <v>499.65299999999996</v>
      </c>
      <c r="GK15" s="407">
        <f>+'FY-10, FEB-10 - JAN-11'!GK15*$EJ$77</f>
        <v>0</v>
      </c>
      <c r="GL15" s="407">
        <f>+'FY-10, FEB-10 - JAN-11'!GL15*$EJ$77</f>
        <v>0</v>
      </c>
      <c r="GM15" s="407">
        <f>+'FY-10, FEB-10 - JAN-11'!GM15*$EJ$77</f>
        <v>190.09800000000001</v>
      </c>
      <c r="GN15" s="407">
        <f>+'FY-10, FEB-10 - JAN-11'!GN15*$EJ$77</f>
        <v>367.39800000000002</v>
      </c>
      <c r="GO15" s="407">
        <f>+'FY-10, FEB-10 - JAN-11'!GO15*$EJ$77</f>
        <v>187.84800000000001</v>
      </c>
      <c r="GP15" s="407">
        <f>+'FY-10, FEB-10 - JAN-11'!GP15*$EJ$77</f>
        <v>0</v>
      </c>
      <c r="GQ15" s="407">
        <f>+'FY-10, FEB-10 - JAN-11'!GQ15*$EJ$77</f>
        <v>797.6880000000001</v>
      </c>
      <c r="GR15" s="407">
        <f>+'FY-10, FEB-10 - JAN-11'!GR15*$EJ$77</f>
        <v>1381.653</v>
      </c>
      <c r="GS15" s="407">
        <f>+'FY-10, FEB-10 - JAN-11'!GS15*$EJ$77</f>
        <v>0</v>
      </c>
      <c r="GT15" s="407">
        <f>+'FY-10, FEB-10 - JAN-11'!GT15*$EJ$77</f>
        <v>311.71500000000003</v>
      </c>
      <c r="GU15" s="427">
        <f>+'FY-10, FEB-10 - JAN-11'!GU15*$EJ$77</f>
        <v>174.52799999999999</v>
      </c>
      <c r="GV15" s="407">
        <f>+'FY-10, FEB-10 - JAN-11'!GV15*$EJ$77</f>
        <v>0</v>
      </c>
      <c r="GW15" s="407">
        <f>+'FY-10, FEB-10 - JAN-11'!GW15*$EJ$77</f>
        <v>0</v>
      </c>
      <c r="GX15" s="407">
        <f>+'FY-10, FEB-10 - JAN-11'!GX15*$EJ$77</f>
        <v>0</v>
      </c>
      <c r="GY15" s="407">
        <f>+'FY-10, FEB-10 - JAN-11'!GY15*$EJ$77</f>
        <v>0</v>
      </c>
      <c r="GZ15" s="407">
        <f>+'FY-10, FEB-10 - JAN-11'!GZ15*$EJ$77</f>
        <v>0</v>
      </c>
      <c r="HA15" s="407">
        <f>+'FY-10, FEB-10 - JAN-11'!HA15*$EJ$77</f>
        <v>32.823</v>
      </c>
      <c r="HB15" s="407">
        <f>+'FY-10, FEB-10 - JAN-11'!HB15*$EJ$77</f>
        <v>0</v>
      </c>
      <c r="HC15" s="407">
        <f>+'FY-10, FEB-10 - JAN-11'!HC15*$EJ$77</f>
        <v>582.36300000000006</v>
      </c>
      <c r="HD15" s="407">
        <f>+'FY-10, FEB-10 - JAN-11'!HD15*$EJ$77</f>
        <v>0</v>
      </c>
      <c r="HE15" s="407">
        <f>+'FY-10, FEB-10 - JAN-11'!HE15*$EJ$77</f>
        <v>90.638999999999996</v>
      </c>
      <c r="HF15" s="407">
        <f>+'FY-10, FEB-10 - JAN-11'!HF15*$EJ$77</f>
        <v>84.312000000000012</v>
      </c>
      <c r="HG15" s="407">
        <f>+'FY-10, FEB-10 - JAN-11'!HG15*$EJ$77</f>
        <v>327.12300000000005</v>
      </c>
      <c r="HH15" s="407">
        <f>+'FY-10, FEB-10 - JAN-11'!HH15*$EJ$77</f>
        <v>0</v>
      </c>
      <c r="HI15" s="407">
        <f>+'FY-10, FEB-10 - JAN-11'!HI15*$EJ$77</f>
        <v>0</v>
      </c>
      <c r="HJ15" s="407">
        <f>+'FY-10, FEB-10 - JAN-11'!HJ15*$EJ$77</f>
        <v>0</v>
      </c>
      <c r="HK15" s="407">
        <f>+'FY-10, FEB-10 - JAN-11'!HK15*$EJ$77</f>
        <v>2894.0940000000001</v>
      </c>
      <c r="HL15" s="407">
        <f>+'FY-10, FEB-10 - JAN-11'!HL15*$EJ$77</f>
        <v>1466.136</v>
      </c>
      <c r="HM15" s="407">
        <f>+'FY-10, FEB-10 - JAN-11'!HM15*$EJ$77</f>
        <v>3298.4369999999999</v>
      </c>
      <c r="HN15" s="407">
        <f>+'FY-10, FEB-10 - JAN-11'!HN15*$EJ$77</f>
        <v>326.03399999999999</v>
      </c>
      <c r="HO15" s="407">
        <f>+'FY-10, FEB-10 - JAN-11'!HO15*$EJ$77</f>
        <v>14065.506000000001</v>
      </c>
      <c r="HP15" s="427">
        <f>+'FY-10, FEB-10 - JAN-11'!HP15*$EJ$77</f>
        <v>103.5</v>
      </c>
      <c r="HQ15" s="407">
        <f>+'FY-10, FEB-10 - JAN-11'!HQ15*$EJ$77</f>
        <v>2200.5360000000001</v>
      </c>
      <c r="HR15" s="407">
        <f>+'FY-10, FEB-10 - JAN-11'!HR15*$EJ$77</f>
        <v>597.96899999999994</v>
      </c>
      <c r="HS15" s="407">
        <f>+'FY-10, FEB-10 - JAN-11'!HS15*$EJ$77</f>
        <v>25.506</v>
      </c>
      <c r="HT15" s="407">
        <f>+'FY-10, FEB-10 - JAN-11'!HT15*$EJ$77</f>
        <v>196.434</v>
      </c>
      <c r="HU15" s="407">
        <f>+'FY-10, FEB-10 - JAN-11'!HU15*$EJ$77</f>
        <v>0</v>
      </c>
      <c r="HV15" s="407">
        <f>+'FY-10, FEB-10 - JAN-11'!HV15*$EJ$77</f>
        <v>0</v>
      </c>
      <c r="HW15" s="407">
        <f>+'FY-10, FEB-10 - JAN-11'!HW15*$EJ$77</f>
        <v>0</v>
      </c>
      <c r="HX15" s="407">
        <f>+'FY-10, FEB-10 - JAN-11'!HX15*$EJ$77</f>
        <v>0</v>
      </c>
      <c r="HY15" s="407">
        <f>+'FY-10, FEB-10 - JAN-11'!HY15*$EJ$77</f>
        <v>0</v>
      </c>
      <c r="HZ15" s="407">
        <f>+'FY-10, FEB-10 - JAN-11'!HZ15*$EJ$77</f>
        <v>0</v>
      </c>
      <c r="IA15" s="407">
        <f>+'FY-10, FEB-10 - JAN-11'!IA15*$EJ$77</f>
        <v>120.80699999999999</v>
      </c>
      <c r="IB15" s="407">
        <f>+'FY-10, FEB-10 - JAN-11'!IB15*$EJ$77</f>
        <v>0</v>
      </c>
      <c r="IC15" s="407">
        <f>+'FY-10, FEB-10 - JAN-11'!IC15*$EJ$77</f>
        <v>711.36900000000003</v>
      </c>
      <c r="ID15" s="407">
        <f>+'FY-10, FEB-10 - JAN-11'!ID15*$EJ$77</f>
        <v>0</v>
      </c>
      <c r="IE15" s="407">
        <f>+'FY-10, FEB-10 - JAN-11'!IE15*$EJ$77</f>
        <v>2176.4969999999998</v>
      </c>
      <c r="IF15" s="407">
        <f>+'FY-10, FEB-10 - JAN-11'!IF15*$EJ$77</f>
        <v>2216.6820000000002</v>
      </c>
      <c r="IG15" s="407">
        <f>+'FY-10, FEB-10 - JAN-11'!IG15*$EJ$77</f>
        <v>248.38200000000003</v>
      </c>
      <c r="IH15" s="407">
        <f>+'FY-10, FEB-10 - JAN-11'!IH15*$EJ$77</f>
        <v>914.80500000000006</v>
      </c>
      <c r="II15" s="407">
        <f>+'FY-10, FEB-10 - JAN-11'!II15*$EJ$77</f>
        <v>86.840999999999994</v>
      </c>
      <c r="IJ15" s="407">
        <f>+'FY-10, FEB-10 - JAN-11'!IJ15*$EJ$77</f>
        <v>142.083</v>
      </c>
      <c r="IK15" s="407">
        <f>+'FY-10, FEB-10 - JAN-11'!IK15*$EJ$77</f>
        <v>620.04600000000005</v>
      </c>
      <c r="IL15" s="427">
        <f>+'FY-10, FEB-10 - JAN-11'!IL15*$EJ$77</f>
        <v>0</v>
      </c>
      <c r="IM15" s="407">
        <f>+'FY-10, FEB-10 - JAN-11'!IM15*$EJ$77</f>
        <v>639.29700000000003</v>
      </c>
      <c r="IN15" s="407">
        <f>+'FY-10, FEB-10 - JAN-11'!IN15*$EJ$77</f>
        <v>106.72199999999999</v>
      </c>
      <c r="IO15" s="407">
        <f>+'FY-10, FEB-10 - JAN-11'!IO15*$EJ$77</f>
        <v>0</v>
      </c>
      <c r="IP15" s="407">
        <f>+'FY-10, FEB-10 - JAN-11'!IP15*$EJ$77</f>
        <v>2104.9830000000002</v>
      </c>
      <c r="IQ15" s="407">
        <f>+'FY-10, FEB-10 - JAN-11'!IQ15*$EJ$77</f>
        <v>0</v>
      </c>
      <c r="IR15" s="407">
        <f>+'FY-10, FEB-10 - JAN-11'!IR15*$EJ$77</f>
        <v>46.088999999999999</v>
      </c>
      <c r="IS15" s="407">
        <f>+'FY-10, FEB-10 - JAN-11'!IS15*$EJ$77</f>
        <v>0</v>
      </c>
      <c r="IT15" s="407">
        <f>+'FY-10, FEB-10 - JAN-11'!IT15*$EJ$77</f>
        <v>1158.471</v>
      </c>
      <c r="IU15" s="407">
        <f>+'FY-10, FEB-10 - JAN-11'!IU15*$EJ$77</f>
        <v>0</v>
      </c>
      <c r="IV15" s="407">
        <f>+'FY-10, FEB-10 - JAN-11'!IV15*$EJ$77</f>
        <v>126.864</v>
      </c>
      <c r="IW15" s="682"/>
      <c r="IX15" s="407">
        <f>+D15*$EJ$77</f>
        <v>0</v>
      </c>
      <c r="IY15" s="407">
        <f t="shared" si="21"/>
        <v>0</v>
      </c>
      <c r="IZ15" s="407">
        <f t="shared" si="21"/>
        <v>211.61699999999999</v>
      </c>
      <c r="JA15" s="407">
        <f t="shared" si="21"/>
        <v>5391.6930000000002</v>
      </c>
      <c r="JB15" s="407">
        <f t="shared" si="21"/>
        <v>0</v>
      </c>
      <c r="JC15" s="407">
        <f t="shared" si="21"/>
        <v>0</v>
      </c>
      <c r="JD15" s="407">
        <f t="shared" si="21"/>
        <v>275.05799999999999</v>
      </c>
      <c r="JE15" s="407">
        <f t="shared" si="21"/>
        <v>1271.943</v>
      </c>
      <c r="JF15" s="407">
        <f t="shared" si="21"/>
        <v>0</v>
      </c>
      <c r="JG15" s="407">
        <f t="shared" si="21"/>
        <v>125.901</v>
      </c>
      <c r="JH15" s="407">
        <f t="shared" si="21"/>
        <v>7651.3860000000013</v>
      </c>
      <c r="JI15" s="4">
        <f t="shared" si="18"/>
        <v>178959.10600000006</v>
      </c>
      <c r="JJ15" s="407">
        <f>'FY-09, FEB-09 - JAN-10, w TANs'!IU15*$EJ$77</f>
        <v>187774.44299999997</v>
      </c>
      <c r="JK15" s="407">
        <f>'FY-09, FEB-09 - JAN-10, w TANs'!IV15*$EJ$77</f>
        <v>0</v>
      </c>
    </row>
    <row r="16" spans="1:271" s="845" customFormat="1" ht="14.1" customHeight="1" thickBot="1">
      <c r="A16" s="835" t="s">
        <v>82</v>
      </c>
      <c r="B16" s="836"/>
      <c r="C16" s="837">
        <v>8092899.6900000004</v>
      </c>
      <c r="D16" s="841"/>
      <c r="E16" s="841">
        <v>674843.81</v>
      </c>
      <c r="F16" s="841"/>
      <c r="G16" s="841"/>
      <c r="H16" s="841">
        <v>0</v>
      </c>
      <c r="I16" s="841">
        <v>0</v>
      </c>
      <c r="J16" s="835">
        <v>0</v>
      </c>
      <c r="K16" s="835">
        <v>238831.91</v>
      </c>
      <c r="L16" s="835">
        <v>9618.2199999999993</v>
      </c>
      <c r="M16" s="835"/>
      <c r="N16" s="837">
        <f>1816976.49-1421.26</f>
        <v>1815555.23</v>
      </c>
      <c r="O16" s="835">
        <v>8567453.9700000007</v>
      </c>
      <c r="P16" s="835">
        <v>66840.960000000006</v>
      </c>
      <c r="Q16" s="835">
        <v>3582936.67</v>
      </c>
      <c r="R16" s="835"/>
      <c r="S16" s="835">
        <v>695088.87</v>
      </c>
      <c r="T16" s="835">
        <v>0</v>
      </c>
      <c r="U16" s="835">
        <v>6592151</v>
      </c>
      <c r="V16" s="841">
        <f>4227504.85-V11</f>
        <v>10738.849999999627</v>
      </c>
      <c r="W16" s="841">
        <v>0</v>
      </c>
      <c r="X16" s="841">
        <v>9298354.1199999992</v>
      </c>
      <c r="Y16" s="841">
        <v>0</v>
      </c>
      <c r="Z16" s="841">
        <v>175500</v>
      </c>
      <c r="AA16" s="841">
        <v>30247.200000000001</v>
      </c>
      <c r="AB16" s="841">
        <v>209528.24</v>
      </c>
      <c r="AC16" s="841">
        <v>0</v>
      </c>
      <c r="AD16" s="841">
        <v>83480.72</v>
      </c>
      <c r="AE16" s="841">
        <v>449503.18</v>
      </c>
      <c r="AF16" s="841">
        <v>10382.719999999999</v>
      </c>
      <c r="AG16" s="842">
        <v>67190.600000000006</v>
      </c>
      <c r="AH16" s="841">
        <v>3279628.55</v>
      </c>
      <c r="AI16" s="841">
        <v>80</v>
      </c>
      <c r="AJ16" s="841"/>
      <c r="AK16" s="841">
        <v>0</v>
      </c>
      <c r="AL16" s="841">
        <v>0</v>
      </c>
      <c r="AM16" s="841">
        <v>0</v>
      </c>
      <c r="AN16" s="841">
        <v>460505.39</v>
      </c>
      <c r="AO16" s="843">
        <f>6369447-AO11</f>
        <v>50766</v>
      </c>
      <c r="AP16" s="841">
        <v>0</v>
      </c>
      <c r="AQ16" s="841">
        <v>562650.69999999995</v>
      </c>
      <c r="AR16" s="841">
        <v>875784.04</v>
      </c>
      <c r="AS16" s="841"/>
      <c r="AT16" s="841">
        <v>658394.49</v>
      </c>
      <c r="AU16" s="841">
        <v>569172.18999999994</v>
      </c>
      <c r="AV16" s="841">
        <v>66708.94</v>
      </c>
      <c r="AW16" s="841">
        <v>0</v>
      </c>
      <c r="AX16" s="841">
        <v>8063900.5999999996</v>
      </c>
      <c r="AY16" s="841">
        <v>10077192.189999999</v>
      </c>
      <c r="AZ16" s="841">
        <v>0</v>
      </c>
      <c r="BA16" s="841">
        <v>3337502.35</v>
      </c>
      <c r="BB16" s="841">
        <f>2176955.77-1580.12</f>
        <v>2175375.65</v>
      </c>
      <c r="BC16" s="841">
        <v>342024.46</v>
      </c>
      <c r="BD16" s="842">
        <v>683149.07</v>
      </c>
      <c r="BE16" s="841">
        <v>193626.13</v>
      </c>
      <c r="BF16" s="841">
        <v>61.49</v>
      </c>
      <c r="BG16" s="841">
        <v>46679.41</v>
      </c>
      <c r="BH16" s="841">
        <v>6967592.4500000002</v>
      </c>
      <c r="BI16" s="841">
        <v>151113.79999999999</v>
      </c>
      <c r="BJ16" s="841">
        <f>5021689.84-BJ11</f>
        <v>52392.839999999851</v>
      </c>
      <c r="BK16" s="835">
        <v>0</v>
      </c>
      <c r="BL16" s="835">
        <v>187694.2</v>
      </c>
      <c r="BM16" s="835">
        <v>0</v>
      </c>
      <c r="BN16" s="835">
        <v>0</v>
      </c>
      <c r="BO16" s="835">
        <v>11779.54</v>
      </c>
      <c r="BP16" s="835">
        <v>3160926.17</v>
      </c>
      <c r="BQ16" s="835">
        <v>0</v>
      </c>
      <c r="BR16" s="835">
        <v>6657111.5700000003</v>
      </c>
      <c r="BS16" s="835">
        <v>6116645.3600000003</v>
      </c>
      <c r="BT16" s="835">
        <v>370759.12</v>
      </c>
      <c r="BU16" s="835">
        <v>0</v>
      </c>
      <c r="BV16" s="835">
        <v>423179.67</v>
      </c>
      <c r="BW16" s="835">
        <v>0</v>
      </c>
      <c r="BX16" s="837">
        <v>332084.07</v>
      </c>
      <c r="BY16" s="835">
        <v>991964.77</v>
      </c>
      <c r="BZ16" s="835">
        <v>564071.44999999995</v>
      </c>
      <c r="CA16" s="835">
        <v>0</v>
      </c>
      <c r="CB16" s="835">
        <v>0</v>
      </c>
      <c r="CC16" s="835">
        <v>0</v>
      </c>
      <c r="CD16" s="835">
        <v>0</v>
      </c>
      <c r="CE16" s="835">
        <v>8151634.8499999996</v>
      </c>
      <c r="CF16" s="904">
        <v>0</v>
      </c>
      <c r="CG16" s="835">
        <v>11768.05</v>
      </c>
      <c r="CH16" s="835">
        <v>0</v>
      </c>
      <c r="CI16" s="835">
        <v>0</v>
      </c>
      <c r="CJ16" s="835">
        <v>511104.33</v>
      </c>
      <c r="CK16" s="835">
        <v>2379683.39</v>
      </c>
      <c r="CL16" s="835">
        <v>4850215.21</v>
      </c>
      <c r="CM16" s="835">
        <v>2112702.21</v>
      </c>
      <c r="CN16" s="835">
        <v>595093.15</v>
      </c>
      <c r="CO16" s="835">
        <v>431333.62999999995</v>
      </c>
      <c r="CP16" s="835">
        <v>6276767.0800000001</v>
      </c>
      <c r="CQ16" s="835">
        <f>22259095.01-CQ11</f>
        <v>152561.30000000075</v>
      </c>
      <c r="CR16" s="835">
        <v>29988.400000000001</v>
      </c>
      <c r="CS16" s="835">
        <v>0</v>
      </c>
      <c r="CT16" s="837">
        <v>0</v>
      </c>
      <c r="CU16" s="835">
        <v>138756.91</v>
      </c>
      <c r="CV16" s="835"/>
      <c r="CW16" s="835">
        <v>0</v>
      </c>
      <c r="CX16" s="835">
        <v>83723.23</v>
      </c>
      <c r="CY16" s="835">
        <v>8980.34</v>
      </c>
      <c r="CZ16" s="835">
        <v>4109990.57</v>
      </c>
      <c r="DA16" s="835">
        <v>491338.62</v>
      </c>
      <c r="DB16" s="835">
        <f>12724103.11-DB11</f>
        <v>7754806.1099999994</v>
      </c>
      <c r="DC16" s="835">
        <v>1568802.47</v>
      </c>
      <c r="DD16" s="835">
        <v>0</v>
      </c>
      <c r="DE16" s="835">
        <v>159017.57999999999</v>
      </c>
      <c r="DF16" s="835">
        <v>355665.68</v>
      </c>
      <c r="DG16" s="835">
        <v>92985.89</v>
      </c>
      <c r="DH16" s="835">
        <v>8546275.3499999996</v>
      </c>
      <c r="DI16" s="835"/>
      <c r="DJ16" s="835">
        <v>0</v>
      </c>
      <c r="DK16" s="835">
        <v>0</v>
      </c>
      <c r="DL16" s="835">
        <f>+'FY-10, FEB-10 - JAN-11'!DL16*$EJ$78</f>
        <v>0</v>
      </c>
      <c r="DM16" s="835">
        <f>+'FY-10, FEB-10 - JAN-11'!DM16*$EJ$78</f>
        <v>164754.41500000001</v>
      </c>
      <c r="DN16" s="835">
        <f>+'FY-10, FEB-10 - JAN-11'!DN16*$EJ$78</f>
        <v>0</v>
      </c>
      <c r="DO16" s="837">
        <f>+'FY-10, FEB-10 - JAN-11'!DO16*$EJ$78</f>
        <v>46168.01</v>
      </c>
      <c r="DP16" s="835">
        <f>+'FY-10, FEB-10 - JAN-11'!DP16*$EJ$78</f>
        <v>2731.5539999999996</v>
      </c>
      <c r="DQ16" s="835">
        <f>+'FY-10, FEB-10 - JAN-11'!DQ16*$EJ$78</f>
        <v>43715.097999999998</v>
      </c>
      <c r="DR16" s="835">
        <f>+'FY-10, FEB-10 - JAN-11'!DR16*$EJ$78</f>
        <v>877732.07199999993</v>
      </c>
      <c r="DS16" s="835">
        <f>+'FY-10, FEB-10 - JAN-11'!DS16*$EJ$78</f>
        <v>243586.16099999996</v>
      </c>
      <c r="DT16" s="835">
        <f>+'FY-10, FEB-10 - JAN-11'!DT16*$EJ$78</f>
        <v>0</v>
      </c>
      <c r="DU16" s="835">
        <f>+'FY-10, FEB-10 - JAN-11'!DU16*$EJ$78</f>
        <v>702539.97100000002</v>
      </c>
      <c r="DV16" s="904">
        <f>+'FY-10, FEB-10 - JAN-11'!DV16*$EJ$78-DV11</f>
        <v>3709995.6850000005</v>
      </c>
      <c r="DW16" s="835">
        <f>+'FY-10, FEB-10 - JAN-11'!DW16*$EJ$78</f>
        <v>39650.120999999999</v>
      </c>
      <c r="DX16" s="835">
        <f>+'FY-10, FEB-10 - JAN-11'!DX16*$EJ$78</f>
        <v>0</v>
      </c>
      <c r="DY16" s="835">
        <f>+'FY-10, FEB-10 - JAN-11'!DY16*$EJ$78</f>
        <v>0</v>
      </c>
      <c r="DZ16" s="835">
        <f>+'FY-10, FEB-10 - JAN-11'!DZ16*$EJ$78</f>
        <v>28572.823999999997</v>
      </c>
      <c r="EA16" s="835">
        <f>+'FY-10, FEB-10 - JAN-11'!EA16*$EJ$78</f>
        <v>271614.99399999995</v>
      </c>
      <c r="EB16" s="835">
        <f>+'FY-10, FEB-10 - JAN-11'!EB16*$EJ$78</f>
        <v>21052.982999999997</v>
      </c>
      <c r="EC16" s="835">
        <f>+'FY-10, FEB-10 - JAN-11'!EC16*$EJ$78</f>
        <v>49964.389999999992</v>
      </c>
      <c r="ED16" s="835">
        <f>+'FY-10, FEB-10 - JAN-11'!ED16*$EJ$78</f>
        <v>6802.607</v>
      </c>
      <c r="EE16" s="835">
        <f>+'FY-10, FEB-10 - JAN-11'!EE16*$EJ$78</f>
        <v>23361.813999999995</v>
      </c>
      <c r="EF16" s="835">
        <f>+'FY-10, FEB-10 - JAN-11'!EF16*$EJ$78</f>
        <v>6469159.585</v>
      </c>
      <c r="EG16" s="835">
        <f>+'FY-10, FEB-10 - JAN-11'!EG16*$EJ$78</f>
        <v>247613.48499999999</v>
      </c>
      <c r="EH16" s="835">
        <f>+'FY-10, FEB-10 - JAN-11'!EH16*$EJ$78</f>
        <v>560</v>
      </c>
      <c r="EI16" s="835">
        <f>+'FY-10, FEB-10 - JAN-11'!EI16*$EJ$78</f>
        <v>0</v>
      </c>
      <c r="EJ16" s="837">
        <f>+'FY-10, FEB-10 - JAN-11'!EJ16*$EJ$78</f>
        <v>3044043.2889999994</v>
      </c>
      <c r="EK16" s="835">
        <f>+'FY-10, FEB-10 - JAN-11'!EK16*$EJ$78</f>
        <v>1587478.4309999999</v>
      </c>
      <c r="EL16" s="835">
        <f>+'FY-10, FEB-10 - JAN-11'!EL16*$EJ$78</f>
        <v>11531.436</v>
      </c>
      <c r="EM16" s="835">
        <f>+'FY-10, FEB-10 - JAN-11'!EM16*$EJ$78</f>
        <v>0</v>
      </c>
      <c r="EN16" s="835">
        <f>+'FY-10, FEB-10 - JAN-11'!EN16*$EJ$78</f>
        <v>54038.81</v>
      </c>
      <c r="EO16" s="835">
        <f>+'FY-10, FEB-10 - JAN-11'!EO16*$EJ$78</f>
        <v>0</v>
      </c>
      <c r="EP16" s="835">
        <f>+'FY-10, FEB-10 - JAN-11'!EP16*$EJ$78</f>
        <v>0</v>
      </c>
      <c r="EQ16" s="835">
        <f>+'FY-10, FEB-10 - JAN-11'!EQ16*$EJ$78</f>
        <v>3372.5509999999999</v>
      </c>
      <c r="ER16" s="906">
        <v>34255957</v>
      </c>
      <c r="ES16" s="835">
        <f>+'FY-10, FEB-10 - JAN-11'!ES16*$EJ$78</f>
        <v>1858195.4859999998</v>
      </c>
      <c r="ET16" s="835">
        <f>+'FY-10, FEB-10 - JAN-11'!ET16*$EJ$78</f>
        <v>112775.30600000001</v>
      </c>
      <c r="EU16" s="835">
        <f>+'FY-10, FEB-10 - JAN-11'!EU16*$EJ$78</f>
        <v>162417.89199999999</v>
      </c>
      <c r="EV16" s="835">
        <f>+'FY-10, FEB-10 - JAN-11'!EV16*$EJ$78</f>
        <v>61459.677999999993</v>
      </c>
      <c r="EW16" s="835">
        <f>+'FY-10, FEB-10 - JAN-11'!EW16*$EJ$78</f>
        <v>0</v>
      </c>
      <c r="EX16" s="835">
        <f>+'FY-10, FEB-10 - JAN-11'!EX16*$EJ$78</f>
        <v>387845.087</v>
      </c>
      <c r="EY16" s="835">
        <f>+'FY-10, FEB-10 - JAN-11'!EY16*$EJ$78</f>
        <v>0</v>
      </c>
      <c r="EZ16" s="835">
        <f>+'FY-10, FEB-10 - JAN-11'!EZ16*$EJ$78</f>
        <v>91562.260999999999</v>
      </c>
      <c r="FA16" s="835">
        <f>+'FY-10, FEB-10 - JAN-11'!FA16*$EJ$78</f>
        <v>243964.72799999997</v>
      </c>
      <c r="FB16" s="835">
        <f>+'FY-10, FEB-10 - JAN-11'!FB16*$EJ$78</f>
        <v>814614.41599999985</v>
      </c>
      <c r="FC16" s="835">
        <f>+'FY-10, FEB-10 - JAN-11'!FC16*$EJ$78</f>
        <v>15208023.179999998</v>
      </c>
      <c r="FD16" s="835">
        <f>+'FY-10, FEB-10 - JAN-11'!FD16*$EJ$78</f>
        <v>1931724.0739999998</v>
      </c>
      <c r="FE16" s="835">
        <f>+'FY-10, FEB-10 - JAN-11'!FE16*$EJ$78</f>
        <v>11926.039999999999</v>
      </c>
      <c r="FF16" s="837">
        <f>+'FY-10, FEB-10 - JAN-11'!FF16*$EJ$78</f>
        <v>267496.30599999998</v>
      </c>
      <c r="FG16" s="835">
        <f>+'FY-10, FEB-10 - JAN-11'!FG16*$EJ$78</f>
        <v>0</v>
      </c>
      <c r="FH16" s="835">
        <f>+'FY-10, FEB-10 - JAN-11'!FH16*$EJ$78</f>
        <v>12.480999999999998</v>
      </c>
      <c r="FI16" s="835">
        <f>+'FY-10, FEB-10 - JAN-11'!FI16*$EJ$78</f>
        <v>19027.147999999997</v>
      </c>
      <c r="FJ16" s="835">
        <f>+'FY-10, FEB-10 - JAN-11'!FJ16*$EJ$78</f>
        <v>97137.046999999991</v>
      </c>
      <c r="FK16" s="835">
        <f>+'FY-10, FEB-10 - JAN-11'!FK16*$EJ$78</f>
        <v>182494.095</v>
      </c>
      <c r="FL16" s="835">
        <f>+'FY-10, FEB-10 - JAN-11'!FL16*$EJ$78</f>
        <v>160698.08299999998</v>
      </c>
      <c r="FM16" s="948">
        <f>(387004156-63087669)*45%</f>
        <v>145762419.15000001</v>
      </c>
      <c r="FN16" s="948">
        <v>127714253</v>
      </c>
      <c r="FO16" s="835">
        <f>+'FY-10, FEB-10 - JAN-11'!FM16*$EJ$78</f>
        <v>32325.698999999997</v>
      </c>
      <c r="FP16" s="835">
        <f>+'FY-10, FEB-10 - JAN-11'!FP16*$EJ$78</f>
        <v>266364.658</v>
      </c>
      <c r="FQ16" s="835">
        <f>+'FY-10, FEB-10 - JAN-11'!FQ16*$EJ$78</f>
        <v>220227.64399999997</v>
      </c>
      <c r="FR16" s="835">
        <f>+'FY-10, FEB-10 - JAN-11'!FR16*$EJ$78</f>
        <v>328165.16599999997</v>
      </c>
      <c r="FS16" s="835">
        <f>+'FY-10, FEB-10 - JAN-11'!FS16*$EJ$78</f>
        <v>0</v>
      </c>
      <c r="FT16" s="835">
        <f>+'FY-10, FEB-10 - JAN-11'!FT16*$EJ$78</f>
        <v>1288428.2879999999</v>
      </c>
      <c r="FU16" s="835">
        <f>+'FY-10, FEB-10 - JAN-11'!FU16*$EJ$78</f>
        <v>7610.2669999999989</v>
      </c>
      <c r="FV16" s="835">
        <f>+'FY-10, FEB-10 - JAN-11'!FV16*$EJ$78</f>
        <v>2549667.8619999997</v>
      </c>
      <c r="FW16" s="835">
        <f>+'FY-10, FEB-10 - JAN-11'!FW16*$EJ$78</f>
        <v>69621.187999999995</v>
      </c>
      <c r="FX16" s="835">
        <f>+'FY-10, FEB-10 - JAN-11'!FX16*$EJ$78</f>
        <v>1643211.017</v>
      </c>
      <c r="FY16" s="835">
        <f>+'FY-10, FEB-10 - JAN-11'!FY16*$EJ$78</f>
        <v>0</v>
      </c>
      <c r="FZ16" s="837">
        <f>+'FY-10, FEB-10 - JAN-11'!FZ16*$EJ$78</f>
        <v>214196.55600000001</v>
      </c>
      <c r="GA16" s="835">
        <f>+'FY-10, FEB-10 - JAN-11'!GA16*$EJ$78</f>
        <v>12425.097999999998</v>
      </c>
      <c r="GB16" s="835">
        <f>+'FY-10, FEB-10 - JAN-11'!GB16*$EJ$78</f>
        <v>249334.96699999998</v>
      </c>
      <c r="GC16" s="835">
        <f>+'FY-10, FEB-10 - JAN-11'!GC16*$EJ$78</f>
        <v>9469256.3629999999</v>
      </c>
      <c r="GD16" s="835">
        <f>+'FY-10, FEB-10 - JAN-11'!GD16*$EJ$78</f>
        <v>22660.686999999998</v>
      </c>
      <c r="GE16" s="835">
        <f>+'FY-10, FEB-10 - JAN-11'!GE16*$EJ$78</f>
        <v>1351.0769999999998</v>
      </c>
      <c r="GF16" s="835">
        <f>+'FY-10, FEB-10 - JAN-11'!GF16*$EJ$78</f>
        <v>93.156000000000006</v>
      </c>
      <c r="GG16" s="948">
        <f>(387004156-63087669)*35%</f>
        <v>113370770.44999999</v>
      </c>
      <c r="GH16" s="835">
        <f>+'FY-10, FEB-10 - JAN-11'!GH16*$EJ$78</f>
        <v>5375364.3999999994</v>
      </c>
      <c r="GI16" s="835">
        <f>+'FY-10, FEB-10 - JAN-11'!GI16*$EJ$78</f>
        <v>0</v>
      </c>
      <c r="GJ16" s="835">
        <f>+'FY-10, FEB-10 - JAN-11'!GJ16*$EJ$78</f>
        <v>12810.510999999999</v>
      </c>
      <c r="GK16" s="835">
        <f>+'FY-10, FEB-10 - JAN-11'!GK16*$EJ$78</f>
        <v>56021.475999999995</v>
      </c>
      <c r="GL16" s="835">
        <f>+'FY-10, FEB-10 - JAN-11'!GL16*$EJ$78</f>
        <v>0</v>
      </c>
      <c r="GM16" s="835">
        <f>+'FY-10, FEB-10 - JAN-11'!GM16*$EJ$78</f>
        <v>431127.01099999994</v>
      </c>
      <c r="GN16" s="835">
        <f>+'FY-10, FEB-10 - JAN-11'!GN16*$EJ$78</f>
        <v>37319.695</v>
      </c>
      <c r="GO16" s="835">
        <f>+'FY-10, FEB-10 - JAN-11'!GO16*$EJ$78</f>
        <v>835842.05599999998</v>
      </c>
      <c r="GP16" s="835">
        <f>+'FY-10, FEB-10 - JAN-11'!GP16*$EJ$78</f>
        <v>34022.379999999997</v>
      </c>
      <c r="GQ16" s="835">
        <f>+'FY-10, FEB-10 - JAN-11'!GQ16*$EJ$78</f>
        <v>13238.624</v>
      </c>
      <c r="GR16" s="835">
        <f>+'FY-10, FEB-10 - JAN-11'!GR16*$EJ$78</f>
        <v>91.727999999999994</v>
      </c>
      <c r="GS16" s="835">
        <f>+'FY-10, FEB-10 - JAN-11'!GS16*$EJ$78</f>
        <v>0</v>
      </c>
      <c r="GT16" s="835">
        <f>+'FY-10, FEB-10 - JAN-11'!GT16*$EJ$78</f>
        <v>2057533.9329999997</v>
      </c>
      <c r="GU16" s="837">
        <f>+'FY-10, FEB-10 - JAN-11'!GU16*$EJ$78</f>
        <v>4756933.2089999998</v>
      </c>
      <c r="GV16" s="846">
        <v>0</v>
      </c>
      <c r="GW16" s="835">
        <f>+'FY-10, FEB-10 - JAN-11'!GW16*$EJ$78</f>
        <v>138618.96299999999</v>
      </c>
      <c r="GX16" s="835">
        <f>+'FY-10, FEB-10 - JAN-11'!GX16*$EJ$78</f>
        <v>253990.42199999999</v>
      </c>
      <c r="GY16" s="835">
        <f>+'FY-10, FEB-10 - JAN-11'!GY16*$EJ$78</f>
        <v>0</v>
      </c>
      <c r="GZ16" s="835">
        <f>+'FY-10, FEB-10 - JAN-11'!GZ16*$EJ$78</f>
        <v>116617.49400000001</v>
      </c>
      <c r="HA16" s="835">
        <f>+'FY-10, FEB-10 - JAN-11'!HA16*$EJ$78</f>
        <v>0</v>
      </c>
      <c r="HB16" s="835">
        <f>+'FY-10, FEB-10 - JAN-11'!HB16*$EJ$78</f>
        <v>27158.936000000002</v>
      </c>
      <c r="HC16" s="835">
        <f>+'FY-10, FEB-10 - JAN-11'!HC16*$EJ$78</f>
        <v>5328429.3999999994</v>
      </c>
      <c r="HD16" s="835">
        <f>+'FY-10, FEB-10 - JAN-11'!HD16*$EJ$78</f>
        <v>1539850.34</v>
      </c>
      <c r="HE16" s="835">
        <f>+'FY-10, FEB-10 - JAN-11'!HE16*$EJ$78</f>
        <v>0</v>
      </c>
      <c r="HF16" s="835">
        <f>+'FY-10, FEB-10 - JAN-11'!HF16*$EJ$78</f>
        <v>0</v>
      </c>
      <c r="HG16" s="835">
        <f>+'FY-10, FEB-10 - JAN-11'!HG16*$EJ$78</f>
        <v>0</v>
      </c>
      <c r="HH16" s="835">
        <f>+'FY-10, FEB-10 - JAN-11'!HH16*$EJ$78</f>
        <v>0</v>
      </c>
      <c r="HI16" s="835">
        <f>+'FY-10, FEB-10 - JAN-11'!HI16*$EJ$78</f>
        <v>0</v>
      </c>
      <c r="HJ16" s="835">
        <f>+'FY-10, FEB-10 - JAN-11'!HJ16*$EJ$78</f>
        <v>158970.546</v>
      </c>
      <c r="HK16" s="835">
        <f>+'FY-10, FEB-10 - JAN-11'!HK16*$EJ$78</f>
        <v>376185.31299999997</v>
      </c>
      <c r="HL16" s="835">
        <f>+'FY-10, FEB-10 - JAN-11'!HL16*$EJ$78</f>
        <v>0</v>
      </c>
      <c r="HM16" s="835">
        <f>+'FY-10, FEB-10 - JAN-11'!HM16*$EJ$78</f>
        <v>0</v>
      </c>
      <c r="HN16" s="835">
        <f>+'FY-10, FEB-10 - JAN-11'!HN16*$EJ$78</f>
        <v>2020910.2969999998</v>
      </c>
      <c r="HO16" s="835">
        <f>+'FY-10, FEB-10 - JAN-11'!HO16*$EJ$78</f>
        <v>0</v>
      </c>
      <c r="HP16" s="837">
        <f>+'FY-10, FEB-10 - JAN-11'!HP16*$EJ$78</f>
        <v>0</v>
      </c>
      <c r="HQ16" s="835">
        <f>+'FY-10, FEB-10 - JAN-11'!HQ16*$EJ$78</f>
        <v>0</v>
      </c>
      <c r="HR16" s="835">
        <f>+'FY-10, FEB-10 - JAN-11'!HR16*$EJ$78</f>
        <v>732214.51099999994</v>
      </c>
      <c r="HS16" s="835">
        <f>+'FY-10, FEB-10 - JAN-11'!HS16*$EJ$78</f>
        <v>3691776.83</v>
      </c>
      <c r="HT16" s="835">
        <f>+'FY-10, FEB-10 - JAN-11'!HT16*$EJ$78</f>
        <v>4670040.1999999993</v>
      </c>
      <c r="HU16" s="835">
        <f>+'FY-10, FEB-10 - JAN-11'!HU16*$EJ$78</f>
        <v>18770.919999999998</v>
      </c>
      <c r="HV16" s="835">
        <f>+'FY-10, FEB-10 - JAN-11'!HV16*$EJ$78</f>
        <v>0</v>
      </c>
      <c r="HW16" s="835">
        <f>+'FY-10, FEB-10 - JAN-11'!HW16*$EJ$78</f>
        <v>0</v>
      </c>
      <c r="HX16" s="835">
        <f>+'FY-10, FEB-10 - JAN-11'!HX16*$EJ$78</f>
        <v>0</v>
      </c>
      <c r="HY16" s="835">
        <f>+'FY-10, FEB-10 - JAN-11'!HY16*$EJ$78</f>
        <v>0</v>
      </c>
      <c r="HZ16" s="835">
        <f>+'FY-10, FEB-10 - JAN-11'!HZ16*$EJ$78</f>
        <v>0</v>
      </c>
      <c r="IA16" s="835">
        <f>+'FY-10, FEB-10 - JAN-11'!IA16*$EJ$78</f>
        <v>0</v>
      </c>
      <c r="IB16" s="835">
        <f>+'FY-10, FEB-10 - JAN-11'!IB16*$EJ$78</f>
        <v>0</v>
      </c>
      <c r="IC16" s="835">
        <f>+'FY-10, FEB-10 - JAN-11'!IC16*$EJ$78</f>
        <v>0</v>
      </c>
      <c r="ID16" s="835">
        <f>+'FY-10, FEB-10 - JAN-11'!ID16*$EJ$78</f>
        <v>0</v>
      </c>
      <c r="IE16" s="835">
        <f>+'FY-10, FEB-10 - JAN-11'!IE16*$EJ$78</f>
        <v>0</v>
      </c>
      <c r="IF16" s="835">
        <f>+'FY-10, FEB-10 - JAN-11'!IF16*$EJ$78</f>
        <v>0</v>
      </c>
      <c r="IG16" s="835">
        <f>+'FY-10, FEB-10 - JAN-11'!IG16*$EJ$78</f>
        <v>0</v>
      </c>
      <c r="IH16" s="835">
        <f>+'FY-10, FEB-10 - JAN-11'!IH16*$EJ$78</f>
        <v>0</v>
      </c>
      <c r="II16" s="835">
        <f>+'FY-10, FEB-10 - JAN-11'!II16*$EJ$78</f>
        <v>0</v>
      </c>
      <c r="IJ16" s="835">
        <f>+'FY-10, FEB-10 - JAN-11'!IJ16*$EJ$78</f>
        <v>826693.25199999986</v>
      </c>
      <c r="IK16" s="835">
        <f>+'FY-10, FEB-10 - JAN-11'!IK16*$EJ$78</f>
        <v>1502248.5589999999</v>
      </c>
      <c r="IL16" s="837">
        <f>+'FY-10, FEB-10 - JAN-11'!IL16*$EJ$78</f>
        <v>1893262.665</v>
      </c>
      <c r="IM16" s="835">
        <f>+'FY-10, FEB-10 - JAN-11'!IM16*$EJ$78</f>
        <v>0</v>
      </c>
      <c r="IN16" s="835">
        <f>+'FY-10, FEB-10 - JAN-11'!IN16*$EJ$78</f>
        <v>4201344.5039999997</v>
      </c>
      <c r="IO16" s="835">
        <f>+'FY-10, FEB-10 - JAN-11'!IO16*$EJ$78</f>
        <v>1693002.5559999999</v>
      </c>
      <c r="IP16" s="835">
        <v>0</v>
      </c>
      <c r="IQ16" s="835">
        <f>+'FY-10, FEB-10 - JAN-11'!IQ16*$EJ$78</f>
        <v>57116.170999999995</v>
      </c>
      <c r="IR16" s="835">
        <f>+'FY-10, FEB-10 - JAN-11'!IR16*$EJ$78</f>
        <v>0</v>
      </c>
      <c r="IS16" s="835">
        <f>+'FY-10, FEB-10 - JAN-11'!IS16*$EJ$78</f>
        <v>0</v>
      </c>
      <c r="IT16" s="835">
        <f>+'FY-10, FEB-10 - JAN-11'!IT16*$EJ$78</f>
        <v>56554.049999999996</v>
      </c>
      <c r="IU16" s="835">
        <f>+'FY-10, FEB-10 - JAN-11'!IU16*$EJ$78</f>
        <v>0</v>
      </c>
      <c r="IV16" s="835">
        <f>+'FY-10, FEB-10 - JAN-11'!IV16*$EJ$78</f>
        <v>5665029.7829999998</v>
      </c>
      <c r="IW16" s="682"/>
      <c r="IX16" s="835">
        <f>+D16*$EJ$78</f>
        <v>0</v>
      </c>
      <c r="IY16" s="835">
        <f t="shared" ref="IY16:JH16" si="22">+E16*$EJ$78</f>
        <v>472390.66700000002</v>
      </c>
      <c r="IZ16" s="835">
        <f t="shared" si="22"/>
        <v>0</v>
      </c>
      <c r="JA16" s="835">
        <f t="shared" si="22"/>
        <v>0</v>
      </c>
      <c r="JB16" s="835">
        <f t="shared" si="22"/>
        <v>0</v>
      </c>
      <c r="JC16" s="835">
        <f t="shared" si="22"/>
        <v>0</v>
      </c>
      <c r="JD16" s="835">
        <f t="shared" si="22"/>
        <v>0</v>
      </c>
      <c r="JE16" s="835">
        <f t="shared" si="22"/>
        <v>167182.337</v>
      </c>
      <c r="JF16" s="835">
        <f t="shared" si="22"/>
        <v>6732.753999999999</v>
      </c>
      <c r="JG16" s="835">
        <f t="shared" si="22"/>
        <v>0</v>
      </c>
      <c r="JH16" s="835">
        <f t="shared" si="22"/>
        <v>1270888.6609999998</v>
      </c>
      <c r="JI16" s="835">
        <f t="shared" si="18"/>
        <v>666057995.32099998</v>
      </c>
      <c r="JJ16" s="844">
        <f>'FY-09, FEB-09 - JAN-10, w TANs'!IT16</f>
        <v>0</v>
      </c>
      <c r="JK16" s="835">
        <f>'FY-09, FEB-09 - JAN-10, w TANs'!IU16</f>
        <v>554755068.79999983</v>
      </c>
    </row>
    <row r="17" spans="1:271" s="438" customFormat="1" ht="14.1" customHeight="1">
      <c r="A17" s="406" t="s">
        <v>30</v>
      </c>
      <c r="B17" s="406"/>
      <c r="C17" s="436">
        <v>5572.45</v>
      </c>
      <c r="D17" s="406">
        <v>40.5</v>
      </c>
      <c r="E17" s="406"/>
      <c r="F17" s="406"/>
      <c r="G17" s="406"/>
      <c r="H17" s="406"/>
      <c r="I17" s="406"/>
      <c r="J17" s="406">
        <v>924.9</v>
      </c>
      <c r="K17" s="406">
        <v>790</v>
      </c>
      <c r="L17" s="406"/>
      <c r="M17" s="406"/>
      <c r="N17" s="436"/>
      <c r="O17" s="406">
        <v>46175.24</v>
      </c>
      <c r="P17" s="406">
        <f>510567.51+2886.5</f>
        <v>513454.01</v>
      </c>
      <c r="Q17" s="406">
        <v>122.56</v>
      </c>
      <c r="R17" s="406">
        <v>1557.6</v>
      </c>
      <c r="S17" s="406">
        <v>1404.85</v>
      </c>
      <c r="T17" s="437">
        <v>1211.5999999999999</v>
      </c>
      <c r="U17" s="406"/>
      <c r="V17" s="406">
        <v>446459.99</v>
      </c>
      <c r="W17" s="406">
        <v>395</v>
      </c>
      <c r="X17" s="406">
        <v>1625</v>
      </c>
      <c r="Y17" s="406">
        <f>85304.46+684</f>
        <v>85988.46</v>
      </c>
      <c r="Z17" s="406">
        <v>5430.3</v>
      </c>
      <c r="AA17" s="406">
        <f>446722.13+133.67</f>
        <v>446855.8</v>
      </c>
      <c r="AB17" s="406">
        <v>532</v>
      </c>
      <c r="AC17" s="406">
        <v>8466.7199999999993</v>
      </c>
      <c r="AD17" s="406">
        <f>244.71+1807.84</f>
        <v>2052.5499999999997</v>
      </c>
      <c r="AE17" s="406"/>
      <c r="AF17" s="406">
        <f>568.71+408.93</f>
        <v>977.6400000000001</v>
      </c>
      <c r="AG17" s="436"/>
      <c r="AH17" s="406">
        <v>287.33999999999997</v>
      </c>
      <c r="AI17" s="406">
        <v>760</v>
      </c>
      <c r="AJ17" s="406">
        <v>1501</v>
      </c>
      <c r="AK17" s="406"/>
      <c r="AL17" s="406"/>
      <c r="AM17" s="406"/>
      <c r="AN17" s="406">
        <v>5.88</v>
      </c>
      <c r="AO17" s="572">
        <v>465.7</v>
      </c>
      <c r="AP17" s="406">
        <v>1391</v>
      </c>
      <c r="AQ17" s="406">
        <v>238.98</v>
      </c>
      <c r="AR17" s="406">
        <v>1423</v>
      </c>
      <c r="AS17" s="406">
        <v>266.16000000000003</v>
      </c>
      <c r="AT17" s="406">
        <f>95+1051.2</f>
        <v>1146.2</v>
      </c>
      <c r="AU17" s="406"/>
      <c r="AV17" s="406"/>
      <c r="AW17" s="406">
        <v>693</v>
      </c>
      <c r="AX17" s="406">
        <f>33129+738.46</f>
        <v>33867.46</v>
      </c>
      <c r="AY17" s="406">
        <v>528820.88</v>
      </c>
      <c r="AZ17" s="406">
        <v>573.25</v>
      </c>
      <c r="BA17" s="406">
        <v>1493.06</v>
      </c>
      <c r="BB17" s="406">
        <f>5088.23+981</f>
        <v>6069.23</v>
      </c>
      <c r="BC17" s="406"/>
      <c r="BD17" s="436">
        <f>3268+91.52</f>
        <v>3359.52</v>
      </c>
      <c r="BE17" s="406">
        <f>948.17+3623.97</f>
        <v>4572.1399999999994</v>
      </c>
      <c r="BF17" s="406">
        <f>5076.03+182.53</f>
        <v>5258.5599999999995</v>
      </c>
      <c r="BG17" s="406">
        <f>811.6+450</f>
        <v>1261.5999999999999</v>
      </c>
      <c r="BH17" s="406">
        <v>1047.6600000000001</v>
      </c>
      <c r="BI17" s="406">
        <v>132.69999999999999</v>
      </c>
      <c r="BJ17" s="406">
        <v>198.23</v>
      </c>
      <c r="BK17" s="406">
        <v>4538.26</v>
      </c>
      <c r="BL17" s="406">
        <f>3505.61+2500.4</f>
        <v>6006.01</v>
      </c>
      <c r="BM17" s="406">
        <v>1720</v>
      </c>
      <c r="BN17" s="406">
        <v>299</v>
      </c>
      <c r="BO17" s="406">
        <v>649</v>
      </c>
      <c r="BP17" s="406">
        <v>2834.97</v>
      </c>
      <c r="BQ17" s="406">
        <v>4302.47</v>
      </c>
      <c r="BR17" s="406">
        <v>1135.72</v>
      </c>
      <c r="BS17" s="406"/>
      <c r="BT17" s="406">
        <f>2735.91+1536.03</f>
        <v>4271.9399999999996</v>
      </c>
      <c r="BU17" s="406">
        <v>308</v>
      </c>
      <c r="BV17" s="406">
        <v>534.09</v>
      </c>
      <c r="BW17" s="406"/>
      <c r="BX17" s="436"/>
      <c r="BY17" s="406">
        <v>1064</v>
      </c>
      <c r="BZ17" s="406">
        <f>818284.79+162.28</f>
        <v>818447.07000000007</v>
      </c>
      <c r="CA17" s="406">
        <v>995.52</v>
      </c>
      <c r="CB17" s="406">
        <v>798.43</v>
      </c>
      <c r="CC17" s="406">
        <v>450</v>
      </c>
      <c r="CD17" s="406">
        <f>3942.83+649</f>
        <v>4591.83</v>
      </c>
      <c r="CE17" s="406">
        <v>1020.15</v>
      </c>
      <c r="CF17" s="406">
        <v>12513</v>
      </c>
      <c r="CG17" s="406">
        <v>363</v>
      </c>
      <c r="CH17" s="406">
        <f>175.97+3547</f>
        <v>3722.97</v>
      </c>
      <c r="CI17" s="406">
        <v>649</v>
      </c>
      <c r="CJ17" s="406">
        <v>900</v>
      </c>
      <c r="CK17" s="406"/>
      <c r="CL17" s="406">
        <v>355</v>
      </c>
      <c r="CM17" s="406"/>
      <c r="CN17" s="406"/>
      <c r="CO17" s="406">
        <v>2025</v>
      </c>
      <c r="CP17" s="406">
        <v>2932</v>
      </c>
      <c r="CQ17" s="406">
        <v>902536.2</v>
      </c>
      <c r="CR17" s="406">
        <f>7838.85+766.4</f>
        <v>8605.25</v>
      </c>
      <c r="CS17" s="406">
        <v>11215.86</v>
      </c>
      <c r="CT17" s="436">
        <v>56.3</v>
      </c>
      <c r="CU17" s="406">
        <v>750</v>
      </c>
      <c r="CV17" s="406">
        <f>327.75+23030.43</f>
        <v>23358.18</v>
      </c>
      <c r="CW17" s="406">
        <v>762.71</v>
      </c>
      <c r="CX17" s="406">
        <v>1075.55</v>
      </c>
      <c r="CY17" s="406">
        <v>6962.04</v>
      </c>
      <c r="CZ17" s="406">
        <f>216.92+649</f>
        <v>865.92</v>
      </c>
      <c r="DA17" s="406">
        <v>450</v>
      </c>
      <c r="DB17" s="406"/>
      <c r="DC17" s="406"/>
      <c r="DD17" s="406"/>
      <c r="DE17" s="406">
        <v>1863</v>
      </c>
      <c r="DF17" s="406"/>
      <c r="DG17" s="406"/>
      <c r="DH17" s="406"/>
      <c r="DI17" s="406"/>
      <c r="DJ17" s="406"/>
      <c r="DK17" s="406"/>
      <c r="DL17" s="406">
        <f>+'FY-10, FEB-10 - JAN-11'!DL17</f>
        <v>1124.8900000000001</v>
      </c>
      <c r="DM17" s="406">
        <f>+'FY-10, FEB-10 - JAN-11'!DM17</f>
        <v>0</v>
      </c>
      <c r="DN17" s="406">
        <f>+'FY-10, FEB-10 - JAN-11'!DN17</f>
        <v>0</v>
      </c>
      <c r="DO17" s="436">
        <f>+'FY-10, FEB-10 - JAN-11'!DO17</f>
        <v>25023.88</v>
      </c>
      <c r="DP17" s="406">
        <f>+'FY-10, FEB-10 - JAN-11'!DP17</f>
        <v>707.88</v>
      </c>
      <c r="DQ17" s="406">
        <f>+'FY-10, FEB-10 - JAN-11'!DQ17</f>
        <v>27334.54</v>
      </c>
      <c r="DR17" s="406">
        <f>+'FY-10, FEB-10 - JAN-11'!DR17</f>
        <v>258.32</v>
      </c>
      <c r="DS17" s="406">
        <f>+'FY-10, FEB-10 - JAN-11'!DS17</f>
        <v>7558.99</v>
      </c>
      <c r="DT17" s="406">
        <f>+'FY-10, FEB-10 - JAN-11'!DT17</f>
        <v>1884.27</v>
      </c>
      <c r="DU17" s="406">
        <f>+'FY-10, FEB-10 - JAN-11'!DU17</f>
        <v>1710.63</v>
      </c>
      <c r="DV17" s="406">
        <f>+'FY-10, FEB-10 - JAN-11'!DV17</f>
        <v>699.74</v>
      </c>
      <c r="DW17" s="406">
        <f>+'FY-10, FEB-10 - JAN-11'!DW17</f>
        <v>1714.34</v>
      </c>
      <c r="DX17" s="406">
        <f>+'FY-10, FEB-10 - JAN-11'!DX17</f>
        <v>0</v>
      </c>
      <c r="DY17" s="406">
        <f>+'FY-10, FEB-10 - JAN-11'!DY17</f>
        <v>849755.43</v>
      </c>
      <c r="DZ17" s="406">
        <f>+'FY-10, FEB-10 - JAN-11'!DZ17</f>
        <v>39052.51</v>
      </c>
      <c r="EA17" s="406">
        <f>+'FY-10, FEB-10 - JAN-11'!EA17</f>
        <v>0</v>
      </c>
      <c r="EB17" s="406">
        <f>+'FY-10, FEB-10 - JAN-11'!EB17</f>
        <v>5250</v>
      </c>
      <c r="EC17" s="406">
        <f>+'FY-10, FEB-10 - JAN-11'!EC17</f>
        <v>0</v>
      </c>
      <c r="ED17" s="406">
        <f>+'FY-10, FEB-10 - JAN-11'!ED17</f>
        <v>12362.9</v>
      </c>
      <c r="EE17" s="406">
        <f>+'FY-10, FEB-10 - JAN-11'!EE17</f>
        <v>0</v>
      </c>
      <c r="EF17" s="406">
        <f>+'FY-10, FEB-10 - JAN-11'!EF17</f>
        <v>0</v>
      </c>
      <c r="EG17" s="406">
        <f>+'FY-10, FEB-10 - JAN-11'!EG17</f>
        <v>347.11</v>
      </c>
      <c r="EH17" s="406">
        <f>+'FY-10, FEB-10 - JAN-11'!EH17</f>
        <v>0</v>
      </c>
      <c r="EI17" s="406">
        <f>+'FY-10, FEB-10 - JAN-11'!EI17</f>
        <v>1166.6600000000001</v>
      </c>
      <c r="EJ17" s="436">
        <f>+'FY-10, FEB-10 - JAN-11'!EJ17</f>
        <v>12362.9</v>
      </c>
      <c r="EK17" s="406">
        <f>+'FY-10, FEB-10 - JAN-11'!EK17</f>
        <v>3120.01</v>
      </c>
      <c r="EL17" s="406">
        <f>+'FY-10, FEB-10 - JAN-11'!EL17</f>
        <v>0</v>
      </c>
      <c r="EM17" s="406">
        <f>+'FY-10, FEB-10 - JAN-11'!EM17</f>
        <v>0</v>
      </c>
      <c r="EN17" s="406">
        <f>+'FY-10, FEB-10 - JAN-11'!EN17</f>
        <v>0</v>
      </c>
      <c r="EO17" s="406">
        <f>+'FY-10, FEB-10 - JAN-11'!EO17</f>
        <v>3306.4700000000003</v>
      </c>
      <c r="EP17" s="406">
        <f>+'FY-10, FEB-10 - JAN-11'!EP17</f>
        <v>81458.149999999994</v>
      </c>
      <c r="EQ17" s="406">
        <f>+'FY-10, FEB-10 - JAN-11'!EQ17</f>
        <v>650000</v>
      </c>
      <c r="ER17" s="406">
        <f>+'FY-10, FEB-10 - JAN-11'!ER17</f>
        <v>235</v>
      </c>
      <c r="ES17" s="406">
        <f>+'FY-10, FEB-10 - JAN-11'!ES17</f>
        <v>0</v>
      </c>
      <c r="ET17" s="406">
        <f>+'FY-10, FEB-10 - JAN-11'!ET17</f>
        <v>0</v>
      </c>
      <c r="EU17" s="406">
        <f>+'FY-10, FEB-10 - JAN-11'!EU17</f>
        <v>0</v>
      </c>
      <c r="EV17" s="406">
        <f>+'FY-10, FEB-10 - JAN-11'!EV17</f>
        <v>0</v>
      </c>
      <c r="EW17" s="406">
        <f>+'FY-10, FEB-10 - JAN-11'!EW17</f>
        <v>2759.79</v>
      </c>
      <c r="EX17" s="406">
        <f>+'FY-10, FEB-10 - JAN-11'!EX17</f>
        <v>18178.29</v>
      </c>
      <c r="EY17" s="406">
        <f>+'FY-10, FEB-10 - JAN-11'!EY17</f>
        <v>216</v>
      </c>
      <c r="EZ17" s="406">
        <f>+'FY-10, FEB-10 - JAN-11'!EZ17</f>
        <v>148.72</v>
      </c>
      <c r="FA17" s="406">
        <f>+'FY-10, FEB-10 - JAN-11'!FA17</f>
        <v>640</v>
      </c>
      <c r="FB17" s="406">
        <f>+'FY-10, FEB-10 - JAN-11'!FB17</f>
        <v>1174.02</v>
      </c>
      <c r="FC17" s="406">
        <f>+'FY-10, FEB-10 - JAN-11'!FC17</f>
        <v>204</v>
      </c>
      <c r="FD17" s="406">
        <f>+'FY-10, FEB-10 - JAN-11'!FD17</f>
        <v>845</v>
      </c>
      <c r="FE17" s="406">
        <f>+'FY-10, FEB-10 - JAN-11'!FE17</f>
        <v>0</v>
      </c>
      <c r="FF17" s="436">
        <f>+'FY-10, FEB-10 - JAN-11'!FF17</f>
        <v>227450.96</v>
      </c>
      <c r="FG17" s="406">
        <f>+'FY-10, FEB-10 - JAN-11'!FG17</f>
        <v>12000</v>
      </c>
      <c r="FH17" s="406">
        <f>+'FY-10, FEB-10 - JAN-11'!FH17</f>
        <v>698.23</v>
      </c>
      <c r="FI17" s="406">
        <f>+'FY-10, FEB-10 - JAN-11'!FI17</f>
        <v>305</v>
      </c>
      <c r="FJ17" s="406">
        <f>+'FY-10, FEB-10 - JAN-11'!FJ17</f>
        <v>1602.9</v>
      </c>
      <c r="FK17" s="406">
        <f>+'FY-10, FEB-10 - JAN-11'!FK17</f>
        <v>4760.38</v>
      </c>
      <c r="FL17" s="406">
        <f>+'FY-10, FEB-10 - JAN-11'!FL17</f>
        <v>0</v>
      </c>
      <c r="FM17" s="406">
        <f>+'FY-10, FEB-10 - JAN-11'!FM17</f>
        <v>189.69</v>
      </c>
      <c r="FN17" s="406">
        <f>+'FY-10, FEB-10 - JAN-11'!FN17</f>
        <v>1305</v>
      </c>
      <c r="FO17" s="406">
        <f>+'FY-10, FEB-10 - JAN-11'!FO17</f>
        <v>1292.4000000000001</v>
      </c>
      <c r="FP17" s="406">
        <f>+'FY-10, FEB-10 - JAN-11'!FP17</f>
        <v>1128.8</v>
      </c>
      <c r="FQ17" s="406">
        <f>+'FY-10, FEB-10 - JAN-11'!FQ17</f>
        <v>2811.84</v>
      </c>
      <c r="FR17" s="406">
        <f>+'FY-10, FEB-10 - JAN-11'!FR17</f>
        <v>12</v>
      </c>
      <c r="FS17" s="406">
        <f>+'FY-10, FEB-10 - JAN-11'!FS17</f>
        <v>686.91000000000008</v>
      </c>
      <c r="FT17" s="406">
        <f>+'FY-10, FEB-10 - JAN-11'!FT17</f>
        <v>349.1</v>
      </c>
      <c r="FU17" s="406">
        <f>+'FY-10, FEB-10 - JAN-11'!FU17</f>
        <v>228.99</v>
      </c>
      <c r="FV17" s="406">
        <f>+'FY-10, FEB-10 - JAN-11'!FV17</f>
        <v>85</v>
      </c>
      <c r="FW17" s="406">
        <f>+'FY-10, FEB-10 - JAN-11'!FW17</f>
        <v>0</v>
      </c>
      <c r="FX17" s="406">
        <f>+'FY-10, FEB-10 - JAN-11'!FX17</f>
        <v>161430</v>
      </c>
      <c r="FY17" s="406">
        <f>+'FY-10, FEB-10 - JAN-11'!FY17</f>
        <v>3092.2</v>
      </c>
      <c r="FZ17" s="436">
        <f>+'FY-10, FEB-10 - JAN-11'!FZ17</f>
        <v>792.3</v>
      </c>
      <c r="GA17" s="406">
        <f>+'FY-10, FEB-10 - JAN-11'!GA17</f>
        <v>0</v>
      </c>
      <c r="GB17" s="406">
        <f>+'FY-10, FEB-10 - JAN-11'!GB17</f>
        <v>1437.95</v>
      </c>
      <c r="GC17" s="406">
        <f>+'FY-10, FEB-10 - JAN-11'!GC17</f>
        <v>387.64</v>
      </c>
      <c r="GD17" s="406">
        <f>+'FY-10, FEB-10 - JAN-11'!GD17</f>
        <v>870.5</v>
      </c>
      <c r="GE17" s="406">
        <f>+'FY-10, FEB-10 - JAN-11'!GE17</f>
        <v>5918.48</v>
      </c>
      <c r="GF17" s="406">
        <f>+'FY-10, FEB-10 - JAN-11'!GF17</f>
        <v>1529</v>
      </c>
      <c r="GG17" s="406">
        <f>+'FY-10, FEB-10 - JAN-11'!GG17</f>
        <v>367377.91</v>
      </c>
      <c r="GH17" s="406">
        <f>+'FY-10, FEB-10 - JAN-11'!GH17</f>
        <v>552.36</v>
      </c>
      <c r="GI17" s="406">
        <f>+'FY-10, FEB-10 - JAN-11'!GI17</f>
        <v>1163.08</v>
      </c>
      <c r="GJ17" s="406">
        <f>+'FY-10, FEB-10 - JAN-11'!GJ17</f>
        <v>530</v>
      </c>
      <c r="GK17" s="406">
        <f>+'FY-10, FEB-10 - JAN-11'!GK17</f>
        <v>1105</v>
      </c>
      <c r="GL17" s="406">
        <f>+'FY-10, FEB-10 - JAN-11'!GL17</f>
        <v>70</v>
      </c>
      <c r="GM17" s="406">
        <f>+'FY-10, FEB-10 - JAN-11'!GM17</f>
        <v>1724.42</v>
      </c>
      <c r="GN17" s="406">
        <f>+'FY-10, FEB-10 - JAN-11'!GN17</f>
        <v>3958.52</v>
      </c>
      <c r="GO17" s="406">
        <f>+'FY-10, FEB-10 - JAN-11'!GO17</f>
        <v>6115</v>
      </c>
      <c r="GP17" s="406">
        <f>+'FY-10, FEB-10 - JAN-11'!GP17</f>
        <v>2423.12</v>
      </c>
      <c r="GQ17" s="406">
        <f>+'FY-10, FEB-10 - JAN-11'!GQ17</f>
        <v>4363579.71</v>
      </c>
      <c r="GR17" s="406">
        <f>+'FY-10, FEB-10 - JAN-11'!GR17</f>
        <v>2105.5500000000002</v>
      </c>
      <c r="GS17" s="406">
        <f>+'FY-10, FEB-10 - JAN-11'!GS17</f>
        <v>272.73</v>
      </c>
      <c r="GT17" s="406">
        <f>+'FY-10, FEB-10 - JAN-11'!GT17</f>
        <v>3971.52</v>
      </c>
      <c r="GU17" s="436">
        <f>+'FY-10, FEB-10 - JAN-11'!GU17</f>
        <v>0</v>
      </c>
      <c r="GV17" s="406">
        <f>+'FY-10, FEB-10 - JAN-11'!GV17</f>
        <v>1077.55</v>
      </c>
      <c r="GW17" s="406">
        <f>+'FY-10, FEB-10 - JAN-11'!GW17</f>
        <v>979.35</v>
      </c>
      <c r="GX17" s="406">
        <f>+'FY-10, FEB-10 - JAN-11'!GX17</f>
        <v>359320.83999999997</v>
      </c>
      <c r="GY17" s="406">
        <f>+'FY-10, FEB-10 - JAN-11'!GY17</f>
        <v>159706.29999999999</v>
      </c>
      <c r="GZ17" s="406">
        <f>+'FY-10, FEB-10 - JAN-11'!GZ17</f>
        <v>125</v>
      </c>
      <c r="HA17" s="406">
        <f>+'FY-10, FEB-10 - JAN-11'!HA17</f>
        <v>116.3</v>
      </c>
      <c r="HB17" s="406">
        <f>+'FY-10, FEB-10 - JAN-11'!HB17</f>
        <v>414.83</v>
      </c>
      <c r="HC17" s="406">
        <f>+'FY-10, FEB-10 - JAN-11'!HC17</f>
        <v>0</v>
      </c>
      <c r="HD17" s="406">
        <f>+'FY-10, FEB-10 - JAN-11'!HD17</f>
        <v>0</v>
      </c>
      <c r="HE17" s="406">
        <f>+'FY-10, FEB-10 - JAN-11'!HE17</f>
        <v>0</v>
      </c>
      <c r="HF17" s="406">
        <f>+'FY-10, FEB-10 - JAN-11'!HF17</f>
        <v>28.66</v>
      </c>
      <c r="HG17" s="406">
        <f>+'FY-10, FEB-10 - JAN-11'!HG17</f>
        <v>4510.33</v>
      </c>
      <c r="HH17" s="406">
        <f>+'FY-10, FEB-10 - JAN-11'!HH17</f>
        <v>416.1</v>
      </c>
      <c r="HI17" s="406">
        <f>+'FY-10, FEB-10 - JAN-11'!HI17</f>
        <v>3258.82</v>
      </c>
      <c r="HJ17" s="406">
        <f>+'FY-10, FEB-10 - JAN-11'!HJ17</f>
        <v>969.28</v>
      </c>
      <c r="HK17" s="406">
        <f>+'FY-10, FEB-10 - JAN-11'!HK17</f>
        <v>1399.1</v>
      </c>
      <c r="HL17" s="406">
        <f>+'FY-10, FEB-10 - JAN-11'!HL17</f>
        <v>123643.4</v>
      </c>
      <c r="HM17" s="406">
        <f>+'FY-10, FEB-10 - JAN-11'!HM17</f>
        <v>37.5</v>
      </c>
      <c r="HN17" s="406">
        <f>+'FY-10, FEB-10 - JAN-11'!HN17</f>
        <v>1105.56</v>
      </c>
      <c r="HO17" s="406">
        <f>+'FY-10, FEB-10 - JAN-11'!HO17</f>
        <v>719.11</v>
      </c>
      <c r="HP17" s="436">
        <f>+'FY-10, FEB-10 - JAN-11'!HP17</f>
        <v>3869.84</v>
      </c>
      <c r="HQ17" s="406">
        <f>+'FY-10, FEB-10 - JAN-11'!HQ17</f>
        <v>492668.76</v>
      </c>
      <c r="HR17" s="406">
        <f>+'FY-10, FEB-10 - JAN-11'!HR17</f>
        <v>216.5</v>
      </c>
      <c r="HS17" s="406">
        <f>+'FY-10, FEB-10 - JAN-11'!HS17</f>
        <v>759.08</v>
      </c>
      <c r="HT17" s="406">
        <f>+'FY-10, FEB-10 - JAN-11'!HT17</f>
        <v>2360.35</v>
      </c>
      <c r="HU17" s="406">
        <f>+'FY-10, FEB-10 - JAN-11'!HU17</f>
        <v>1430.4</v>
      </c>
      <c r="HV17" s="406">
        <f>+'FY-10, FEB-10 - JAN-11'!HV17</f>
        <v>0</v>
      </c>
      <c r="HW17" s="406">
        <f>+'FY-10, FEB-10 - JAN-11'!HW17</f>
        <v>0</v>
      </c>
      <c r="HX17" s="406">
        <f>+'FY-10, FEB-10 - JAN-11'!HX17</f>
        <v>0</v>
      </c>
      <c r="HY17" s="406">
        <f>+'FY-10, FEB-10 - JAN-11'!HY17</f>
        <v>0</v>
      </c>
      <c r="HZ17" s="406">
        <f>+'FY-10, FEB-10 - JAN-11'!HZ17</f>
        <v>0</v>
      </c>
      <c r="IA17" s="406">
        <f>+'FY-10, FEB-10 - JAN-11'!IA17</f>
        <v>0</v>
      </c>
      <c r="IB17" s="406">
        <f>+'FY-10, FEB-10 - JAN-11'!IB17</f>
        <v>0</v>
      </c>
      <c r="IC17" s="406">
        <f>+'FY-10, FEB-10 - JAN-11'!IC17</f>
        <v>0</v>
      </c>
      <c r="ID17" s="406">
        <f>+'FY-10, FEB-10 - JAN-11'!ID17</f>
        <v>13500</v>
      </c>
      <c r="IE17" s="406">
        <f>+'FY-10, FEB-10 - JAN-11'!IE17</f>
        <v>1598.3200000000002</v>
      </c>
      <c r="IF17" s="406">
        <f>+'FY-10, FEB-10 - JAN-11'!IF17</f>
        <v>283.90999999999997</v>
      </c>
      <c r="IG17" s="406">
        <f>+'FY-10, FEB-10 - JAN-11'!IG17</f>
        <v>0</v>
      </c>
      <c r="IH17" s="406">
        <f>+'FY-10, FEB-10 - JAN-11'!IH17</f>
        <v>1307.6300000000001</v>
      </c>
      <c r="II17" s="406">
        <f>+'FY-10, FEB-10 - JAN-11'!II17</f>
        <v>0</v>
      </c>
      <c r="IJ17" s="406">
        <f>+'FY-10, FEB-10 - JAN-11'!IJ17</f>
        <v>945.56</v>
      </c>
      <c r="IK17" s="406">
        <f>+'FY-10, FEB-10 - JAN-11'!IK17</f>
        <v>122.8</v>
      </c>
      <c r="IL17" s="436">
        <f>+'FY-10, FEB-10 - JAN-11'!IL17</f>
        <v>0</v>
      </c>
      <c r="IM17" s="406">
        <f>+'FY-10, FEB-10 - JAN-11'!IM17</f>
        <v>66114.62</v>
      </c>
      <c r="IN17" s="406">
        <f>+'FY-10, FEB-10 - JAN-11'!IN17</f>
        <v>1127.19</v>
      </c>
      <c r="IO17" s="406">
        <f>+'FY-10, FEB-10 - JAN-11'!IO17</f>
        <v>17188.309999999998</v>
      </c>
      <c r="IP17" s="406">
        <f>+'FY-10, FEB-10 - JAN-11'!IP17</f>
        <v>578.48</v>
      </c>
      <c r="IQ17" s="406">
        <f>+'FY-10, FEB-10 - JAN-11'!IQ17</f>
        <v>0</v>
      </c>
      <c r="IR17" s="406">
        <f>+'FY-10, FEB-10 - JAN-11'!IR17</f>
        <v>6085.4100000000008</v>
      </c>
      <c r="IS17" s="406">
        <f>+'FY-10, FEB-10 - JAN-11'!IS17</f>
        <v>5634.36</v>
      </c>
      <c r="IT17" s="406">
        <f>+'FY-10, FEB-10 - JAN-11'!IT17</f>
        <v>2195</v>
      </c>
      <c r="IU17" s="406">
        <f>+'FY-10, FEB-10 - JAN-11'!IU17</f>
        <v>7840.5</v>
      </c>
      <c r="IV17" s="406">
        <f>+'FY-10, FEB-10 - JAN-11'!IV17</f>
        <v>5572.45</v>
      </c>
      <c r="IW17" s="682"/>
      <c r="IX17" s="406">
        <f t="shared" ref="IX17:IX18" si="23">+D17</f>
        <v>40.5</v>
      </c>
      <c r="IY17" s="406">
        <f t="shared" ref="IY17:IY18" si="24">+E17</f>
        <v>0</v>
      </c>
      <c r="IZ17" s="406">
        <f t="shared" ref="IZ17:IZ18" si="25">+F17</f>
        <v>0</v>
      </c>
      <c r="JA17" s="406">
        <f t="shared" ref="JA17:JA18" si="26">+G17</f>
        <v>0</v>
      </c>
      <c r="JB17" s="406">
        <f t="shared" ref="JB17:JB18" si="27">+H17</f>
        <v>0</v>
      </c>
      <c r="JC17" s="406">
        <f t="shared" ref="JC17:JC18" si="28">+I17</f>
        <v>0</v>
      </c>
      <c r="JD17" s="406">
        <f t="shared" ref="JD17:JD18" si="29">+J17</f>
        <v>924.9</v>
      </c>
      <c r="JE17" s="406">
        <f t="shared" ref="JE17:JE18" si="30">+K17</f>
        <v>790</v>
      </c>
      <c r="JF17" s="406">
        <f t="shared" ref="JF17:JF18" si="31">+L17</f>
        <v>0</v>
      </c>
      <c r="JG17" s="406">
        <f t="shared" ref="JG17:JG18" si="32">+M17</f>
        <v>0</v>
      </c>
      <c r="JH17" s="406">
        <f t="shared" ref="JH17:JH18" si="33">+N17</f>
        <v>0</v>
      </c>
      <c r="JI17" s="4">
        <f t="shared" si="18"/>
        <v>12222122.240000006</v>
      </c>
      <c r="JJ17" s="406">
        <f>'FY-09, FEB-09 - JAN-10, w TANs'!IT17</f>
        <v>0</v>
      </c>
      <c r="JK17" s="406">
        <f>'FY-09, FEB-09 - JAN-10, w TANs'!IU17</f>
        <v>0</v>
      </c>
    </row>
    <row r="18" spans="1:271" s="438" customFormat="1" ht="14.1" customHeight="1">
      <c r="A18" s="406" t="s">
        <v>37</v>
      </c>
      <c r="B18" s="406"/>
      <c r="C18" s="436">
        <v>31122.79</v>
      </c>
      <c r="D18" s="406">
        <v>2765.25</v>
      </c>
      <c r="E18" s="406">
        <v>2021.85</v>
      </c>
      <c r="F18" s="406">
        <v>24668.19</v>
      </c>
      <c r="G18" s="406">
        <v>704</v>
      </c>
      <c r="H18" s="406">
        <v>701.5</v>
      </c>
      <c r="I18" s="406">
        <v>35834.97</v>
      </c>
      <c r="J18" s="406">
        <v>767.4</v>
      </c>
      <c r="K18" s="406">
        <v>35529.800000000003</v>
      </c>
      <c r="L18" s="406">
        <v>34150.57</v>
      </c>
      <c r="M18" s="406">
        <v>30908.5</v>
      </c>
      <c r="N18" s="436">
        <v>28108.799999999999</v>
      </c>
      <c r="O18" s="406">
        <v>31730.87</v>
      </c>
      <c r="P18" s="406">
        <v>36037.89</v>
      </c>
      <c r="Q18" s="406">
        <v>33877.17</v>
      </c>
      <c r="R18" s="406">
        <v>64246.559999999998</v>
      </c>
      <c r="S18" s="406">
        <v>59270.34</v>
      </c>
      <c r="T18" s="406">
        <v>36630.339999999997</v>
      </c>
      <c r="U18" s="406">
        <v>31139.35</v>
      </c>
      <c r="V18" s="406">
        <v>35022.949999999997</v>
      </c>
      <c r="W18" s="406">
        <v>32467.4</v>
      </c>
      <c r="X18" s="406">
        <v>35170.58</v>
      </c>
      <c r="Y18" s="406">
        <v>29705.94</v>
      </c>
      <c r="Z18" s="406">
        <v>31037.55</v>
      </c>
      <c r="AA18" s="406">
        <v>34839.64</v>
      </c>
      <c r="AB18" s="406">
        <v>32237.51</v>
      </c>
      <c r="AC18" s="406">
        <v>34366.46</v>
      </c>
      <c r="AD18" s="406">
        <v>35981.800000000003</v>
      </c>
      <c r="AE18" s="406">
        <v>31053.64</v>
      </c>
      <c r="AF18" s="406">
        <v>266327.78000000003</v>
      </c>
      <c r="AG18" s="436"/>
      <c r="AH18" s="406">
        <v>888.1</v>
      </c>
      <c r="AI18" s="406">
        <v>253.15</v>
      </c>
      <c r="AJ18" s="406">
        <v>340.9</v>
      </c>
      <c r="AK18" s="406">
        <v>224</v>
      </c>
      <c r="AL18" s="406">
        <v>25143.05</v>
      </c>
      <c r="AM18" s="406">
        <v>33197.64</v>
      </c>
      <c r="AN18" s="406">
        <v>33314.39</v>
      </c>
      <c r="AO18" s="572">
        <v>32674.02</v>
      </c>
      <c r="AP18" s="406">
        <v>34983.97</v>
      </c>
      <c r="AQ18" s="406">
        <v>28233.66</v>
      </c>
      <c r="AR18" s="406">
        <v>36183.040000000001</v>
      </c>
      <c r="AS18" s="406">
        <v>60252.26</v>
      </c>
      <c r="AT18" s="406">
        <v>33373.89</v>
      </c>
      <c r="AU18" s="406">
        <v>31409.25</v>
      </c>
      <c r="AV18" s="406">
        <v>34351.089999999997</v>
      </c>
      <c r="AW18" s="406">
        <v>31535.23</v>
      </c>
      <c r="AX18" s="406">
        <v>29215.85</v>
      </c>
      <c r="AY18" s="406">
        <v>29524.35</v>
      </c>
      <c r="AZ18" s="406">
        <v>31996.12</v>
      </c>
      <c r="BA18" s="406">
        <v>28158.62</v>
      </c>
      <c r="BB18" s="406">
        <v>32687.439999999999</v>
      </c>
      <c r="BC18" s="406">
        <v>30156.53</v>
      </c>
      <c r="BD18" s="436">
        <v>32113.46</v>
      </c>
      <c r="BE18" s="406">
        <v>30923.18</v>
      </c>
      <c r="BF18" s="406">
        <v>34524.94</v>
      </c>
      <c r="BG18" s="406">
        <v>35439.26</v>
      </c>
      <c r="BH18" s="406">
        <v>32404.35</v>
      </c>
      <c r="BI18" s="406">
        <v>58558.01</v>
      </c>
      <c r="BJ18" s="406">
        <v>33732.639999999999</v>
      </c>
      <c r="BK18" s="406">
        <v>27284.74</v>
      </c>
      <c r="BL18" s="406">
        <v>279160.43</v>
      </c>
      <c r="BM18" s="406">
        <v>27288.03</v>
      </c>
      <c r="BN18" s="406">
        <v>22697.97</v>
      </c>
      <c r="BO18" s="406">
        <v>23350.84</v>
      </c>
      <c r="BP18" s="406">
        <v>26252.12</v>
      </c>
      <c r="BQ18" s="406">
        <v>33023.11</v>
      </c>
      <c r="BR18" s="406">
        <v>30791.439999999999</v>
      </c>
      <c r="BS18" s="406">
        <v>29891.33</v>
      </c>
      <c r="BT18" s="406">
        <v>29061.42</v>
      </c>
      <c r="BU18" s="406">
        <v>25946.25</v>
      </c>
      <c r="BV18" s="406">
        <v>34512.53</v>
      </c>
      <c r="BW18" s="406">
        <v>31376.34</v>
      </c>
      <c r="BX18" s="436">
        <v>207586.12</v>
      </c>
      <c r="BY18" s="406">
        <v>27670.6</v>
      </c>
      <c r="BZ18" s="406">
        <v>30107.13</v>
      </c>
      <c r="CA18" s="406">
        <v>44919.44</v>
      </c>
      <c r="CB18" s="406">
        <v>28578.32</v>
      </c>
      <c r="CC18" s="406">
        <v>29476.7</v>
      </c>
      <c r="CD18" s="406">
        <v>24328.7</v>
      </c>
      <c r="CE18" s="406">
        <v>25939.53</v>
      </c>
      <c r="CF18" s="406">
        <v>30157.57</v>
      </c>
      <c r="CG18" s="406">
        <v>20621.57</v>
      </c>
      <c r="CH18" s="406">
        <v>51462.55</v>
      </c>
      <c r="CI18" s="406">
        <v>11174.44</v>
      </c>
      <c r="CJ18" s="406">
        <v>153839.54</v>
      </c>
      <c r="CK18" s="406">
        <v>13953.01</v>
      </c>
      <c r="CL18" s="406">
        <v>181672.95</v>
      </c>
      <c r="CM18" s="406">
        <v>535.20000000000005</v>
      </c>
      <c r="CN18" s="406">
        <v>230564.21</v>
      </c>
      <c r="CO18" s="406"/>
      <c r="CP18" s="406">
        <v>9091.0499999999993</v>
      </c>
      <c r="CQ18" s="406">
        <v>12</v>
      </c>
      <c r="CR18" s="406">
        <v>59.35</v>
      </c>
      <c r="CS18" s="406">
        <v>95.95</v>
      </c>
      <c r="CT18" s="436">
        <v>28.34</v>
      </c>
      <c r="CU18" s="406">
        <v>1691.95</v>
      </c>
      <c r="CV18" s="406"/>
      <c r="CW18" s="406"/>
      <c r="CX18" s="406"/>
      <c r="CY18" s="406">
        <v>699.61</v>
      </c>
      <c r="CZ18" s="406">
        <v>1087.4100000000001</v>
      </c>
      <c r="DA18" s="406">
        <v>789.55</v>
      </c>
      <c r="DB18" s="406"/>
      <c r="DC18" s="406"/>
      <c r="DD18" s="406"/>
      <c r="DE18" s="406">
        <v>907.85</v>
      </c>
      <c r="DF18" s="406"/>
      <c r="DG18" s="406"/>
      <c r="DH18" s="406"/>
      <c r="DI18" s="406">
        <v>1256.6099999999999</v>
      </c>
      <c r="DJ18" s="406">
        <f>30.25-1287</f>
        <v>-1256.75</v>
      </c>
      <c r="DK18" s="406"/>
      <c r="DL18" s="406">
        <f>+'FY-10, FEB-10 - JAN-11'!DL18</f>
        <v>0</v>
      </c>
      <c r="DM18" s="406">
        <f>+'FY-10, FEB-10 - JAN-11'!DM18</f>
        <v>135033.32999999999</v>
      </c>
      <c r="DN18" s="406">
        <f>+'FY-10, FEB-10 - JAN-11'!DN18</f>
        <v>4662.5</v>
      </c>
      <c r="DO18" s="436">
        <f>+'FY-10, FEB-10 - JAN-11'!DO18</f>
        <v>-1402.39</v>
      </c>
      <c r="DP18" s="406">
        <f>+'FY-10, FEB-10 - JAN-11'!DP18</f>
        <v>0</v>
      </c>
      <c r="DQ18" s="406">
        <f>+'FY-10, FEB-10 - JAN-11'!DQ18</f>
        <v>0</v>
      </c>
      <c r="DR18" s="406">
        <f>+'FY-10, FEB-10 - JAN-11'!DR18</f>
        <v>0</v>
      </c>
      <c r="DS18" s="406">
        <f>+'FY-10, FEB-10 - JAN-11'!DS18</f>
        <v>0</v>
      </c>
      <c r="DT18" s="406">
        <f>+'FY-10, FEB-10 - JAN-11'!DT18</f>
        <v>2676.65</v>
      </c>
      <c r="DU18" s="406">
        <f>+'FY-10, FEB-10 - JAN-11'!DU18</f>
        <v>0</v>
      </c>
      <c r="DV18" s="406">
        <f>+'FY-10, FEB-10 - JAN-11'!DV18</f>
        <v>0</v>
      </c>
      <c r="DW18" s="406">
        <f>+'FY-10, FEB-10 - JAN-11'!DW18</f>
        <v>200</v>
      </c>
      <c r="DX18" s="406">
        <f>+'FY-10, FEB-10 - JAN-11'!DX18</f>
        <v>0</v>
      </c>
      <c r="DY18" s="406">
        <f>+'FY-10, FEB-10 - JAN-11'!DY18</f>
        <v>2401.1</v>
      </c>
      <c r="DZ18" s="406">
        <f>+'FY-10, FEB-10 - JAN-11'!DZ18</f>
        <v>0</v>
      </c>
      <c r="EA18" s="406">
        <f>+'FY-10, FEB-10 - JAN-11'!EA18</f>
        <v>29.75</v>
      </c>
      <c r="EB18" s="406">
        <f>+'FY-10, FEB-10 - JAN-11'!EB18</f>
        <v>20</v>
      </c>
      <c r="EC18" s="406">
        <f>+'FY-10, FEB-10 - JAN-11'!EC18</f>
        <v>467.85</v>
      </c>
      <c r="ED18" s="406">
        <f>+'FY-10, FEB-10 - JAN-11'!ED18</f>
        <v>80</v>
      </c>
      <c r="EE18" s="406">
        <f>+'FY-10, FEB-10 - JAN-11'!EE18</f>
        <v>225</v>
      </c>
      <c r="EF18" s="406">
        <f>+'FY-10, FEB-10 - JAN-11'!EF18</f>
        <v>102</v>
      </c>
      <c r="EG18" s="406">
        <f>+'FY-10, FEB-10 - JAN-11'!EG18</f>
        <v>171.4</v>
      </c>
      <c r="EH18" s="406">
        <f>+'FY-10, FEB-10 - JAN-11'!EH18</f>
        <v>283.51</v>
      </c>
      <c r="EI18" s="406">
        <f>+'FY-10, FEB-10 - JAN-11'!EI18</f>
        <v>245.55</v>
      </c>
      <c r="EJ18" s="436">
        <f>+'FY-10, FEB-10 - JAN-11'!EJ18</f>
        <v>104279.98</v>
      </c>
      <c r="EK18" s="406">
        <f>+'FY-10, FEB-10 - JAN-11'!EK18</f>
        <v>0</v>
      </c>
      <c r="EL18" s="406">
        <f>+'FY-10, FEB-10 - JAN-11'!EL18</f>
        <v>842.25</v>
      </c>
      <c r="EM18" s="406">
        <f>+'FY-10, FEB-10 - JAN-11'!EM18</f>
        <v>628.6</v>
      </c>
      <c r="EN18" s="406">
        <f>+'FY-10, FEB-10 - JAN-11'!EN18</f>
        <v>522</v>
      </c>
      <c r="EO18" s="406">
        <f>+'FY-10, FEB-10 - JAN-11'!EO18</f>
        <v>464.5</v>
      </c>
      <c r="EP18" s="406">
        <f>+'FY-10, FEB-10 - JAN-11'!EP18</f>
        <v>448</v>
      </c>
      <c r="EQ18" s="406">
        <f>+'FY-10, FEB-10 - JAN-11'!EQ18</f>
        <v>5360.83</v>
      </c>
      <c r="ER18" s="406">
        <f>+'FY-10, FEB-10 - JAN-11'!ER18</f>
        <v>27320.75</v>
      </c>
      <c r="ES18" s="406">
        <f>+'FY-10, FEB-10 - JAN-11'!ES18</f>
        <v>77886.77</v>
      </c>
      <c r="ET18" s="406">
        <f>+'FY-10, FEB-10 - JAN-11'!ET18</f>
        <v>37010.33</v>
      </c>
      <c r="EU18" s="406">
        <f>+'FY-10, FEB-10 - JAN-11'!EU18</f>
        <v>39091.71</v>
      </c>
      <c r="EV18" s="406">
        <f>+'FY-10, FEB-10 - JAN-11'!EV18</f>
        <v>37258.629999999997</v>
      </c>
      <c r="EW18" s="406">
        <f>+'FY-10, FEB-10 - JAN-11'!EW18</f>
        <v>42004.27</v>
      </c>
      <c r="EX18" s="406">
        <f>+'FY-10, FEB-10 - JAN-11'!EX18</f>
        <v>34565.83</v>
      </c>
      <c r="EY18" s="406">
        <f>+'FY-10, FEB-10 - JAN-11'!EY18</f>
        <v>40526.269999999997</v>
      </c>
      <c r="EZ18" s="406">
        <f>+'FY-10, FEB-10 - JAN-11'!EZ18</f>
        <v>40113.949999999997</v>
      </c>
      <c r="FA18" s="406">
        <f>+'FY-10, FEB-10 - JAN-11'!FA18</f>
        <v>38165.03</v>
      </c>
      <c r="FB18" s="406">
        <f>+'FY-10, FEB-10 - JAN-11'!FB18</f>
        <v>40994.26</v>
      </c>
      <c r="FC18" s="406">
        <f>+'FY-10, FEB-10 - JAN-11'!FC18</f>
        <v>38257.949999999997</v>
      </c>
      <c r="FD18" s="406">
        <f>+'FY-10, FEB-10 - JAN-11'!FD18</f>
        <v>35767.26</v>
      </c>
      <c r="FE18" s="406">
        <f>+'FY-10, FEB-10 - JAN-11'!FE18</f>
        <v>37398.870000000003</v>
      </c>
      <c r="FF18" s="436">
        <f>+'FY-10, FEB-10 - JAN-11'!FF18</f>
        <v>39363.22</v>
      </c>
      <c r="FG18" s="406">
        <f>+'FY-10, FEB-10 - JAN-11'!FG18</f>
        <v>36886.07</v>
      </c>
      <c r="FH18" s="406">
        <f>+'FY-10, FEB-10 - JAN-11'!FH18</f>
        <v>37654.61</v>
      </c>
      <c r="FI18" s="406">
        <f>+'FY-10, FEB-10 - JAN-11'!FI18</f>
        <v>37047.440000000002</v>
      </c>
      <c r="FJ18" s="406">
        <f>+'FY-10, FEB-10 - JAN-11'!FJ18</f>
        <v>40896.1</v>
      </c>
      <c r="FK18" s="406">
        <f>+'FY-10, FEB-10 - JAN-11'!FK18</f>
        <v>39393.85</v>
      </c>
      <c r="FL18" s="406">
        <f>+'FY-10, FEB-10 - JAN-11'!FL18</f>
        <v>33903.31</v>
      </c>
      <c r="FM18" s="406">
        <f>+'FY-10, FEB-10 - JAN-11'!FM18</f>
        <v>35542.75</v>
      </c>
      <c r="FN18" s="406">
        <f>+'FY-10, FEB-10 - JAN-11'!FN18</f>
        <v>85148.43</v>
      </c>
      <c r="FO18" s="406">
        <f>+'FY-10, FEB-10 - JAN-11'!FO18</f>
        <v>21019.54</v>
      </c>
      <c r="FP18" s="406">
        <f>+'FY-10, FEB-10 - JAN-11'!FP18</f>
        <v>15610.79</v>
      </c>
      <c r="FQ18" s="406">
        <f>+'FY-10, FEB-10 - JAN-11'!FQ18</f>
        <v>36082.699999999997</v>
      </c>
      <c r="FR18" s="406">
        <f>+'FY-10, FEB-10 - JAN-11'!FR18</f>
        <v>33258.25</v>
      </c>
      <c r="FS18" s="406">
        <f>+'FY-10, FEB-10 - JAN-11'!FS18</f>
        <v>17456.03</v>
      </c>
      <c r="FT18" s="406">
        <f>+'FY-10, FEB-10 - JAN-11'!FT18</f>
        <v>37693.67</v>
      </c>
      <c r="FU18" s="406">
        <f>+'FY-10, FEB-10 - JAN-11'!FU18</f>
        <v>37733.58</v>
      </c>
      <c r="FV18" s="406">
        <f>+'FY-10, FEB-10 - JAN-11'!FV18</f>
        <v>34659.519999999997</v>
      </c>
      <c r="FW18" s="406">
        <f>+'FY-10, FEB-10 - JAN-11'!FW18</f>
        <v>34295.879999999997</v>
      </c>
      <c r="FX18" s="406">
        <f>+'FY-10, FEB-10 - JAN-11'!FX18</f>
        <v>54532.5</v>
      </c>
      <c r="FY18" s="406">
        <f>+'FY-10, FEB-10 - JAN-11'!FY18</f>
        <v>44684.02</v>
      </c>
      <c r="FZ18" s="436">
        <f>+'FY-10, FEB-10 - JAN-11'!FZ18</f>
        <v>38787</v>
      </c>
      <c r="GA18" s="406">
        <f>+'FY-10, FEB-10 - JAN-11'!GA18</f>
        <v>30228.98</v>
      </c>
      <c r="GB18" s="406">
        <f>+'FY-10, FEB-10 - JAN-11'!GB18</f>
        <v>36209.06</v>
      </c>
      <c r="GC18" s="406">
        <f>+'FY-10, FEB-10 - JAN-11'!GC18</f>
        <v>39000.51</v>
      </c>
      <c r="GD18" s="406">
        <f>+'FY-10, FEB-10 - JAN-11'!GD18</f>
        <v>39570.11</v>
      </c>
      <c r="GE18" s="406">
        <f>+'FY-10, FEB-10 - JAN-11'!GE18</f>
        <v>35601.42</v>
      </c>
      <c r="GF18" s="406">
        <f>+'FY-10, FEB-10 - JAN-11'!GF18</f>
        <v>36888.04</v>
      </c>
      <c r="GG18" s="406">
        <f>+'FY-10, FEB-10 - JAN-11'!GG18</f>
        <v>30852.15</v>
      </c>
      <c r="GH18" s="406">
        <f>+'FY-10, FEB-10 - JAN-11'!GH18</f>
        <v>30566.55</v>
      </c>
      <c r="GI18" s="406">
        <f>+'FY-10, FEB-10 - JAN-11'!GI18</f>
        <v>67523.100000000006</v>
      </c>
      <c r="GJ18" s="406">
        <f>+'FY-10, FEB-10 - JAN-11'!GJ18</f>
        <v>34092.51</v>
      </c>
      <c r="GK18" s="406">
        <f>+'FY-10, FEB-10 - JAN-11'!GK18</f>
        <v>35601.74</v>
      </c>
      <c r="GL18" s="406">
        <f>+'FY-10, FEB-10 - JAN-11'!GL18</f>
        <v>32770.379999999997</v>
      </c>
      <c r="GM18" s="406">
        <f>+'FY-10, FEB-10 - JAN-11'!GM18</f>
        <v>34965.61</v>
      </c>
      <c r="GN18" s="406">
        <f>+'FY-10, FEB-10 - JAN-11'!GN18</f>
        <v>34281.42</v>
      </c>
      <c r="GO18" s="406">
        <f>+'FY-10, FEB-10 - JAN-11'!GO18</f>
        <v>38279.68</v>
      </c>
      <c r="GP18" s="406">
        <f>+'FY-10, FEB-10 - JAN-11'!GP18</f>
        <v>32245.439999999999</v>
      </c>
      <c r="GQ18" s="406">
        <f>+'FY-10, FEB-10 - JAN-11'!GQ18</f>
        <v>34537.83</v>
      </c>
      <c r="GR18" s="406">
        <f>+'FY-10, FEB-10 - JAN-11'!GR18</f>
        <v>36397.620000000003</v>
      </c>
      <c r="GS18" s="406">
        <f>+'FY-10, FEB-10 - JAN-11'!GS18</f>
        <v>150</v>
      </c>
      <c r="GT18" s="406">
        <f>+'FY-10, FEB-10 - JAN-11'!GT18</f>
        <v>63783.63</v>
      </c>
      <c r="GU18" s="436">
        <f>+'FY-10, FEB-10 - JAN-11'!GU18</f>
        <v>45194.64</v>
      </c>
      <c r="GV18" s="406">
        <f>+'FY-10, FEB-10 - JAN-11'!GV18</f>
        <v>35415.040000000001</v>
      </c>
      <c r="GW18" s="406">
        <f>+'FY-10, FEB-10 - JAN-11'!GW18</f>
        <v>37734.550000000003</v>
      </c>
      <c r="GX18" s="406">
        <f>+'FY-10, FEB-10 - JAN-11'!GX18</f>
        <v>36590.99</v>
      </c>
      <c r="GY18" s="406">
        <f>+'FY-10, FEB-10 - JAN-11'!GY18</f>
        <v>32873.910000000003</v>
      </c>
      <c r="GZ18" s="406">
        <f>+'FY-10, FEB-10 - JAN-11'!GZ18</f>
        <v>34941.29</v>
      </c>
      <c r="HA18" s="406">
        <f>+'FY-10, FEB-10 - JAN-11'!HA18</f>
        <v>3583.15</v>
      </c>
      <c r="HB18" s="406">
        <f>+'FY-10, FEB-10 - JAN-11'!HB18</f>
        <v>609.6</v>
      </c>
      <c r="HC18" s="406">
        <f>+'FY-10, FEB-10 - JAN-11'!HC18</f>
        <v>279.95</v>
      </c>
      <c r="HD18" s="406">
        <f>+'FY-10, FEB-10 - JAN-11'!HD18</f>
        <v>97.48</v>
      </c>
      <c r="HE18" s="406">
        <f>+'FY-10, FEB-10 - JAN-11'!HE18</f>
        <v>64601.68</v>
      </c>
      <c r="HF18" s="406">
        <f>+'FY-10, FEB-10 - JAN-11'!HF18</f>
        <v>35570.269999999997</v>
      </c>
      <c r="HG18" s="406">
        <f>+'FY-10, FEB-10 - JAN-11'!HG18</f>
        <v>34170.67</v>
      </c>
      <c r="HH18" s="406">
        <f>+'FY-10, FEB-10 - JAN-11'!HH18</f>
        <v>35747.69</v>
      </c>
      <c r="HI18" s="406">
        <f>+'FY-10, FEB-10 - JAN-11'!HI18</f>
        <v>34845.08</v>
      </c>
      <c r="HJ18" s="406">
        <f>+'FY-10, FEB-10 - JAN-11'!HJ18</f>
        <v>33855.120000000003</v>
      </c>
      <c r="HK18" s="406">
        <f>+'FY-10, FEB-10 - JAN-11'!HK18</f>
        <v>37648.410000000003</v>
      </c>
      <c r="HL18" s="406">
        <f>+'FY-10, FEB-10 - JAN-11'!HL18</f>
        <v>33925.49</v>
      </c>
      <c r="HM18" s="406">
        <f>+'FY-10, FEB-10 - JAN-11'!HM18</f>
        <v>29080.71</v>
      </c>
      <c r="HN18" s="406">
        <f>+'FY-10, FEB-10 - JAN-11'!HN18</f>
        <v>37093.39</v>
      </c>
      <c r="HO18" s="406">
        <f>+'FY-10, FEB-10 - JAN-11'!HO18</f>
        <v>32739.31</v>
      </c>
      <c r="HP18" s="436">
        <f>+'FY-10, FEB-10 - JAN-11'!HP18</f>
        <v>31216.89</v>
      </c>
      <c r="HQ18" s="406">
        <f>+'FY-10, FEB-10 - JAN-11'!HQ18</f>
        <v>44632.28</v>
      </c>
      <c r="HR18" s="406">
        <f>+'FY-10, FEB-10 - JAN-11'!HR18</f>
        <v>28108.57</v>
      </c>
      <c r="HS18" s="406">
        <f>+'FY-10, FEB-10 - JAN-11'!HS18</f>
        <v>29979.5</v>
      </c>
      <c r="HT18" s="406">
        <f>+'FY-10, FEB-10 - JAN-11'!HT18</f>
        <v>2305.6</v>
      </c>
      <c r="HU18" s="406">
        <f>+'FY-10, FEB-10 - JAN-11'!HU18</f>
        <v>454.2</v>
      </c>
      <c r="HV18" s="406">
        <f>+'FY-10, FEB-10 - JAN-11'!HV18</f>
        <v>1280</v>
      </c>
      <c r="HW18" s="406">
        <f>+'FY-10, FEB-10 - JAN-11'!HW18</f>
        <v>200.75</v>
      </c>
      <c r="HX18" s="406">
        <f>+'FY-10, FEB-10 - JAN-11'!HX18</f>
        <v>104</v>
      </c>
      <c r="HY18" s="406">
        <f>+'FY-10, FEB-10 - JAN-11'!HY18</f>
        <v>50</v>
      </c>
      <c r="HZ18" s="406">
        <f>+'FY-10, FEB-10 - JAN-11'!HZ18</f>
        <v>45</v>
      </c>
      <c r="IA18" s="406">
        <f>+'FY-10, FEB-10 - JAN-11'!IA18</f>
        <v>254.15</v>
      </c>
      <c r="IB18" s="406">
        <f>+'FY-10, FEB-10 - JAN-11'!IB18</f>
        <v>53.6</v>
      </c>
      <c r="IC18" s="406">
        <f>+'FY-10, FEB-10 - JAN-11'!IC18</f>
        <v>149.25</v>
      </c>
      <c r="ID18" s="406">
        <f>+'FY-10, FEB-10 - JAN-11'!ID18</f>
        <v>12958.57</v>
      </c>
      <c r="IE18" s="406">
        <f>+'FY-10, FEB-10 - JAN-11'!IE18</f>
        <v>5217.1000000000004</v>
      </c>
      <c r="IF18" s="406">
        <f>+'FY-10, FEB-10 - JAN-11'!IF18</f>
        <v>41239.54</v>
      </c>
      <c r="IG18" s="406">
        <f>+'FY-10, FEB-10 - JAN-11'!IG18</f>
        <v>36845.39</v>
      </c>
      <c r="IH18" s="406">
        <f>+'FY-10, FEB-10 - JAN-11'!IH18</f>
        <v>36425.870000000003</v>
      </c>
      <c r="II18" s="406">
        <f>+'FY-10, FEB-10 - JAN-11'!II18</f>
        <v>32112.39</v>
      </c>
      <c r="IJ18" s="406">
        <f>+'FY-10, FEB-10 - JAN-11'!IJ18</f>
        <v>35213.21</v>
      </c>
      <c r="IK18" s="406">
        <f>+'FY-10, FEB-10 - JAN-11'!IK18</f>
        <v>21087.7</v>
      </c>
      <c r="IL18" s="436">
        <f>+'FY-10, FEB-10 - JAN-11'!IL18</f>
        <v>20217.57</v>
      </c>
      <c r="IM18" s="406">
        <f>+'FY-10, FEB-10 - JAN-11'!IM18</f>
        <v>18547.62</v>
      </c>
      <c r="IN18" s="406">
        <f>+'FY-10, FEB-10 - JAN-11'!IN18</f>
        <v>17944.830000000002</v>
      </c>
      <c r="IO18" s="406">
        <f>+'FY-10, FEB-10 - JAN-11'!IO18</f>
        <v>189325.39</v>
      </c>
      <c r="IP18" s="406">
        <f>+'FY-10, FEB-10 - JAN-11'!IP18</f>
        <v>32690.54</v>
      </c>
      <c r="IQ18" s="406">
        <f>+'FY-10, FEB-10 - JAN-11'!IQ18</f>
        <v>31964.5</v>
      </c>
      <c r="IR18" s="406">
        <f>+'FY-10, FEB-10 - JAN-11'!IR18</f>
        <v>31966.5</v>
      </c>
      <c r="IS18" s="406">
        <f>+'FY-10, FEB-10 - JAN-11'!IS18</f>
        <v>34170.639999999999</v>
      </c>
      <c r="IT18" s="406">
        <f>+'FY-10, FEB-10 - JAN-11'!IT18</f>
        <v>32280.75</v>
      </c>
      <c r="IU18" s="406">
        <f>+'FY-10, FEB-10 - JAN-11'!IU18</f>
        <v>68364.100000000006</v>
      </c>
      <c r="IV18" s="406">
        <f>+'FY-10, FEB-10 - JAN-11'!IV18</f>
        <v>31122.79</v>
      </c>
      <c r="IW18" s="682"/>
      <c r="IX18" s="406">
        <f t="shared" si="23"/>
        <v>2765.25</v>
      </c>
      <c r="IY18" s="406">
        <f t="shared" si="24"/>
        <v>2021.85</v>
      </c>
      <c r="IZ18" s="406">
        <f t="shared" si="25"/>
        <v>24668.19</v>
      </c>
      <c r="JA18" s="406">
        <f t="shared" si="26"/>
        <v>704</v>
      </c>
      <c r="JB18" s="406">
        <f t="shared" si="27"/>
        <v>701.5</v>
      </c>
      <c r="JC18" s="406">
        <f t="shared" si="28"/>
        <v>35834.97</v>
      </c>
      <c r="JD18" s="406">
        <f t="shared" si="29"/>
        <v>767.4</v>
      </c>
      <c r="JE18" s="406">
        <f t="shared" si="30"/>
        <v>35529.800000000003</v>
      </c>
      <c r="JF18" s="406">
        <f t="shared" si="31"/>
        <v>34150.57</v>
      </c>
      <c r="JG18" s="406">
        <f t="shared" si="32"/>
        <v>30908.5</v>
      </c>
      <c r="JH18" s="406">
        <f t="shared" si="33"/>
        <v>28108.799999999999</v>
      </c>
      <c r="JI18" s="4">
        <f t="shared" si="18"/>
        <v>7731371.4099999964</v>
      </c>
      <c r="JJ18" s="406">
        <f>'FY-09, FEB-09 - JAN-10, w TANs'!IT18</f>
        <v>0</v>
      </c>
      <c r="JK18" s="406">
        <f>'FY-09, FEB-09 - JAN-10, w TANs'!IU18</f>
        <v>7410843.2755000014</v>
      </c>
    </row>
    <row r="19" spans="1:271" s="438" customFormat="1" ht="14.1" customHeight="1">
      <c r="A19" s="406" t="s">
        <v>29</v>
      </c>
      <c r="B19" s="406"/>
      <c r="C19" s="440">
        <v>138830.95000000001</v>
      </c>
      <c r="D19" s="406"/>
      <c r="E19" s="406"/>
      <c r="F19" s="406"/>
      <c r="G19" s="406"/>
      <c r="H19" s="406">
        <v>217775.89</v>
      </c>
      <c r="I19" s="406"/>
      <c r="J19" s="425"/>
      <c r="K19" s="425"/>
      <c r="L19" s="425"/>
      <c r="M19" s="425"/>
      <c r="N19" s="440">
        <v>311294.64</v>
      </c>
      <c r="O19" s="425"/>
      <c r="P19" s="425"/>
      <c r="Q19" s="425"/>
      <c r="R19" s="425">
        <v>2178090.9700000002</v>
      </c>
      <c r="S19" s="406"/>
      <c r="T19" s="425"/>
      <c r="U19" s="425"/>
      <c r="V19" s="425"/>
      <c r="W19" s="406">
        <f>1387702.83+11474188.1+487297.64</f>
        <v>13349188.57</v>
      </c>
      <c r="X19" s="406"/>
      <c r="Y19" s="406"/>
      <c r="Z19" s="406">
        <v>4000000</v>
      </c>
      <c r="AA19" s="406">
        <f>1747571.7+35160.17</f>
        <v>1782731.8699999999</v>
      </c>
      <c r="AB19" s="406"/>
      <c r="AC19" s="406"/>
      <c r="AD19" s="406"/>
      <c r="AE19" s="406"/>
      <c r="AF19" s="406"/>
      <c r="AG19" s="436"/>
      <c r="AH19" s="406"/>
      <c r="AI19" s="406"/>
      <c r="AJ19" s="406"/>
      <c r="AK19" s="406">
        <f>8664259.49+8802.67+144581.76</f>
        <v>8817643.9199999999</v>
      </c>
      <c r="AL19" s="406"/>
      <c r="AM19" s="406"/>
      <c r="AN19" s="406"/>
      <c r="AO19" s="572"/>
      <c r="AP19" s="406">
        <f>1362750+9182702.83</f>
        <v>10545452.83</v>
      </c>
      <c r="AQ19" s="406">
        <v>3278.98</v>
      </c>
      <c r="AR19" s="406"/>
      <c r="AS19" s="406"/>
      <c r="AT19" s="406"/>
      <c r="AU19" s="406">
        <f>1416520.47+3085666.99+3215070.68</f>
        <v>7717258.1400000006</v>
      </c>
      <c r="AV19" s="406"/>
      <c r="AW19" s="406"/>
      <c r="AX19" s="406"/>
      <c r="AY19" s="406"/>
      <c r="AZ19" s="406">
        <f>2352381.15+304444.51</f>
        <v>2656825.66</v>
      </c>
      <c r="BA19" s="406"/>
      <c r="BB19" s="406"/>
      <c r="BC19" s="406"/>
      <c r="BD19" s="436"/>
      <c r="BE19" s="406">
        <v>2322424.7999999998</v>
      </c>
      <c r="BF19" s="406">
        <v>8530872.8300000001</v>
      </c>
      <c r="BG19" s="406"/>
      <c r="BH19" s="406">
        <v>50000000</v>
      </c>
      <c r="BI19" s="406"/>
      <c r="BJ19" s="406">
        <f>317278.56+48463.75+12378.9+3381.3+10673751.34</f>
        <v>11055253.85</v>
      </c>
      <c r="BK19" s="406"/>
      <c r="BL19" s="406"/>
      <c r="BM19" s="406"/>
      <c r="BN19" s="406"/>
      <c r="BO19" s="406"/>
      <c r="BP19" s="406">
        <v>4277105.17</v>
      </c>
      <c r="BQ19" s="406"/>
      <c r="BR19" s="406"/>
      <c r="BS19" s="406"/>
      <c r="BT19" s="406">
        <v>3255607.61</v>
      </c>
      <c r="BU19" s="406"/>
      <c r="BV19" s="406"/>
      <c r="BW19" s="406"/>
      <c r="BX19" s="436"/>
      <c r="BY19" s="406">
        <v>10338320.49</v>
      </c>
      <c r="BZ19" s="406">
        <v>1176304.3400000001</v>
      </c>
      <c r="CA19" s="406"/>
      <c r="CB19" s="406"/>
      <c r="CC19" s="406"/>
      <c r="CD19" s="406">
        <v>13045966.17</v>
      </c>
      <c r="CE19" s="406"/>
      <c r="CF19" s="406"/>
      <c r="CG19" s="406"/>
      <c r="CH19" s="406"/>
      <c r="CI19" s="406">
        <v>768862.66</v>
      </c>
      <c r="CJ19" s="406">
        <v>199694.65</v>
      </c>
      <c r="CK19" s="406">
        <v>7208085.1900000004</v>
      </c>
      <c r="CL19" s="406"/>
      <c r="CM19" s="881">
        <f>1677181.17</f>
        <v>1677181.17</v>
      </c>
      <c r="CN19" s="406"/>
      <c r="CO19" s="406"/>
      <c r="CP19" s="406"/>
      <c r="CQ19" s="406"/>
      <c r="CR19" s="406">
        <f>1486991.32+10161.38</f>
        <v>1497152.7</v>
      </c>
      <c r="CS19" s="406"/>
      <c r="CT19" s="436"/>
      <c r="CU19" s="406"/>
      <c r="CV19" s="406"/>
      <c r="CW19" s="406">
        <v>15750993.66</v>
      </c>
      <c r="CX19" s="406"/>
      <c r="CY19" s="406"/>
      <c r="CZ19" s="406">
        <f>4889489.04+CZ37</f>
        <v>6900478.3100000005</v>
      </c>
      <c r="DA19" s="406">
        <v>2434517.64</v>
      </c>
      <c r="DB19" s="406"/>
      <c r="DC19" s="406"/>
      <c r="DD19" s="406"/>
      <c r="DE19" s="406"/>
      <c r="DF19" s="406"/>
      <c r="DG19" s="406"/>
      <c r="DH19" s="406"/>
      <c r="DI19" s="406"/>
      <c r="DJ19" s="406"/>
      <c r="DK19" s="406"/>
      <c r="DL19" s="406">
        <f>+'FY-10, FEB-10 - JAN-11'!DL19</f>
        <v>0</v>
      </c>
      <c r="DM19" s="881">
        <f>+'FY-10, FEB-10 - JAN-11'!DM19*$EJ$80</f>
        <v>4752149.9200000009</v>
      </c>
      <c r="DN19" s="881">
        <f>+'FY-10, FEB-10 - JAN-11'!DN19*$EJ$80</f>
        <v>11279.752</v>
      </c>
      <c r="DO19" s="887">
        <f>+'FY-10, FEB-10 - JAN-11'!DO19*$EJ$80</f>
        <v>3531148.344</v>
      </c>
      <c r="DP19" s="881">
        <f>+'FY-10, FEB-10 - JAN-11'!DP19*$EJ$80</f>
        <v>0</v>
      </c>
      <c r="DQ19" s="881">
        <f>+'FY-10, FEB-10 - JAN-11'!DQ19*$EJ$80</f>
        <v>18115818.647999998</v>
      </c>
      <c r="DR19" s="881">
        <f>+'FY-10, FEB-10 - JAN-11'!DR19*$EJ$80</f>
        <v>0</v>
      </c>
      <c r="DS19" s="881">
        <f>+'FY-10, FEB-10 - JAN-11'!DS19*$EJ$80</f>
        <v>0</v>
      </c>
      <c r="DT19" s="881">
        <f>+'FY-10, FEB-10 - JAN-11'!DT19*$EJ$80</f>
        <v>0</v>
      </c>
      <c r="DU19" s="881">
        <f>+'FY-10, FEB-10 - JAN-11'!DU19*$EJ$80</f>
        <v>0</v>
      </c>
      <c r="DV19" s="881">
        <f>+'FY-10, FEB-10 - JAN-11'!DV19*$EJ$80</f>
        <v>189901.52800000002</v>
      </c>
      <c r="DW19" s="881">
        <f>+'FY-10, FEB-10 - JAN-11'!DW19*$EJ$80</f>
        <v>5582556.0880000005</v>
      </c>
      <c r="DX19" s="881">
        <f>+'FY-10, FEB-10 - JAN-11'!DX19*$EJ$80</f>
        <v>0</v>
      </c>
      <c r="DY19" s="881">
        <f>+'FY-10, FEB-10 - JAN-11'!DY19*$EJ$80</f>
        <v>0</v>
      </c>
      <c r="DZ19" s="881">
        <f>+'FY-10, FEB-10 - JAN-11'!DZ19*$EJ$80</f>
        <v>0</v>
      </c>
      <c r="EA19" s="881">
        <f>+'FY-10, FEB-10 - JAN-11'!EA19*$EJ$80</f>
        <v>0</v>
      </c>
      <c r="EB19" s="881">
        <f>+'FY-10, FEB-10 - JAN-11'!EB19*$EJ$80</f>
        <v>632821.3280000001</v>
      </c>
      <c r="EC19" s="881">
        <f>+'FY-10, FEB-10 - JAN-11'!EC19*$EJ$80</f>
        <v>0</v>
      </c>
      <c r="ED19" s="881">
        <f>+'FY-10, FEB-10 - JAN-11'!ED19*$EJ$80</f>
        <v>0</v>
      </c>
      <c r="EE19" s="881">
        <f>+'FY-10, FEB-10 - JAN-11'!EE19*$EJ$80</f>
        <v>0</v>
      </c>
      <c r="EF19" s="881">
        <f>+'FY-10, FEB-10 - JAN-11'!EF19*$EJ$80</f>
        <v>0</v>
      </c>
      <c r="EG19" s="881">
        <f>+'FY-10, FEB-10 - JAN-11'!EG19*$EJ$80</f>
        <v>1743632.4079999998</v>
      </c>
      <c r="EH19" s="881">
        <f>+'FY-10, FEB-10 - JAN-11'!EH19*$EJ$80</f>
        <v>0</v>
      </c>
      <c r="EI19" s="881">
        <f>+'FY-10, FEB-10 - JAN-11'!EI19*$EJ$80</f>
        <v>0</v>
      </c>
      <c r="EJ19" s="887">
        <f>+'FY-10, FEB-10 - JAN-11'!EJ19*$EJ$80</f>
        <v>16033837.080000002</v>
      </c>
      <c r="EK19" s="881">
        <f>+'FY-10, FEB-10 - JAN-11'!EK19*$EJ$80</f>
        <v>0</v>
      </c>
      <c r="EL19" s="881">
        <f>+'FY-10, FEB-10 - JAN-11'!EL19*$EJ$80</f>
        <v>42876.904000000002</v>
      </c>
      <c r="EM19" s="881">
        <f>+'FY-10, FEB-10 - JAN-11'!EM19*$EJ$80</f>
        <v>7104944.2800000003</v>
      </c>
      <c r="EN19" s="881">
        <f>+'FY-10, FEB-10 - JAN-11'!EN19*$EJ$80</f>
        <v>0</v>
      </c>
      <c r="EO19" s="881">
        <f>+'FY-10, FEB-10 - JAN-11'!EO19*$EJ$80</f>
        <v>0</v>
      </c>
      <c r="EP19" s="881">
        <f>+'FY-10, FEB-10 - JAN-11'!EP19*$EJ$80</f>
        <v>9154670.8400000017</v>
      </c>
      <c r="EQ19" s="881">
        <f>+'FY-10, FEB-10 - JAN-11'!EQ19*$EJ$80</f>
        <v>0</v>
      </c>
      <c r="ER19" s="881">
        <f>+'FY-10, FEB-10 - JAN-11'!ER19*$EJ$80</f>
        <v>0</v>
      </c>
      <c r="ES19" s="881">
        <f>+'FY-10, FEB-10 - JAN-11'!ES19*$EJ$80</f>
        <v>0</v>
      </c>
      <c r="ET19" s="881">
        <f>+'FY-10, FEB-10 - JAN-11'!ET19*$EJ$80</f>
        <v>0</v>
      </c>
      <c r="EU19" s="881">
        <f>+'FY-10, FEB-10 - JAN-11'!EU19*$EJ$80</f>
        <v>0</v>
      </c>
      <c r="EV19" s="881">
        <f>+'FY-10, FEB-10 - JAN-11'!EV19*$EJ$80</f>
        <v>3011642.8880000003</v>
      </c>
      <c r="EW19" s="881">
        <f>+'FY-10, FEB-10 - JAN-11'!EW19*$EJ$80</f>
        <v>0</v>
      </c>
      <c r="EX19" s="881">
        <f>+'FY-10, FEB-10 - JAN-11'!EX19*$EJ$80</f>
        <v>0</v>
      </c>
      <c r="EY19" s="881">
        <f>+'FY-10, FEB-10 - JAN-11'!EY19*$EJ$80</f>
        <v>0</v>
      </c>
      <c r="EZ19" s="881">
        <f>+'FY-10, FEB-10 - JAN-11'!EZ19*$EJ$80</f>
        <v>0</v>
      </c>
      <c r="FA19" s="881">
        <f>+'FY-10, FEB-10 - JAN-11'!FA19*$EJ$80</f>
        <v>4746748.7520000003</v>
      </c>
      <c r="FB19" s="881">
        <f>+'FY-10, FEB-10 - JAN-11'!FB19*$EJ$80</f>
        <v>0</v>
      </c>
      <c r="FC19" s="881">
        <f>+'FY-10, FEB-10 - JAN-11'!FC19*$EJ$80</f>
        <v>0</v>
      </c>
      <c r="FD19" s="881">
        <f>+'FY-10, FEB-10 - JAN-11'!FD19*$EJ$80</f>
        <v>0</v>
      </c>
      <c r="FE19" s="881">
        <f>+'FY-10, FEB-10 - JAN-11'!FE19*$EJ$80</f>
        <v>3752898.24</v>
      </c>
      <c r="FF19" s="887">
        <f>+'FY-10, FEB-10 - JAN-11'!FF19*$EJ$80</f>
        <v>0</v>
      </c>
      <c r="FG19" s="881">
        <f>+'FY-10, FEB-10 - JAN-11'!FG19*$EJ$80</f>
        <v>0</v>
      </c>
      <c r="FH19" s="881">
        <f>+'FY-10, FEB-10 - JAN-11'!FH19*$EJ$80</f>
        <v>0</v>
      </c>
      <c r="FI19" s="881">
        <f>+'FY-10, FEB-10 - JAN-11'!FI19*$EJ$80</f>
        <v>11725540.223999999</v>
      </c>
      <c r="FJ19" s="881">
        <f>+'FY-10, FEB-10 - JAN-11'!FJ19*$EJ$80</f>
        <v>468574.16</v>
      </c>
      <c r="FK19" s="881">
        <f>+'FY-10, FEB-10 - JAN-11'!FK19*$EJ$80</f>
        <v>0</v>
      </c>
      <c r="FL19" s="881">
        <f>+'FY-10, FEB-10 - JAN-11'!FL19*$EJ$80</f>
        <v>205253.97600000002</v>
      </c>
      <c r="FM19" s="881">
        <f>+'FY-10, FEB-10 - JAN-11'!FM19*$EJ$80</f>
        <v>0</v>
      </c>
      <c r="FN19" s="881">
        <f>+'FY-10, FEB-10 - JAN-11'!FN19*$EJ$80</f>
        <v>14833987.840000002</v>
      </c>
      <c r="FO19" s="881">
        <f>+'FY-10, FEB-10 - JAN-11'!FO19*$EJ$80</f>
        <v>0</v>
      </c>
      <c r="FP19" s="881">
        <f>+'FY-10, FEB-10 - JAN-11'!FP19*$EJ$80</f>
        <v>0</v>
      </c>
      <c r="FQ19" s="881">
        <f>+'FY-10, FEB-10 - JAN-11'!FQ19*$EJ$80</f>
        <v>66248.240000000005</v>
      </c>
      <c r="FR19" s="881">
        <f>+'FY-10, FEB-10 - JAN-11'!FR19*$EJ$80</f>
        <v>0</v>
      </c>
      <c r="FS19" s="881">
        <f>+'FY-10, FEB-10 - JAN-11'!FS19*$EJ$80</f>
        <v>5638670.3840000005</v>
      </c>
      <c r="FT19" s="881">
        <f>+'FY-10, FEB-10 - JAN-11'!FT19*$EJ$80</f>
        <v>135078.264</v>
      </c>
      <c r="FU19" s="881">
        <f>+'FY-10, FEB-10 - JAN-11'!FU19*$EJ$80</f>
        <v>0</v>
      </c>
      <c r="FV19" s="881">
        <f>+'FY-10, FEB-10 - JAN-11'!FV19*$EJ$80</f>
        <v>0</v>
      </c>
      <c r="FW19" s="881">
        <f>+'FY-10, FEB-10 - JAN-11'!FW19*$EJ$80</f>
        <v>0</v>
      </c>
      <c r="FX19" s="881">
        <f>+'FY-10, FEB-10 - JAN-11'!FX19*$EJ$80</f>
        <v>3629704.5280000004</v>
      </c>
      <c r="FY19" s="881">
        <f>+'FY-10, FEB-10 - JAN-11'!FY19*$EJ$80</f>
        <v>79126.400000000009</v>
      </c>
      <c r="FZ19" s="887">
        <f>+'FY-10, FEB-10 - JAN-11'!FZ19*$EJ$80</f>
        <v>0</v>
      </c>
      <c r="GA19" s="881">
        <f>+'FY-10, FEB-10 - JAN-11'!GA19*$EJ$80</f>
        <v>0</v>
      </c>
      <c r="GB19" s="881">
        <f>+'FY-10, FEB-10 - JAN-11'!GB19*$EJ$80</f>
        <v>6843261.7360000005</v>
      </c>
      <c r="GC19" s="881">
        <f>+'FY-10, FEB-10 - JAN-11'!GC19*$EJ$80</f>
        <v>0</v>
      </c>
      <c r="GD19" s="881">
        <f>+'FY-10, FEB-10 - JAN-11'!GD19*$EJ$80</f>
        <v>0</v>
      </c>
      <c r="GE19" s="881">
        <f>+'FY-10, FEB-10 - JAN-11'!GE19*$EJ$80</f>
        <v>0</v>
      </c>
      <c r="GF19" s="881">
        <f>+'FY-10, FEB-10 - JAN-11'!GF19*$EJ$80</f>
        <v>0</v>
      </c>
      <c r="GG19" s="881">
        <f>+'FY-10, FEB-10 - JAN-11'!GG19*$EJ$80</f>
        <v>0</v>
      </c>
      <c r="GH19" s="881">
        <f>+'FY-10, FEB-10 - JAN-11'!GH19*$EJ$80</f>
        <v>3707552.4720000001</v>
      </c>
      <c r="GI19" s="881">
        <f>+'FY-10, FEB-10 - JAN-11'!GI19*$EJ$80</f>
        <v>0</v>
      </c>
      <c r="GJ19" s="881">
        <f>+'FY-10, FEB-10 - JAN-11'!GJ19*$EJ$80</f>
        <v>0</v>
      </c>
      <c r="GK19" s="881">
        <f>+'FY-10, FEB-10 - JAN-11'!GK19*$EJ$80</f>
        <v>0</v>
      </c>
      <c r="GL19" s="881">
        <f>+'FY-10, FEB-10 - JAN-11'!GL19*$EJ$80</f>
        <v>4338481.2560000001</v>
      </c>
      <c r="GM19" s="881">
        <f>+'FY-10, FEB-10 - JAN-11'!GM19*$EJ$80</f>
        <v>0</v>
      </c>
      <c r="GN19" s="881">
        <f>+'FY-10, FEB-10 - JAN-11'!GN19*$EJ$80</f>
        <v>0</v>
      </c>
      <c r="GO19" s="881">
        <f>+'FY-10, FEB-10 - JAN-11'!GO19*$EJ$80</f>
        <v>0</v>
      </c>
      <c r="GP19" s="881">
        <f>+'FY-10, FEB-10 - JAN-11'!GP19*$EJ$80</f>
        <v>0</v>
      </c>
      <c r="GQ19" s="881">
        <f>+'FY-10, FEB-10 - JAN-11'!GQ19*$EJ$80</f>
        <v>0</v>
      </c>
      <c r="GR19" s="881">
        <f>+'FY-10, FEB-10 - JAN-11'!GR19*$EJ$80</f>
        <v>0</v>
      </c>
      <c r="GS19" s="881">
        <f>+'FY-10, FEB-10 - JAN-11'!GS19*$EJ$80</f>
        <v>31585.832000000002</v>
      </c>
      <c r="GT19" s="881">
        <f>+'FY-10, FEB-10 - JAN-11'!GT19*$EJ$80</f>
        <v>0</v>
      </c>
      <c r="GU19" s="887">
        <f>+'FY-10, FEB-10 - JAN-11'!GU19*$EJ$80</f>
        <v>8858596.959999999</v>
      </c>
      <c r="GV19" s="881">
        <f>+'FY-10, FEB-10 - JAN-11'!GV19*$EJ$80</f>
        <v>0</v>
      </c>
      <c r="GW19" s="881">
        <f>+'FY-10, FEB-10 - JAN-11'!GW19*$EJ$80</f>
        <v>0</v>
      </c>
      <c r="GX19" s="881">
        <f>+'FY-10, FEB-10 - JAN-11'!GX19*$EJ$80</f>
        <v>0</v>
      </c>
      <c r="GY19" s="881">
        <f>+'FY-10, FEB-10 - JAN-11'!GY19*$EJ$80</f>
        <v>0</v>
      </c>
      <c r="GZ19" s="881">
        <f>+'FY-10, FEB-10 - JAN-11'!GZ19*$EJ$80</f>
        <v>74032.248000000007</v>
      </c>
      <c r="HA19" s="881">
        <f>+'FY-10, FEB-10 - JAN-11'!HA19*$EJ$80</f>
        <v>0</v>
      </c>
      <c r="HB19" s="881">
        <f>+'FY-10, FEB-10 - JAN-11'!HB19*$EJ$80</f>
        <v>0</v>
      </c>
      <c r="HC19" s="881">
        <f>+'FY-10, FEB-10 - JAN-11'!HC19*$EJ$80</f>
        <v>0</v>
      </c>
      <c r="HD19" s="881">
        <f>+'FY-10, FEB-10 - JAN-11'!HD19*$EJ$80</f>
        <v>12086310.312000001</v>
      </c>
      <c r="HE19" s="881">
        <f>+'FY-10, FEB-10 - JAN-11'!HE19*$EJ$80</f>
        <v>0</v>
      </c>
      <c r="HF19" s="881">
        <f>+'FY-10, FEB-10 - JAN-11'!HF19*$EJ$80</f>
        <v>127547.75200000001</v>
      </c>
      <c r="HG19" s="881">
        <f>+'FY-10, FEB-10 - JAN-11'!HG19*$EJ$80</f>
        <v>0</v>
      </c>
      <c r="HH19" s="881">
        <f>+'FY-10, FEB-10 - JAN-11'!HH19*$EJ$80</f>
        <v>0</v>
      </c>
      <c r="HI19" s="881">
        <f>+'FY-10, FEB-10 - JAN-11'!HI19*$EJ$80</f>
        <v>1671341.5920000002</v>
      </c>
      <c r="HJ19" s="881">
        <f>+'FY-10, FEB-10 - JAN-11'!HJ19*$EJ$80</f>
        <v>0</v>
      </c>
      <c r="HK19" s="881">
        <f>+'FY-10, FEB-10 - JAN-11'!HK19*$EJ$80</f>
        <v>0</v>
      </c>
      <c r="HL19" s="881">
        <f>+'FY-10, FEB-10 - JAN-11'!HL19*$EJ$80</f>
        <v>0</v>
      </c>
      <c r="HM19" s="881">
        <f>+'FY-10, FEB-10 - JAN-11'!HM19*$EJ$80</f>
        <v>0</v>
      </c>
      <c r="HN19" s="881">
        <f>+'FY-10, FEB-10 - JAN-11'!HN19*$EJ$80</f>
        <v>4388400.2560000001</v>
      </c>
      <c r="HO19" s="881">
        <f>+'FY-10, FEB-10 - JAN-11'!HO19*$EJ$80</f>
        <v>0</v>
      </c>
      <c r="HP19" s="887">
        <f>+'FY-10, FEB-10 - JAN-11'!HP19*$EJ$80</f>
        <v>0</v>
      </c>
      <c r="HQ19" s="881">
        <f>+'FY-10, FEB-10 - JAN-11'!HQ19*$EJ$80</f>
        <v>0</v>
      </c>
      <c r="HR19" s="881">
        <f>+'FY-10, FEB-10 - JAN-11'!HR19*$EJ$80</f>
        <v>0</v>
      </c>
      <c r="HS19" s="881">
        <f>+'FY-10, FEB-10 - JAN-11'!HS19*$EJ$80</f>
        <v>0</v>
      </c>
      <c r="HT19" s="881">
        <f>+'FY-10, FEB-10 - JAN-11'!HT19*$EJ$80</f>
        <v>0</v>
      </c>
      <c r="HU19" s="881">
        <f>+'FY-10, FEB-10 - JAN-11'!HU19*$EJ$80</f>
        <v>0</v>
      </c>
      <c r="HV19" s="881">
        <f>+'FY-10, FEB-10 - JAN-11'!HV19*$EJ$80</f>
        <v>0</v>
      </c>
      <c r="HW19" s="881">
        <f>+'FY-10, FEB-10 - JAN-11'!HW19*$EJ$80</f>
        <v>0</v>
      </c>
      <c r="HX19" s="881">
        <f>+'FY-10, FEB-10 - JAN-11'!HX19*$EJ$80</f>
        <v>0</v>
      </c>
      <c r="HY19" s="881">
        <f>+'FY-10, FEB-10 - JAN-11'!HY19*$EJ$80</f>
        <v>0</v>
      </c>
      <c r="HZ19" s="881">
        <f>+'FY-10, FEB-10 - JAN-11'!HZ19*$EJ$80</f>
        <v>0</v>
      </c>
      <c r="IA19" s="881">
        <f>+'FY-10, FEB-10 - JAN-11'!IA19*$EJ$80</f>
        <v>0</v>
      </c>
      <c r="IB19" s="881">
        <f>+'FY-10, FEB-10 - JAN-11'!IB19*$EJ$80</f>
        <v>0</v>
      </c>
      <c r="IC19" s="881">
        <f>+'FY-10, FEB-10 - JAN-11'!IC19*$EJ$80</f>
        <v>0</v>
      </c>
      <c r="ID19" s="881">
        <f>+'FY-10, FEB-10 - JAN-11'!ID19*$EJ$80</f>
        <v>15615053.631999999</v>
      </c>
      <c r="IE19" s="881">
        <f>+'FY-10, FEB-10 - JAN-11'!IE19*$EJ$80</f>
        <v>0</v>
      </c>
      <c r="IF19" s="881">
        <f>+'FY-10, FEB-10 - JAN-11'!IF19*$EJ$80</f>
        <v>0</v>
      </c>
      <c r="IG19" s="881">
        <f>+'FY-10, FEB-10 - JAN-11'!IG19*$EJ$80</f>
        <v>0</v>
      </c>
      <c r="IH19" s="881">
        <f>+'FY-10, FEB-10 - JAN-11'!IH19*$EJ$80</f>
        <v>375569.32799999998</v>
      </c>
      <c r="II19" s="881">
        <f>+'FY-10, FEB-10 - JAN-11'!II19*$EJ$80</f>
        <v>0</v>
      </c>
      <c r="IJ19" s="881">
        <f>+'FY-10, FEB-10 - JAN-11'!IJ19*$EJ$80</f>
        <v>0</v>
      </c>
      <c r="IK19" s="881">
        <f>+'FY-10, FEB-10 - JAN-11'!IK19*$EJ$80</f>
        <v>0</v>
      </c>
      <c r="IL19" s="887">
        <f>+'FY-10, FEB-10 - JAN-11'!IL19*$EJ$80</f>
        <v>0</v>
      </c>
      <c r="IM19" s="881">
        <f>+'FY-10, FEB-10 - JAN-11'!IM19*$EJ$80</f>
        <v>3537631.8240000005</v>
      </c>
      <c r="IN19" s="881">
        <f>+'FY-10, FEB-10 - JAN-11'!IN19*$EJ$80</f>
        <v>0</v>
      </c>
      <c r="IO19" s="881">
        <f>+'FY-10, FEB-10 - JAN-11'!IO19*$EJ$80</f>
        <v>0</v>
      </c>
      <c r="IP19" s="881">
        <f>+'FY-10, FEB-10 - JAN-11'!IP19*$EJ$80</f>
        <v>0</v>
      </c>
      <c r="IQ19" s="881">
        <f>+'FY-10, FEB-10 - JAN-11'!IQ19*$EJ$80</f>
        <v>862451.97600000002</v>
      </c>
      <c r="IR19" s="881">
        <f>+'FY-10, FEB-10 - JAN-11'!IR19*$EJ$80</f>
        <v>0</v>
      </c>
      <c r="IS19" s="881">
        <f>+'FY-10, FEB-10 - JAN-11'!IS19*$EJ$80</f>
        <v>0</v>
      </c>
      <c r="IT19" s="881">
        <f>+'FY-10, FEB-10 - JAN-11'!IT19*$EJ$80</f>
        <v>0</v>
      </c>
      <c r="IU19" s="881">
        <f>+'FY-10, FEB-10 - JAN-11'!IU19*$EJ$80</f>
        <v>0</v>
      </c>
      <c r="IV19" s="881">
        <f>+'FY-10, FEB-10 - JAN-11'!IV19*$EJ$80</f>
        <v>111064.76000000001</v>
      </c>
      <c r="IW19" s="682"/>
      <c r="IX19" s="406">
        <f>+D19*$EJ$80</f>
        <v>0</v>
      </c>
      <c r="IY19" s="406">
        <f t="shared" ref="IY19:JH19" si="34">+E19*$EJ$80</f>
        <v>0</v>
      </c>
      <c r="IZ19" s="406">
        <f t="shared" si="34"/>
        <v>0</v>
      </c>
      <c r="JA19" s="406">
        <f t="shared" si="34"/>
        <v>0</v>
      </c>
      <c r="JB19" s="406">
        <f t="shared" si="34"/>
        <v>174220.71200000003</v>
      </c>
      <c r="JC19" s="406">
        <f t="shared" si="34"/>
        <v>0</v>
      </c>
      <c r="JD19" s="406">
        <f t="shared" si="34"/>
        <v>0</v>
      </c>
      <c r="JE19" s="406">
        <f t="shared" si="34"/>
        <v>0</v>
      </c>
      <c r="JF19" s="406">
        <f t="shared" si="34"/>
        <v>0</v>
      </c>
      <c r="JG19" s="406">
        <f t="shared" si="34"/>
        <v>0</v>
      </c>
      <c r="JH19" s="406">
        <f t="shared" si="34"/>
        <v>249035.71200000003</v>
      </c>
      <c r="JI19" s="4">
        <f t="shared" si="18"/>
        <v>370259612.08599997</v>
      </c>
      <c r="JJ19" s="425">
        <f>'FY-09, FEB-09 - JAN-10, w TANs'!IT19</f>
        <v>0</v>
      </c>
      <c r="JK19" s="406">
        <f>'FY-09, FEB-09 - JAN-10, w TANs'!IU19</f>
        <v>0</v>
      </c>
    </row>
    <row r="20" spans="1:271" s="849" customFormat="1" ht="14.1" customHeight="1">
      <c r="A20" s="416" t="s">
        <v>31</v>
      </c>
      <c r="B20" s="416"/>
      <c r="C20" s="415"/>
      <c r="D20" s="416"/>
      <c r="E20" s="416"/>
      <c r="F20" s="416"/>
      <c r="G20" s="416">
        <v>33800000</v>
      </c>
      <c r="H20" s="416">
        <v>19500000</v>
      </c>
      <c r="I20" s="416"/>
      <c r="J20" s="416"/>
      <c r="K20" s="416"/>
      <c r="L20" s="416">
        <v>71000000</v>
      </c>
      <c r="M20" s="416">
        <v>450000</v>
      </c>
      <c r="N20" s="415">
        <v>43000000</v>
      </c>
      <c r="O20" s="416">
        <v>8100000</v>
      </c>
      <c r="P20" s="416"/>
      <c r="Q20" s="416"/>
      <c r="R20" s="416">
        <v>7100000</v>
      </c>
      <c r="S20" s="416">
        <v>5400000</v>
      </c>
      <c r="T20" s="416">
        <v>2000000</v>
      </c>
      <c r="U20" s="416"/>
      <c r="V20" s="441">
        <v>750000</v>
      </c>
      <c r="W20" s="441"/>
      <c r="X20" s="416"/>
      <c r="Y20" s="416"/>
      <c r="Z20" s="416">
        <v>15350000</v>
      </c>
      <c r="AA20" s="416"/>
      <c r="AB20" s="416"/>
      <c r="AC20" s="416">
        <v>4000000</v>
      </c>
      <c r="AD20" s="442"/>
      <c r="AE20" s="416"/>
      <c r="AF20" s="416">
        <v>5350000</v>
      </c>
      <c r="AG20" s="415"/>
      <c r="AH20" s="416">
        <v>7350000</v>
      </c>
      <c r="AI20" s="416">
        <v>1750000</v>
      </c>
      <c r="AJ20" s="416">
        <v>5350000</v>
      </c>
      <c r="AK20" s="416"/>
      <c r="AL20" s="416"/>
      <c r="AM20" s="416">
        <v>150000</v>
      </c>
      <c r="AN20" s="416"/>
      <c r="AO20" s="573"/>
      <c r="AP20" s="416">
        <v>5450000</v>
      </c>
      <c r="AQ20" s="416">
        <v>300000</v>
      </c>
      <c r="AR20" s="416">
        <v>250000</v>
      </c>
      <c r="AS20" s="416"/>
      <c r="AT20" s="416">
        <v>1400000</v>
      </c>
      <c r="AU20" s="416">
        <v>9500000</v>
      </c>
      <c r="AV20" s="416">
        <v>1050000</v>
      </c>
      <c r="AW20" s="416"/>
      <c r="AX20" s="416"/>
      <c r="AY20" s="416"/>
      <c r="AZ20" s="416">
        <v>3300000</v>
      </c>
      <c r="BA20" s="416"/>
      <c r="BB20" s="416">
        <v>1350000</v>
      </c>
      <c r="BC20" s="416"/>
      <c r="BD20" s="415">
        <v>4950000</v>
      </c>
      <c r="BE20" s="416">
        <v>16250000</v>
      </c>
      <c r="BF20" s="416"/>
      <c r="BG20" s="416">
        <v>6800000</v>
      </c>
      <c r="BH20" s="416">
        <v>10000000</v>
      </c>
      <c r="BI20" s="416"/>
      <c r="BJ20" s="416"/>
      <c r="BK20" s="416"/>
      <c r="BL20" s="416">
        <v>500000</v>
      </c>
      <c r="BM20" s="416"/>
      <c r="BN20" s="416"/>
      <c r="BO20" s="416"/>
      <c r="BP20" s="416"/>
      <c r="BQ20" s="416"/>
      <c r="BR20" s="416"/>
      <c r="BS20" s="416">
        <v>4000000</v>
      </c>
      <c r="BT20" s="416"/>
      <c r="BU20" s="416"/>
      <c r="BV20" s="416"/>
      <c r="BW20" s="416"/>
      <c r="BX20" s="415"/>
      <c r="BY20" s="416"/>
      <c r="BZ20" s="416"/>
      <c r="CA20" s="416"/>
      <c r="CB20" s="416"/>
      <c r="CC20" s="416"/>
      <c r="CD20" s="416"/>
      <c r="CE20" s="416"/>
      <c r="CF20" s="416"/>
      <c r="CG20" s="416"/>
      <c r="CH20" s="416"/>
      <c r="CI20" s="416"/>
      <c r="CJ20" s="416"/>
      <c r="CK20" s="416"/>
      <c r="CL20" s="416"/>
      <c r="CM20" s="416"/>
      <c r="CN20" s="416"/>
      <c r="CO20" s="416"/>
      <c r="CP20" s="416"/>
      <c r="CQ20" s="416"/>
      <c r="CR20" s="416"/>
      <c r="CS20" s="416"/>
      <c r="CT20" s="415"/>
      <c r="CU20" s="416"/>
      <c r="CV20" s="416"/>
      <c r="CW20" s="416"/>
      <c r="CX20" s="416"/>
      <c r="CY20" s="416"/>
      <c r="CZ20" s="416"/>
      <c r="DA20" s="416"/>
      <c r="DB20" s="416"/>
      <c r="DC20" s="416"/>
      <c r="DD20" s="416"/>
      <c r="DE20" s="416"/>
      <c r="DF20" s="416"/>
      <c r="DG20" s="416"/>
      <c r="DH20" s="416"/>
      <c r="DI20" s="416"/>
      <c r="DJ20" s="416"/>
      <c r="DK20" s="416"/>
      <c r="DL20" s="416">
        <v>0</v>
      </c>
      <c r="DM20" s="416">
        <v>0</v>
      </c>
      <c r="DN20" s="416">
        <v>0</v>
      </c>
      <c r="DO20" s="415">
        <v>0</v>
      </c>
      <c r="DP20" s="416">
        <v>0</v>
      </c>
      <c r="DQ20" s="416">
        <v>0</v>
      </c>
      <c r="DR20" s="416">
        <v>0</v>
      </c>
      <c r="DS20" s="416">
        <v>0</v>
      </c>
      <c r="DT20" s="416">
        <v>0</v>
      </c>
      <c r="DU20" s="416">
        <v>0</v>
      </c>
      <c r="DV20" s="416">
        <v>0</v>
      </c>
      <c r="DW20" s="416">
        <v>0</v>
      </c>
      <c r="DX20" s="416">
        <v>0</v>
      </c>
      <c r="DY20" s="416">
        <v>0</v>
      </c>
      <c r="DZ20" s="416">
        <v>0</v>
      </c>
      <c r="EA20" s="416">
        <v>0</v>
      </c>
      <c r="EB20" s="416">
        <v>0</v>
      </c>
      <c r="EC20" s="416">
        <v>0</v>
      </c>
      <c r="ED20" s="416">
        <v>0</v>
      </c>
      <c r="EE20" s="416">
        <v>0</v>
      </c>
      <c r="EF20" s="416">
        <v>0</v>
      </c>
      <c r="EG20" s="416">
        <v>0</v>
      </c>
      <c r="EH20" s="416">
        <v>0</v>
      </c>
      <c r="EI20" s="416">
        <v>0</v>
      </c>
      <c r="EJ20" s="415">
        <v>0</v>
      </c>
      <c r="EK20" s="416">
        <v>0</v>
      </c>
      <c r="EL20" s="416">
        <v>0</v>
      </c>
      <c r="EM20" s="416">
        <v>0</v>
      </c>
      <c r="EN20" s="416">
        <v>0</v>
      </c>
      <c r="EO20" s="416">
        <v>0</v>
      </c>
      <c r="EP20" s="416">
        <v>0</v>
      </c>
      <c r="EQ20" s="416">
        <v>0</v>
      </c>
      <c r="ER20" s="416">
        <v>0</v>
      </c>
      <c r="ES20" s="416">
        <v>0</v>
      </c>
      <c r="ET20" s="416">
        <v>0</v>
      </c>
      <c r="EU20" s="416">
        <v>0</v>
      </c>
      <c r="EV20" s="416">
        <v>0</v>
      </c>
      <c r="EW20" s="416">
        <v>0</v>
      </c>
      <c r="EX20" s="416">
        <v>0</v>
      </c>
      <c r="EY20" s="416">
        <v>0</v>
      </c>
      <c r="EZ20" s="416">
        <v>0</v>
      </c>
      <c r="FA20" s="416">
        <v>0</v>
      </c>
      <c r="FB20" s="416">
        <v>0</v>
      </c>
      <c r="FC20" s="416">
        <v>0</v>
      </c>
      <c r="FD20" s="416">
        <v>0</v>
      </c>
      <c r="FE20" s="416">
        <v>0</v>
      </c>
      <c r="FF20" s="415">
        <v>0</v>
      </c>
      <c r="FG20" s="416">
        <v>0</v>
      </c>
      <c r="FH20" s="416">
        <v>0</v>
      </c>
      <c r="FI20" s="416">
        <v>0</v>
      </c>
      <c r="FJ20" s="416">
        <v>0</v>
      </c>
      <c r="FK20" s="416">
        <v>0</v>
      </c>
      <c r="FL20" s="416">
        <v>0</v>
      </c>
      <c r="FM20" s="416">
        <v>0</v>
      </c>
      <c r="FN20" s="416">
        <v>0</v>
      </c>
      <c r="FO20" s="416">
        <v>0</v>
      </c>
      <c r="FP20" s="416">
        <v>0</v>
      </c>
      <c r="FQ20" s="416">
        <v>0</v>
      </c>
      <c r="FR20" s="416">
        <v>0</v>
      </c>
      <c r="FS20" s="416">
        <v>0</v>
      </c>
      <c r="FT20" s="416">
        <v>0</v>
      </c>
      <c r="FU20" s="416">
        <v>0</v>
      </c>
      <c r="FV20" s="416">
        <v>0</v>
      </c>
      <c r="FW20" s="416">
        <v>0</v>
      </c>
      <c r="FX20" s="416">
        <v>0</v>
      </c>
      <c r="FY20" s="416">
        <v>0</v>
      </c>
      <c r="FZ20" s="415">
        <v>0</v>
      </c>
      <c r="GA20" s="416">
        <v>0</v>
      </c>
      <c r="GB20" s="416">
        <v>0</v>
      </c>
      <c r="GC20" s="416">
        <v>0</v>
      </c>
      <c r="GD20" s="416">
        <v>0</v>
      </c>
      <c r="GE20" s="416">
        <v>0</v>
      </c>
      <c r="GF20" s="416">
        <v>0</v>
      </c>
      <c r="GG20" s="416">
        <v>0</v>
      </c>
      <c r="GH20" s="416">
        <v>0</v>
      </c>
      <c r="GI20" s="416">
        <v>0</v>
      </c>
      <c r="GJ20" s="416">
        <v>0</v>
      </c>
      <c r="GK20" s="416">
        <v>0</v>
      </c>
      <c r="GL20" s="416">
        <v>0</v>
      </c>
      <c r="GM20" s="416">
        <v>0</v>
      </c>
      <c r="GN20" s="416">
        <v>0</v>
      </c>
      <c r="GO20" s="416">
        <v>0</v>
      </c>
      <c r="GP20" s="416">
        <v>0</v>
      </c>
      <c r="GQ20" s="416">
        <v>0</v>
      </c>
      <c r="GR20" s="416">
        <v>0</v>
      </c>
      <c r="GS20" s="416">
        <v>0</v>
      </c>
      <c r="GT20" s="416">
        <v>0</v>
      </c>
      <c r="GU20" s="415">
        <v>0</v>
      </c>
      <c r="GV20" s="416">
        <v>0</v>
      </c>
      <c r="GW20" s="416">
        <v>0</v>
      </c>
      <c r="GX20" s="416">
        <v>0</v>
      </c>
      <c r="GY20" s="416">
        <v>0</v>
      </c>
      <c r="GZ20" s="416">
        <v>0</v>
      </c>
      <c r="HA20" s="416">
        <v>0</v>
      </c>
      <c r="HB20" s="416">
        <v>0</v>
      </c>
      <c r="HC20" s="416">
        <v>0</v>
      </c>
      <c r="HD20" s="416">
        <v>0</v>
      </c>
      <c r="HE20" s="416">
        <v>0</v>
      </c>
      <c r="HF20" s="416">
        <v>0</v>
      </c>
      <c r="HG20" s="416">
        <v>0</v>
      </c>
      <c r="HH20" s="416">
        <v>0</v>
      </c>
      <c r="HI20" s="416">
        <v>0</v>
      </c>
      <c r="HJ20" s="416">
        <v>0</v>
      </c>
      <c r="HK20" s="416">
        <v>0</v>
      </c>
      <c r="HL20" s="416">
        <v>0</v>
      </c>
      <c r="HM20" s="416">
        <v>0</v>
      </c>
      <c r="HN20" s="416">
        <v>0</v>
      </c>
      <c r="HO20" s="416">
        <v>0</v>
      </c>
      <c r="HP20" s="415">
        <v>0</v>
      </c>
      <c r="HQ20" s="416">
        <v>0</v>
      </c>
      <c r="HR20" s="416">
        <v>0</v>
      </c>
      <c r="HS20" s="416">
        <v>0</v>
      </c>
      <c r="HT20" s="416">
        <v>0</v>
      </c>
      <c r="HU20" s="416">
        <v>0</v>
      </c>
      <c r="HV20" s="416">
        <v>0</v>
      </c>
      <c r="HW20" s="416">
        <v>0</v>
      </c>
      <c r="HX20" s="416">
        <v>0</v>
      </c>
      <c r="HY20" s="416">
        <v>0</v>
      </c>
      <c r="HZ20" s="416">
        <v>0</v>
      </c>
      <c r="IA20" s="416">
        <v>0</v>
      </c>
      <c r="IB20" s="416">
        <v>0</v>
      </c>
      <c r="IC20" s="416">
        <v>0</v>
      </c>
      <c r="ID20" s="416">
        <v>0</v>
      </c>
      <c r="IE20" s="416">
        <v>0</v>
      </c>
      <c r="IF20" s="416">
        <v>0</v>
      </c>
      <c r="IG20" s="416">
        <v>0</v>
      </c>
      <c r="IH20" s="416">
        <v>0</v>
      </c>
      <c r="II20" s="416">
        <v>0</v>
      </c>
      <c r="IJ20" s="416">
        <v>0</v>
      </c>
      <c r="IK20" s="416">
        <v>0</v>
      </c>
      <c r="IL20" s="415">
        <v>0</v>
      </c>
      <c r="IM20" s="416">
        <v>0</v>
      </c>
      <c r="IN20" s="416">
        <v>0</v>
      </c>
      <c r="IO20" s="416">
        <v>0</v>
      </c>
      <c r="IP20" s="416">
        <v>0</v>
      </c>
      <c r="IQ20" s="416">
        <v>0</v>
      </c>
      <c r="IR20" s="416">
        <v>0</v>
      </c>
      <c r="IS20" s="416">
        <v>0</v>
      </c>
      <c r="IT20" s="416">
        <v>0</v>
      </c>
      <c r="IU20" s="416">
        <v>0</v>
      </c>
      <c r="IV20" s="416">
        <v>0</v>
      </c>
      <c r="IW20" s="682"/>
      <c r="IX20" s="416">
        <v>0</v>
      </c>
      <c r="IY20" s="416">
        <v>0</v>
      </c>
      <c r="IZ20" s="416">
        <v>0</v>
      </c>
      <c r="JA20" s="416">
        <v>0</v>
      </c>
      <c r="JB20" s="416">
        <v>0</v>
      </c>
      <c r="JC20" s="416">
        <v>0</v>
      </c>
      <c r="JD20" s="416">
        <v>0</v>
      </c>
      <c r="JE20" s="416">
        <v>0</v>
      </c>
      <c r="JF20" s="416">
        <v>0</v>
      </c>
      <c r="JG20" s="416">
        <v>0</v>
      </c>
      <c r="JH20" s="416">
        <v>0</v>
      </c>
      <c r="JI20" s="4">
        <f t="shared" si="18"/>
        <v>295500000</v>
      </c>
      <c r="JJ20" s="416"/>
      <c r="JK20" s="416"/>
    </row>
    <row r="21" spans="1:271" s="418" customFormat="1" ht="14.1" customHeight="1">
      <c r="A21" s="416" t="s">
        <v>141</v>
      </c>
      <c r="B21" s="416"/>
      <c r="C21" s="415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5"/>
      <c r="O21" s="416"/>
      <c r="P21" s="416"/>
      <c r="Q21" s="416"/>
      <c r="R21" s="416"/>
      <c r="S21" s="416"/>
      <c r="T21" s="416"/>
      <c r="U21" s="416"/>
      <c r="V21" s="441"/>
      <c r="W21" s="441"/>
      <c r="X21" s="416"/>
      <c r="Y21" s="416"/>
      <c r="Z21" s="416"/>
      <c r="AA21" s="416">
        <v>5450000</v>
      </c>
      <c r="AB21" s="416"/>
      <c r="AC21" s="416"/>
      <c r="AD21" s="444"/>
      <c r="AE21" s="416"/>
      <c r="AF21" s="416"/>
      <c r="AG21" s="415">
        <v>298.05</v>
      </c>
      <c r="AH21" s="416"/>
      <c r="AI21" s="416"/>
      <c r="AJ21" s="416"/>
      <c r="AK21" s="416"/>
      <c r="AL21" s="416"/>
      <c r="AM21" s="416"/>
      <c r="AN21" s="416"/>
      <c r="AO21" s="573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5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  <c r="BR21" s="416"/>
      <c r="BS21" s="416"/>
      <c r="BT21" s="416"/>
      <c r="BU21" s="416"/>
      <c r="BV21" s="416"/>
      <c r="BW21" s="416"/>
      <c r="BX21" s="415"/>
      <c r="BY21" s="416">
        <v>10000000</v>
      </c>
      <c r="BZ21" s="416"/>
      <c r="CA21" s="416">
        <v>8000000</v>
      </c>
      <c r="CB21" s="416"/>
      <c r="CC21" s="416"/>
      <c r="CD21" s="416"/>
      <c r="CE21" s="416"/>
      <c r="CF21" s="416"/>
      <c r="CG21" s="416"/>
      <c r="CH21" s="416">
        <v>5000000</v>
      </c>
      <c r="CI21" s="416">
        <v>6000000</v>
      </c>
      <c r="CJ21" s="416"/>
      <c r="CK21" s="416"/>
      <c r="CL21" s="416"/>
      <c r="CM21" s="416"/>
      <c r="CN21" s="416"/>
      <c r="CO21" s="416"/>
      <c r="CP21" s="416"/>
      <c r="CQ21" s="416"/>
      <c r="CR21" s="416"/>
      <c r="CS21" s="416"/>
      <c r="CT21" s="415">
        <v>12000000</v>
      </c>
      <c r="CU21" s="416">
        <v>7000000</v>
      </c>
      <c r="CV21" s="416"/>
      <c r="CW21" s="416"/>
      <c r="CX21" s="416"/>
      <c r="CY21" s="416"/>
      <c r="CZ21" s="416"/>
      <c r="DA21" s="416"/>
      <c r="DB21" s="416"/>
      <c r="DC21" s="416"/>
      <c r="DD21" s="416"/>
      <c r="DE21" s="416"/>
      <c r="DF21" s="416"/>
      <c r="DG21" s="416"/>
      <c r="DH21" s="416"/>
      <c r="DI21" s="416"/>
      <c r="DJ21" s="416"/>
      <c r="DK21" s="416"/>
      <c r="DL21" s="416">
        <v>0</v>
      </c>
      <c r="DM21" s="416">
        <v>0</v>
      </c>
      <c r="DN21" s="416">
        <v>0</v>
      </c>
      <c r="DO21" s="415">
        <v>0</v>
      </c>
      <c r="DP21" s="416">
        <v>0</v>
      </c>
      <c r="DQ21" s="416">
        <v>0</v>
      </c>
      <c r="DR21" s="416">
        <v>0</v>
      </c>
      <c r="DS21" s="416">
        <v>0</v>
      </c>
      <c r="DT21" s="416">
        <v>0</v>
      </c>
      <c r="DU21" s="416">
        <v>0</v>
      </c>
      <c r="DV21" s="416">
        <v>0</v>
      </c>
      <c r="DW21" s="416">
        <v>0</v>
      </c>
      <c r="DX21" s="416">
        <v>0</v>
      </c>
      <c r="DY21" s="416">
        <v>0</v>
      </c>
      <c r="DZ21" s="416">
        <v>0</v>
      </c>
      <c r="EA21" s="416">
        <v>0</v>
      </c>
      <c r="EB21" s="416">
        <v>0</v>
      </c>
      <c r="EC21" s="416">
        <v>0</v>
      </c>
      <c r="ED21" s="416">
        <v>0</v>
      </c>
      <c r="EE21" s="416">
        <v>0</v>
      </c>
      <c r="EF21" s="416">
        <v>0</v>
      </c>
      <c r="EG21" s="416">
        <v>0</v>
      </c>
      <c r="EH21" s="416">
        <v>0</v>
      </c>
      <c r="EI21" s="416">
        <v>0</v>
      </c>
      <c r="EJ21" s="415">
        <v>0</v>
      </c>
      <c r="EK21" s="416">
        <v>0</v>
      </c>
      <c r="EL21" s="416">
        <v>0</v>
      </c>
      <c r="EM21" s="416">
        <v>0</v>
      </c>
      <c r="EN21" s="416">
        <v>0</v>
      </c>
      <c r="EO21" s="416">
        <v>0</v>
      </c>
      <c r="EP21" s="416">
        <v>0</v>
      </c>
      <c r="EQ21" s="416">
        <v>0</v>
      </c>
      <c r="ER21" s="416">
        <v>0</v>
      </c>
      <c r="ES21" s="416">
        <v>0</v>
      </c>
      <c r="ET21" s="416">
        <v>0</v>
      </c>
      <c r="EU21" s="416">
        <v>0</v>
      </c>
      <c r="EV21" s="416">
        <v>0</v>
      </c>
      <c r="EW21" s="416">
        <v>0</v>
      </c>
      <c r="EX21" s="416">
        <v>0</v>
      </c>
      <c r="EY21" s="416">
        <v>0</v>
      </c>
      <c r="EZ21" s="416">
        <v>0</v>
      </c>
      <c r="FA21" s="416">
        <v>0</v>
      </c>
      <c r="FB21" s="416">
        <v>0</v>
      </c>
      <c r="FC21" s="416">
        <v>0</v>
      </c>
      <c r="FD21" s="416">
        <v>0</v>
      </c>
      <c r="FE21" s="416">
        <v>0</v>
      </c>
      <c r="FF21" s="415">
        <v>0</v>
      </c>
      <c r="FG21" s="416">
        <v>0</v>
      </c>
      <c r="FH21" s="416">
        <v>0</v>
      </c>
      <c r="FI21" s="416">
        <v>0</v>
      </c>
      <c r="FJ21" s="416">
        <v>0</v>
      </c>
      <c r="FK21" s="416">
        <v>0</v>
      </c>
      <c r="FL21" s="416">
        <v>0</v>
      </c>
      <c r="FM21" s="416">
        <v>0</v>
      </c>
      <c r="FN21" s="416">
        <v>0</v>
      </c>
      <c r="FO21" s="416">
        <v>0</v>
      </c>
      <c r="FP21" s="416">
        <v>0</v>
      </c>
      <c r="FQ21" s="416">
        <v>0</v>
      </c>
      <c r="FR21" s="416">
        <v>0</v>
      </c>
      <c r="FS21" s="416">
        <v>0</v>
      </c>
      <c r="FT21" s="416">
        <v>0</v>
      </c>
      <c r="FU21" s="416">
        <v>0</v>
      </c>
      <c r="FV21" s="416">
        <v>0</v>
      </c>
      <c r="FW21" s="416">
        <v>0</v>
      </c>
      <c r="FX21" s="416">
        <v>0</v>
      </c>
      <c r="FY21" s="416">
        <v>0</v>
      </c>
      <c r="FZ21" s="415">
        <v>0</v>
      </c>
      <c r="GA21" s="416">
        <v>0</v>
      </c>
      <c r="GB21" s="416">
        <v>0</v>
      </c>
      <c r="GC21" s="416">
        <v>0</v>
      </c>
      <c r="GD21" s="416">
        <v>0</v>
      </c>
      <c r="GE21" s="416">
        <v>0</v>
      </c>
      <c r="GF21" s="416">
        <v>0</v>
      </c>
      <c r="GG21" s="416">
        <v>0</v>
      </c>
      <c r="GH21" s="416">
        <v>0</v>
      </c>
      <c r="GI21" s="416">
        <v>0</v>
      </c>
      <c r="GJ21" s="416">
        <v>0</v>
      </c>
      <c r="GK21" s="416">
        <v>0</v>
      </c>
      <c r="GL21" s="416">
        <v>0</v>
      </c>
      <c r="GM21" s="416">
        <v>0</v>
      </c>
      <c r="GN21" s="416">
        <v>0</v>
      </c>
      <c r="GO21" s="416">
        <v>0</v>
      </c>
      <c r="GP21" s="416">
        <v>0</v>
      </c>
      <c r="GQ21" s="416">
        <v>0</v>
      </c>
      <c r="GR21" s="416">
        <v>0</v>
      </c>
      <c r="GS21" s="416">
        <v>0</v>
      </c>
      <c r="GT21" s="416">
        <v>0</v>
      </c>
      <c r="GU21" s="415">
        <v>0</v>
      </c>
      <c r="GV21" s="416">
        <v>0</v>
      </c>
      <c r="GW21" s="416">
        <v>0</v>
      </c>
      <c r="GX21" s="416">
        <v>0</v>
      </c>
      <c r="GY21" s="416">
        <v>0</v>
      </c>
      <c r="GZ21" s="416">
        <v>0</v>
      </c>
      <c r="HA21" s="416">
        <v>0</v>
      </c>
      <c r="HB21" s="416">
        <v>0</v>
      </c>
      <c r="HC21" s="416">
        <v>0</v>
      </c>
      <c r="HD21" s="416">
        <v>0</v>
      </c>
      <c r="HE21" s="416">
        <v>0</v>
      </c>
      <c r="HF21" s="416">
        <v>0</v>
      </c>
      <c r="HG21" s="416">
        <v>0</v>
      </c>
      <c r="HH21" s="416">
        <v>0</v>
      </c>
      <c r="HI21" s="416">
        <v>0</v>
      </c>
      <c r="HJ21" s="416">
        <v>0</v>
      </c>
      <c r="HK21" s="416">
        <v>0</v>
      </c>
      <c r="HL21" s="416">
        <v>0</v>
      </c>
      <c r="HM21" s="416">
        <v>0</v>
      </c>
      <c r="HN21" s="416">
        <v>0</v>
      </c>
      <c r="HO21" s="416">
        <v>0</v>
      </c>
      <c r="HP21" s="415">
        <v>0</v>
      </c>
      <c r="HQ21" s="416">
        <v>0</v>
      </c>
      <c r="HR21" s="416">
        <v>0</v>
      </c>
      <c r="HS21" s="416">
        <v>0</v>
      </c>
      <c r="HT21" s="416">
        <v>0</v>
      </c>
      <c r="HU21" s="416">
        <v>0</v>
      </c>
      <c r="HV21" s="416">
        <v>0</v>
      </c>
      <c r="HW21" s="416">
        <v>0</v>
      </c>
      <c r="HX21" s="416">
        <v>0</v>
      </c>
      <c r="HY21" s="416">
        <v>0</v>
      </c>
      <c r="HZ21" s="416">
        <v>0</v>
      </c>
      <c r="IA21" s="416">
        <v>0</v>
      </c>
      <c r="IB21" s="416">
        <v>0</v>
      </c>
      <c r="IC21" s="416">
        <v>0</v>
      </c>
      <c r="ID21" s="416">
        <v>0</v>
      </c>
      <c r="IE21" s="416">
        <v>0</v>
      </c>
      <c r="IF21" s="416">
        <v>0</v>
      </c>
      <c r="IG21" s="416">
        <v>0</v>
      </c>
      <c r="IH21" s="416">
        <v>0</v>
      </c>
      <c r="II21" s="416">
        <v>0</v>
      </c>
      <c r="IJ21" s="416">
        <v>0</v>
      </c>
      <c r="IK21" s="416">
        <v>0</v>
      </c>
      <c r="IL21" s="415">
        <v>0</v>
      </c>
      <c r="IM21" s="416">
        <v>0</v>
      </c>
      <c r="IN21" s="416">
        <v>0</v>
      </c>
      <c r="IO21" s="416">
        <v>0</v>
      </c>
      <c r="IP21" s="416">
        <v>0</v>
      </c>
      <c r="IQ21" s="416">
        <v>0</v>
      </c>
      <c r="IR21" s="416">
        <v>0</v>
      </c>
      <c r="IS21" s="416">
        <v>0</v>
      </c>
      <c r="IT21" s="416">
        <v>0</v>
      </c>
      <c r="IU21" s="416">
        <v>0</v>
      </c>
      <c r="IV21" s="416">
        <v>0</v>
      </c>
      <c r="IW21" s="682"/>
      <c r="IX21" s="416">
        <v>0</v>
      </c>
      <c r="IY21" s="416">
        <v>0</v>
      </c>
      <c r="IZ21" s="416">
        <v>0</v>
      </c>
      <c r="JA21" s="416">
        <v>0</v>
      </c>
      <c r="JB21" s="416">
        <v>0</v>
      </c>
      <c r="JC21" s="416">
        <v>0</v>
      </c>
      <c r="JD21" s="416">
        <v>0</v>
      </c>
      <c r="JE21" s="416">
        <v>0</v>
      </c>
      <c r="JF21" s="416">
        <v>0</v>
      </c>
      <c r="JG21" s="416">
        <v>0</v>
      </c>
      <c r="JH21" s="416">
        <v>0</v>
      </c>
      <c r="JI21" s="4">
        <f t="shared" si="18"/>
        <v>53450298.049999997</v>
      </c>
      <c r="JJ21" s="416"/>
      <c r="JK21" s="416"/>
    </row>
    <row r="22" spans="1:271" s="438" customFormat="1" ht="14.1" customHeight="1">
      <c r="A22" s="406" t="s">
        <v>232</v>
      </c>
      <c r="B22" s="406"/>
      <c r="C22" s="43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N22" s="43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37"/>
      <c r="AE22" s="406"/>
      <c r="AF22" s="406"/>
      <c r="AG22" s="436"/>
      <c r="AH22" s="406"/>
      <c r="AI22" s="406"/>
      <c r="AJ22" s="406"/>
      <c r="AK22" s="406"/>
      <c r="AL22" s="406"/>
      <c r="AM22" s="406"/>
      <c r="AN22" s="406"/>
      <c r="AO22" s="572"/>
      <c r="AP22" s="406"/>
      <c r="AQ22" s="406"/>
      <c r="AR22" s="406"/>
      <c r="AS22" s="406"/>
      <c r="AT22" s="406"/>
      <c r="AU22" s="406"/>
      <c r="AV22" s="406"/>
      <c r="AW22" s="406">
        <v>22000000</v>
      </c>
      <c r="AX22" s="406"/>
      <c r="AY22" s="406"/>
      <c r="AZ22" s="406"/>
      <c r="BA22" s="406"/>
      <c r="BB22" s="406"/>
      <c r="BC22" s="406"/>
      <c r="BD22" s="436">
        <v>15000000</v>
      </c>
      <c r="BE22" s="406"/>
      <c r="BF22" s="406"/>
      <c r="BG22" s="406"/>
      <c r="BH22" s="406"/>
      <c r="BI22" s="406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36"/>
      <c r="BY22" s="406"/>
      <c r="BZ22" s="406"/>
      <c r="CA22" s="406"/>
      <c r="CB22" s="406"/>
      <c r="CC22" s="406"/>
      <c r="CD22" s="406"/>
      <c r="CE22" s="406"/>
      <c r="CF22" s="406"/>
      <c r="CG22" s="406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36">
        <v>3000000</v>
      </c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6"/>
      <c r="DI22" s="406"/>
      <c r="DJ22" s="406"/>
      <c r="DK22" s="406"/>
      <c r="DL22" s="406">
        <v>0</v>
      </c>
      <c r="DM22" s="406">
        <v>0</v>
      </c>
      <c r="DN22" s="406">
        <v>0</v>
      </c>
      <c r="DO22" s="436">
        <v>0</v>
      </c>
      <c r="DP22" s="406">
        <v>0</v>
      </c>
      <c r="DQ22" s="406">
        <v>0</v>
      </c>
      <c r="DR22" s="406">
        <v>0</v>
      </c>
      <c r="DS22" s="406">
        <v>0</v>
      </c>
      <c r="DT22" s="406">
        <v>0</v>
      </c>
      <c r="DU22" s="406">
        <v>0</v>
      </c>
      <c r="DV22" s="406">
        <v>0</v>
      </c>
      <c r="DW22" s="406">
        <v>0</v>
      </c>
      <c r="DX22" s="406">
        <v>0</v>
      </c>
      <c r="DY22" s="406">
        <v>0</v>
      </c>
      <c r="DZ22" s="406">
        <v>0</v>
      </c>
      <c r="EA22" s="406">
        <v>0</v>
      </c>
      <c r="EB22" s="406">
        <v>0</v>
      </c>
      <c r="EC22" s="406">
        <v>0</v>
      </c>
      <c r="ED22" s="406">
        <v>0</v>
      </c>
      <c r="EE22" s="406">
        <v>0</v>
      </c>
      <c r="EF22" s="406">
        <v>0</v>
      </c>
      <c r="EG22" s="406">
        <v>0</v>
      </c>
      <c r="EH22" s="406">
        <v>0</v>
      </c>
      <c r="EI22" s="406">
        <v>0</v>
      </c>
      <c r="EJ22" s="436">
        <v>0</v>
      </c>
      <c r="EK22" s="406">
        <v>0</v>
      </c>
      <c r="EL22" s="406">
        <v>0</v>
      </c>
      <c r="EM22" s="406">
        <v>0</v>
      </c>
      <c r="EN22" s="406">
        <v>0</v>
      </c>
      <c r="EO22" s="406">
        <v>0</v>
      </c>
      <c r="EP22" s="406">
        <v>0</v>
      </c>
      <c r="EQ22" s="406">
        <v>0</v>
      </c>
      <c r="ER22" s="406">
        <v>0</v>
      </c>
      <c r="ES22" s="406">
        <v>0</v>
      </c>
      <c r="ET22" s="406">
        <v>0</v>
      </c>
      <c r="EU22" s="406">
        <v>0</v>
      </c>
      <c r="EV22" s="406">
        <v>0</v>
      </c>
      <c r="EW22" s="406">
        <v>0</v>
      </c>
      <c r="EX22" s="406">
        <v>0</v>
      </c>
      <c r="EY22" s="406">
        <v>0</v>
      </c>
      <c r="EZ22" s="406">
        <v>0</v>
      </c>
      <c r="FA22" s="406">
        <v>0</v>
      </c>
      <c r="FB22" s="406">
        <v>0</v>
      </c>
      <c r="FC22" s="406">
        <v>0</v>
      </c>
      <c r="FD22" s="406">
        <v>0</v>
      </c>
      <c r="FE22" s="406">
        <v>0</v>
      </c>
      <c r="FF22" s="436">
        <v>0</v>
      </c>
      <c r="FG22" s="406">
        <v>0</v>
      </c>
      <c r="FH22" s="406">
        <v>0</v>
      </c>
      <c r="FI22" s="406">
        <v>0</v>
      </c>
      <c r="FJ22" s="406">
        <v>0</v>
      </c>
      <c r="FK22" s="406">
        <v>0</v>
      </c>
      <c r="FL22" s="406">
        <v>0</v>
      </c>
      <c r="FM22" s="406">
        <v>0</v>
      </c>
      <c r="FN22" s="406">
        <v>0</v>
      </c>
      <c r="FO22" s="406">
        <v>0</v>
      </c>
      <c r="FP22" s="406">
        <v>0</v>
      </c>
      <c r="FQ22" s="406">
        <v>0</v>
      </c>
      <c r="FR22" s="406">
        <v>0</v>
      </c>
      <c r="FS22" s="406">
        <v>0</v>
      </c>
      <c r="FT22" s="406">
        <v>0</v>
      </c>
      <c r="FU22" s="406">
        <v>0</v>
      </c>
      <c r="FV22" s="406">
        <v>0</v>
      </c>
      <c r="FW22" s="406">
        <v>0</v>
      </c>
      <c r="FX22" s="406">
        <v>0</v>
      </c>
      <c r="FY22" s="406">
        <v>0</v>
      </c>
      <c r="FZ22" s="436">
        <v>0</v>
      </c>
      <c r="GA22" s="406">
        <v>0</v>
      </c>
      <c r="GB22" s="406">
        <v>0</v>
      </c>
      <c r="GC22" s="406">
        <v>0</v>
      </c>
      <c r="GD22" s="406">
        <v>0</v>
      </c>
      <c r="GE22" s="406">
        <v>0</v>
      </c>
      <c r="GF22" s="406">
        <v>0</v>
      </c>
      <c r="GG22" s="406">
        <v>0</v>
      </c>
      <c r="GH22" s="406">
        <v>0</v>
      </c>
      <c r="GI22" s="406">
        <v>0</v>
      </c>
      <c r="GJ22" s="406">
        <v>0</v>
      </c>
      <c r="GK22" s="406">
        <v>0</v>
      </c>
      <c r="GL22" s="406">
        <v>0</v>
      </c>
      <c r="GM22" s="406">
        <v>0</v>
      </c>
      <c r="GN22" s="406">
        <v>0</v>
      </c>
      <c r="GO22" s="406">
        <v>0</v>
      </c>
      <c r="GP22" s="406">
        <v>0</v>
      </c>
      <c r="GQ22" s="406">
        <v>0</v>
      </c>
      <c r="GR22" s="406">
        <v>0</v>
      </c>
      <c r="GS22" s="406">
        <v>0</v>
      </c>
      <c r="GT22" s="406">
        <v>0</v>
      </c>
      <c r="GU22" s="436">
        <v>0</v>
      </c>
      <c r="GV22" s="406">
        <v>0</v>
      </c>
      <c r="GW22" s="406">
        <v>0</v>
      </c>
      <c r="GX22" s="406">
        <v>0</v>
      </c>
      <c r="GY22" s="406">
        <v>0</v>
      </c>
      <c r="GZ22" s="406">
        <v>0</v>
      </c>
      <c r="HA22" s="406">
        <v>0</v>
      </c>
      <c r="HB22" s="406">
        <v>0</v>
      </c>
      <c r="HC22" s="406">
        <v>0</v>
      </c>
      <c r="HD22" s="406">
        <v>0</v>
      </c>
      <c r="HE22" s="406">
        <v>0</v>
      </c>
      <c r="HF22" s="406">
        <v>0</v>
      </c>
      <c r="HG22" s="406">
        <v>0</v>
      </c>
      <c r="HH22" s="406">
        <v>0</v>
      </c>
      <c r="HI22" s="406">
        <v>0</v>
      </c>
      <c r="HJ22" s="406">
        <v>0</v>
      </c>
      <c r="HK22" s="406">
        <v>0</v>
      </c>
      <c r="HL22" s="406">
        <v>0</v>
      </c>
      <c r="HM22" s="406">
        <v>0</v>
      </c>
      <c r="HN22" s="406">
        <v>0</v>
      </c>
      <c r="HO22" s="406">
        <v>0</v>
      </c>
      <c r="HP22" s="436">
        <v>0</v>
      </c>
      <c r="HQ22" s="406">
        <v>0</v>
      </c>
      <c r="HR22" s="406">
        <v>0</v>
      </c>
      <c r="HS22" s="406">
        <v>0</v>
      </c>
      <c r="HT22" s="406">
        <v>0</v>
      </c>
      <c r="HU22" s="406">
        <v>0</v>
      </c>
      <c r="HV22" s="406">
        <v>0</v>
      </c>
      <c r="HW22" s="406">
        <v>0</v>
      </c>
      <c r="HX22" s="406">
        <v>0</v>
      </c>
      <c r="HY22" s="406">
        <v>0</v>
      </c>
      <c r="HZ22" s="406">
        <v>0</v>
      </c>
      <c r="IA22" s="406">
        <v>0</v>
      </c>
      <c r="IB22" s="406">
        <v>0</v>
      </c>
      <c r="IC22" s="406">
        <v>0</v>
      </c>
      <c r="ID22" s="406">
        <v>0</v>
      </c>
      <c r="IE22" s="406">
        <v>0</v>
      </c>
      <c r="IF22" s="406">
        <v>0</v>
      </c>
      <c r="IG22" s="406">
        <v>0</v>
      </c>
      <c r="IH22" s="406">
        <v>0</v>
      </c>
      <c r="II22" s="406">
        <v>0</v>
      </c>
      <c r="IJ22" s="406">
        <v>0</v>
      </c>
      <c r="IK22" s="406">
        <v>0</v>
      </c>
      <c r="IL22" s="436">
        <v>0</v>
      </c>
      <c r="IM22" s="406">
        <v>0</v>
      </c>
      <c r="IN22" s="406">
        <v>0</v>
      </c>
      <c r="IO22" s="406">
        <v>0</v>
      </c>
      <c r="IP22" s="406">
        <v>0</v>
      </c>
      <c r="IQ22" s="406">
        <v>0</v>
      </c>
      <c r="IR22" s="406">
        <v>0</v>
      </c>
      <c r="IS22" s="406">
        <v>0</v>
      </c>
      <c r="IT22" s="406">
        <v>0</v>
      </c>
      <c r="IU22" s="406">
        <v>0</v>
      </c>
      <c r="IV22" s="406">
        <v>0</v>
      </c>
      <c r="IW22" s="682"/>
      <c r="IX22" s="406">
        <v>0</v>
      </c>
      <c r="IY22" s="406">
        <v>0</v>
      </c>
      <c r="IZ22" s="406">
        <v>0</v>
      </c>
      <c r="JA22" s="406">
        <v>0</v>
      </c>
      <c r="JB22" s="406">
        <v>0</v>
      </c>
      <c r="JC22" s="406">
        <v>0</v>
      </c>
      <c r="JD22" s="406">
        <v>0</v>
      </c>
      <c r="JE22" s="406">
        <v>0</v>
      </c>
      <c r="JF22" s="406">
        <v>0</v>
      </c>
      <c r="JG22" s="406">
        <v>0</v>
      </c>
      <c r="JH22" s="406">
        <v>0</v>
      </c>
      <c r="JI22" s="4">
        <f t="shared" si="18"/>
        <v>40000000</v>
      </c>
      <c r="JJ22" s="406"/>
      <c r="JK22" s="406"/>
    </row>
    <row r="23" spans="1:271" s="438" customFormat="1" ht="14.1" customHeight="1">
      <c r="A23" s="406" t="s">
        <v>35</v>
      </c>
      <c r="B23" s="406"/>
      <c r="C23" s="436"/>
      <c r="D23" s="406"/>
      <c r="E23" s="406"/>
      <c r="F23" s="406"/>
      <c r="G23" s="406"/>
      <c r="H23" s="406"/>
      <c r="I23" s="406"/>
      <c r="J23" s="406"/>
      <c r="K23" s="406"/>
      <c r="L23" s="406"/>
      <c r="M23" s="406"/>
      <c r="N23" s="43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>
        <v>18000000</v>
      </c>
      <c r="AC23" s="406"/>
      <c r="AD23" s="406"/>
      <c r="AE23" s="406"/>
      <c r="AF23" s="406"/>
      <c r="AG23" s="436">
        <v>20000000</v>
      </c>
      <c r="AH23" s="406"/>
      <c r="AI23" s="406"/>
      <c r="AJ23" s="406"/>
      <c r="AK23" s="406"/>
      <c r="AL23" s="406"/>
      <c r="AM23" s="406"/>
      <c r="AN23" s="406"/>
      <c r="AO23" s="572"/>
      <c r="AP23" s="406"/>
      <c r="AQ23" s="406"/>
      <c r="AR23" s="406"/>
      <c r="AS23" s="406"/>
      <c r="AT23" s="406"/>
      <c r="AU23" s="406"/>
      <c r="AV23" s="406"/>
      <c r="AW23" s="406"/>
      <c r="AX23" s="406"/>
      <c r="AY23" s="406"/>
      <c r="AZ23" s="406"/>
      <c r="BA23" s="406"/>
      <c r="BB23" s="406"/>
      <c r="BC23" s="406"/>
      <c r="BD23" s="436">
        <v>30000000</v>
      </c>
      <c r="BE23" s="406"/>
      <c r="BF23" s="406"/>
      <c r="BG23" s="406"/>
      <c r="BH23" s="406"/>
      <c r="BI23" s="406"/>
      <c r="BJ23" s="406"/>
      <c r="BK23" s="406"/>
      <c r="BL23" s="406"/>
      <c r="BM23" s="406">
        <v>7000000</v>
      </c>
      <c r="BN23" s="406"/>
      <c r="BO23" s="406"/>
      <c r="BP23" s="406"/>
      <c r="BQ23" s="406"/>
      <c r="BR23" s="406"/>
      <c r="BS23" s="406"/>
      <c r="BT23" s="406"/>
      <c r="BU23" s="406"/>
      <c r="BV23" s="406"/>
      <c r="BW23" s="406"/>
      <c r="BX23" s="436"/>
      <c r="BY23" s="406"/>
      <c r="BZ23" s="406"/>
      <c r="CA23" s="406"/>
      <c r="CB23" s="406"/>
      <c r="CC23" s="406"/>
      <c r="CD23" s="406"/>
      <c r="CE23" s="406"/>
      <c r="CF23" s="406"/>
      <c r="CG23" s="406"/>
      <c r="CH23" s="406"/>
      <c r="CI23" s="406"/>
      <c r="CJ23" s="406"/>
      <c r="CK23" s="406"/>
      <c r="CL23" s="406"/>
      <c r="CM23" s="406"/>
      <c r="CN23" s="406"/>
      <c r="CO23" s="406"/>
      <c r="CP23" s="406"/>
      <c r="CQ23" s="406"/>
      <c r="CR23" s="406"/>
      <c r="CS23" s="406"/>
      <c r="CT23" s="436"/>
      <c r="CU23" s="406"/>
      <c r="CV23" s="406"/>
      <c r="CW23" s="406"/>
      <c r="CX23" s="406"/>
      <c r="CY23" s="406"/>
      <c r="CZ23" s="406"/>
      <c r="DA23" s="406"/>
      <c r="DB23" s="406"/>
      <c r="DC23" s="406"/>
      <c r="DD23" s="406"/>
      <c r="DE23" s="406"/>
      <c r="DF23" s="406"/>
      <c r="DG23" s="406"/>
      <c r="DH23" s="406"/>
      <c r="DI23" s="406"/>
      <c r="DJ23" s="406"/>
      <c r="DK23" s="406"/>
      <c r="DL23" s="406">
        <v>0</v>
      </c>
      <c r="DM23" s="406">
        <v>0</v>
      </c>
      <c r="DN23" s="406">
        <v>0</v>
      </c>
      <c r="DO23" s="436">
        <v>0</v>
      </c>
      <c r="DP23" s="406">
        <v>0</v>
      </c>
      <c r="DQ23" s="406">
        <v>0</v>
      </c>
      <c r="DR23" s="406">
        <v>0</v>
      </c>
      <c r="DS23" s="406">
        <v>0</v>
      </c>
      <c r="DT23" s="406">
        <v>0</v>
      </c>
      <c r="DU23" s="406">
        <v>0</v>
      </c>
      <c r="DV23" s="406">
        <v>0</v>
      </c>
      <c r="DW23" s="406">
        <v>0</v>
      </c>
      <c r="DX23" s="406">
        <v>0</v>
      </c>
      <c r="DY23" s="406">
        <v>0</v>
      </c>
      <c r="DZ23" s="406">
        <v>0</v>
      </c>
      <c r="EA23" s="406">
        <v>0</v>
      </c>
      <c r="EB23" s="406">
        <v>0</v>
      </c>
      <c r="EC23" s="406">
        <v>0</v>
      </c>
      <c r="ED23" s="406">
        <v>0</v>
      </c>
      <c r="EE23" s="406">
        <v>0</v>
      </c>
      <c r="EF23" s="406">
        <v>0</v>
      </c>
      <c r="EG23" s="406">
        <v>0</v>
      </c>
      <c r="EH23" s="406">
        <v>0</v>
      </c>
      <c r="EI23" s="406">
        <v>0</v>
      </c>
      <c r="EJ23" s="436">
        <v>0</v>
      </c>
      <c r="EK23" s="406">
        <v>0</v>
      </c>
      <c r="EL23" s="406">
        <v>0</v>
      </c>
      <c r="EM23" s="406">
        <v>0</v>
      </c>
      <c r="EN23" s="406">
        <v>0</v>
      </c>
      <c r="EO23" s="406">
        <v>0</v>
      </c>
      <c r="EP23" s="406">
        <v>0</v>
      </c>
      <c r="EQ23" s="406">
        <v>0</v>
      </c>
      <c r="ER23" s="406">
        <v>0</v>
      </c>
      <c r="ES23" s="406">
        <v>0</v>
      </c>
      <c r="ET23" s="406">
        <v>0</v>
      </c>
      <c r="EU23" s="406">
        <v>0</v>
      </c>
      <c r="EV23" s="406">
        <v>0</v>
      </c>
      <c r="EW23" s="406">
        <v>0</v>
      </c>
      <c r="EX23" s="406">
        <v>0</v>
      </c>
      <c r="EY23" s="406">
        <v>0</v>
      </c>
      <c r="EZ23" s="406">
        <v>0</v>
      </c>
      <c r="FA23" s="406">
        <v>0</v>
      </c>
      <c r="FB23" s="406">
        <v>0</v>
      </c>
      <c r="FC23" s="406">
        <v>0</v>
      </c>
      <c r="FD23" s="406">
        <v>0</v>
      </c>
      <c r="FE23" s="406">
        <v>0</v>
      </c>
      <c r="FF23" s="436">
        <v>0</v>
      </c>
      <c r="FG23" s="406">
        <v>0</v>
      </c>
      <c r="FH23" s="406">
        <v>0</v>
      </c>
      <c r="FI23" s="406">
        <v>0</v>
      </c>
      <c r="FJ23" s="406">
        <v>0</v>
      </c>
      <c r="FK23" s="406">
        <v>0</v>
      </c>
      <c r="FL23" s="406">
        <v>0</v>
      </c>
      <c r="FM23" s="406">
        <v>0</v>
      </c>
      <c r="FN23" s="406">
        <v>0</v>
      </c>
      <c r="FO23" s="406">
        <v>0</v>
      </c>
      <c r="FP23" s="406">
        <v>0</v>
      </c>
      <c r="FQ23" s="406">
        <v>0</v>
      </c>
      <c r="FR23" s="406">
        <v>0</v>
      </c>
      <c r="FS23" s="406">
        <v>0</v>
      </c>
      <c r="FT23" s="406">
        <v>0</v>
      </c>
      <c r="FU23" s="406">
        <v>0</v>
      </c>
      <c r="FV23" s="406">
        <v>0</v>
      </c>
      <c r="FW23" s="406">
        <v>0</v>
      </c>
      <c r="FX23" s="406">
        <v>0</v>
      </c>
      <c r="FY23" s="406">
        <v>0</v>
      </c>
      <c r="FZ23" s="436">
        <v>0</v>
      </c>
      <c r="GA23" s="406">
        <v>0</v>
      </c>
      <c r="GB23" s="406">
        <v>0</v>
      </c>
      <c r="GC23" s="406">
        <v>0</v>
      </c>
      <c r="GD23" s="406">
        <v>0</v>
      </c>
      <c r="GE23" s="406">
        <v>0</v>
      </c>
      <c r="GF23" s="406">
        <v>0</v>
      </c>
      <c r="GG23" s="406">
        <v>0</v>
      </c>
      <c r="GH23" s="406">
        <v>0</v>
      </c>
      <c r="GI23" s="406">
        <v>0</v>
      </c>
      <c r="GJ23" s="406">
        <v>0</v>
      </c>
      <c r="GK23" s="406">
        <v>0</v>
      </c>
      <c r="GL23" s="406">
        <v>0</v>
      </c>
      <c r="GM23" s="406">
        <v>0</v>
      </c>
      <c r="GN23" s="406">
        <v>0</v>
      </c>
      <c r="GO23" s="406">
        <v>0</v>
      </c>
      <c r="GP23" s="406">
        <v>0</v>
      </c>
      <c r="GQ23" s="406">
        <v>0</v>
      </c>
      <c r="GR23" s="406">
        <v>0</v>
      </c>
      <c r="GS23" s="406">
        <v>0</v>
      </c>
      <c r="GT23" s="406">
        <v>0</v>
      </c>
      <c r="GU23" s="436">
        <v>0</v>
      </c>
      <c r="GV23" s="406">
        <v>0</v>
      </c>
      <c r="GW23" s="406">
        <v>0</v>
      </c>
      <c r="GX23" s="406">
        <v>0</v>
      </c>
      <c r="GY23" s="406">
        <v>0</v>
      </c>
      <c r="GZ23" s="406">
        <v>0</v>
      </c>
      <c r="HA23" s="406">
        <v>0</v>
      </c>
      <c r="HB23" s="406">
        <v>0</v>
      </c>
      <c r="HC23" s="406">
        <v>0</v>
      </c>
      <c r="HD23" s="406">
        <v>0</v>
      </c>
      <c r="HE23" s="406">
        <v>0</v>
      </c>
      <c r="HF23" s="406">
        <v>0</v>
      </c>
      <c r="HG23" s="406">
        <v>0</v>
      </c>
      <c r="HH23" s="406">
        <v>0</v>
      </c>
      <c r="HI23" s="406">
        <v>0</v>
      </c>
      <c r="HJ23" s="406">
        <v>0</v>
      </c>
      <c r="HK23" s="406">
        <v>0</v>
      </c>
      <c r="HL23" s="406">
        <v>0</v>
      </c>
      <c r="HM23" s="406">
        <v>0</v>
      </c>
      <c r="HN23" s="406">
        <v>0</v>
      </c>
      <c r="HO23" s="406">
        <v>0</v>
      </c>
      <c r="HP23" s="436">
        <v>0</v>
      </c>
      <c r="HQ23" s="406">
        <v>0</v>
      </c>
      <c r="HR23" s="406">
        <v>0</v>
      </c>
      <c r="HS23" s="406">
        <v>0</v>
      </c>
      <c r="HT23" s="406">
        <v>0</v>
      </c>
      <c r="HU23" s="406">
        <v>0</v>
      </c>
      <c r="HV23" s="406">
        <v>0</v>
      </c>
      <c r="HW23" s="406">
        <v>0</v>
      </c>
      <c r="HX23" s="406">
        <v>0</v>
      </c>
      <c r="HY23" s="406">
        <v>0</v>
      </c>
      <c r="HZ23" s="406">
        <v>0</v>
      </c>
      <c r="IA23" s="406">
        <v>0</v>
      </c>
      <c r="IB23" s="406">
        <v>0</v>
      </c>
      <c r="IC23" s="406">
        <v>0</v>
      </c>
      <c r="ID23" s="406">
        <v>0</v>
      </c>
      <c r="IE23" s="406">
        <v>0</v>
      </c>
      <c r="IF23" s="406">
        <v>0</v>
      </c>
      <c r="IG23" s="406">
        <v>0</v>
      </c>
      <c r="IH23" s="406">
        <v>0</v>
      </c>
      <c r="II23" s="406">
        <v>0</v>
      </c>
      <c r="IJ23" s="406">
        <v>0</v>
      </c>
      <c r="IK23" s="406">
        <v>0</v>
      </c>
      <c r="IL23" s="436">
        <v>0</v>
      </c>
      <c r="IM23" s="406">
        <v>0</v>
      </c>
      <c r="IN23" s="406">
        <v>0</v>
      </c>
      <c r="IO23" s="406">
        <v>0</v>
      </c>
      <c r="IP23" s="406">
        <v>0</v>
      </c>
      <c r="IQ23" s="406">
        <v>0</v>
      </c>
      <c r="IR23" s="406">
        <v>0</v>
      </c>
      <c r="IS23" s="406">
        <v>0</v>
      </c>
      <c r="IT23" s="406">
        <v>0</v>
      </c>
      <c r="IU23" s="406">
        <v>0</v>
      </c>
      <c r="IV23" s="406">
        <v>0</v>
      </c>
      <c r="IW23" s="682"/>
      <c r="IX23" s="406">
        <v>0</v>
      </c>
      <c r="IY23" s="406">
        <v>0</v>
      </c>
      <c r="IZ23" s="406">
        <v>0</v>
      </c>
      <c r="JA23" s="406">
        <v>0</v>
      </c>
      <c r="JB23" s="406">
        <v>0</v>
      </c>
      <c r="JC23" s="406">
        <v>0</v>
      </c>
      <c r="JD23" s="406">
        <v>0</v>
      </c>
      <c r="JE23" s="406">
        <v>0</v>
      </c>
      <c r="JF23" s="406">
        <v>0</v>
      </c>
      <c r="JG23" s="406">
        <v>0</v>
      </c>
      <c r="JH23" s="406">
        <v>0</v>
      </c>
      <c r="JI23" s="4">
        <f t="shared" si="18"/>
        <v>75000000</v>
      </c>
      <c r="JJ23" s="406"/>
      <c r="JK23" s="406"/>
    </row>
    <row r="24" spans="1:271" s="438" customFormat="1" ht="14.1" customHeight="1">
      <c r="A24" s="406" t="s">
        <v>32</v>
      </c>
      <c r="B24" s="406"/>
      <c r="C24" s="436"/>
      <c r="D24" s="406"/>
      <c r="E24" s="406"/>
      <c r="F24" s="406"/>
      <c r="G24" s="406"/>
      <c r="H24" s="406"/>
      <c r="I24" s="406"/>
      <c r="J24" s="406"/>
      <c r="K24" s="406"/>
      <c r="L24" s="406"/>
      <c r="M24" s="406"/>
      <c r="N24" s="43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36">
        <v>50000000</v>
      </c>
      <c r="AH24" s="406"/>
      <c r="AI24" s="406"/>
      <c r="AJ24" s="406"/>
      <c r="AK24" s="406"/>
      <c r="AL24" s="406"/>
      <c r="AM24" s="406"/>
      <c r="AN24" s="406">
        <v>16000000</v>
      </c>
      <c r="AO24" s="572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36">
        <v>10000000</v>
      </c>
      <c r="BE24" s="406"/>
      <c r="BF24" s="406"/>
      <c r="BG24" s="406"/>
      <c r="BH24" s="406"/>
      <c r="BI24" s="406"/>
      <c r="BJ24" s="406"/>
      <c r="BK24" s="406">
        <v>15000000</v>
      </c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>
        <v>10000000</v>
      </c>
      <c r="BW24" s="406"/>
      <c r="BX24" s="436">
        <v>30000000</v>
      </c>
      <c r="BY24" s="406"/>
      <c r="BZ24" s="406"/>
      <c r="CA24" s="406"/>
      <c r="CB24" s="406"/>
      <c r="CC24" s="406"/>
      <c r="CD24" s="406"/>
      <c r="CE24" s="406"/>
      <c r="CF24" s="406"/>
      <c r="CG24" s="406"/>
      <c r="CH24" s="406"/>
      <c r="CI24" s="406"/>
      <c r="CJ24" s="406"/>
      <c r="CK24" s="406"/>
      <c r="CL24" s="406"/>
      <c r="CM24" s="406"/>
      <c r="CN24" s="406"/>
      <c r="CO24" s="406"/>
      <c r="CP24" s="406"/>
      <c r="CQ24" s="406"/>
      <c r="CR24" s="406"/>
      <c r="CS24" s="406"/>
      <c r="CT24" s="436">
        <v>40000000</v>
      </c>
      <c r="CU24" s="406">
        <v>7000000</v>
      </c>
      <c r="CV24" s="406"/>
      <c r="CW24" s="406"/>
      <c r="CX24" s="406"/>
      <c r="CY24" s="406"/>
      <c r="CZ24" s="406"/>
      <c r="DA24" s="406"/>
      <c r="DB24" s="406"/>
      <c r="DC24" s="406"/>
      <c r="DD24" s="406"/>
      <c r="DE24" s="406"/>
      <c r="DF24" s="406"/>
      <c r="DG24" s="406"/>
      <c r="DH24" s="406"/>
      <c r="DI24" s="406"/>
      <c r="DJ24" s="406"/>
      <c r="DK24" s="406"/>
      <c r="DL24" s="406">
        <v>0</v>
      </c>
      <c r="DM24" s="406">
        <v>0</v>
      </c>
      <c r="DN24" s="406">
        <v>0</v>
      </c>
      <c r="DO24" s="436">
        <v>0</v>
      </c>
      <c r="DP24" s="406">
        <v>0</v>
      </c>
      <c r="DQ24" s="406">
        <v>0</v>
      </c>
      <c r="DR24" s="406">
        <v>0</v>
      </c>
      <c r="DS24" s="406">
        <v>0</v>
      </c>
      <c r="DT24" s="406">
        <v>0</v>
      </c>
      <c r="DU24" s="406">
        <v>0</v>
      </c>
      <c r="DV24" s="406">
        <v>0</v>
      </c>
      <c r="DW24" s="406">
        <v>0</v>
      </c>
      <c r="DX24" s="406">
        <v>0</v>
      </c>
      <c r="DY24" s="406">
        <v>0</v>
      </c>
      <c r="DZ24" s="406">
        <v>0</v>
      </c>
      <c r="EA24" s="406">
        <v>0</v>
      </c>
      <c r="EB24" s="406">
        <v>0</v>
      </c>
      <c r="EC24" s="406">
        <v>0</v>
      </c>
      <c r="ED24" s="406">
        <v>0</v>
      </c>
      <c r="EE24" s="406">
        <v>0</v>
      </c>
      <c r="EF24" s="406">
        <v>0</v>
      </c>
      <c r="EG24" s="406">
        <v>0</v>
      </c>
      <c r="EH24" s="406">
        <v>0</v>
      </c>
      <c r="EI24" s="406">
        <v>0</v>
      </c>
      <c r="EJ24" s="436">
        <v>0</v>
      </c>
      <c r="EK24" s="406">
        <v>0</v>
      </c>
      <c r="EL24" s="406">
        <v>0</v>
      </c>
      <c r="EM24" s="406">
        <v>0</v>
      </c>
      <c r="EN24" s="406">
        <v>0</v>
      </c>
      <c r="EO24" s="406">
        <v>0</v>
      </c>
      <c r="EP24" s="406">
        <v>0</v>
      </c>
      <c r="EQ24" s="406">
        <v>0</v>
      </c>
      <c r="ER24" s="406">
        <v>0</v>
      </c>
      <c r="ES24" s="406">
        <v>0</v>
      </c>
      <c r="ET24" s="406">
        <v>0</v>
      </c>
      <c r="EU24" s="406">
        <v>0</v>
      </c>
      <c r="EV24" s="406">
        <v>0</v>
      </c>
      <c r="EW24" s="406">
        <v>0</v>
      </c>
      <c r="EX24" s="406">
        <v>0</v>
      </c>
      <c r="EY24" s="406">
        <v>0</v>
      </c>
      <c r="EZ24" s="406">
        <v>0</v>
      </c>
      <c r="FA24" s="406">
        <v>0</v>
      </c>
      <c r="FB24" s="406">
        <v>0</v>
      </c>
      <c r="FC24" s="406">
        <v>0</v>
      </c>
      <c r="FD24" s="406">
        <v>0</v>
      </c>
      <c r="FE24" s="406">
        <v>0</v>
      </c>
      <c r="FF24" s="436">
        <v>0</v>
      </c>
      <c r="FG24" s="406">
        <v>0</v>
      </c>
      <c r="FH24" s="406">
        <v>0</v>
      </c>
      <c r="FI24" s="406">
        <v>0</v>
      </c>
      <c r="FJ24" s="406">
        <v>0</v>
      </c>
      <c r="FK24" s="406">
        <v>0</v>
      </c>
      <c r="FL24" s="406">
        <v>0</v>
      </c>
      <c r="FM24" s="406">
        <v>0</v>
      </c>
      <c r="FN24" s="406">
        <v>0</v>
      </c>
      <c r="FO24" s="406">
        <v>0</v>
      </c>
      <c r="FP24" s="406">
        <v>0</v>
      </c>
      <c r="FQ24" s="406">
        <v>0</v>
      </c>
      <c r="FR24" s="406">
        <v>0</v>
      </c>
      <c r="FS24" s="406">
        <v>0</v>
      </c>
      <c r="FT24" s="406">
        <v>0</v>
      </c>
      <c r="FU24" s="406">
        <v>0</v>
      </c>
      <c r="FV24" s="406">
        <v>0</v>
      </c>
      <c r="FW24" s="406">
        <v>0</v>
      </c>
      <c r="FX24" s="406">
        <v>0</v>
      </c>
      <c r="FY24" s="406">
        <v>0</v>
      </c>
      <c r="FZ24" s="436">
        <v>0</v>
      </c>
      <c r="GA24" s="406">
        <v>0</v>
      </c>
      <c r="GB24" s="406">
        <v>0</v>
      </c>
      <c r="GC24" s="406">
        <v>0</v>
      </c>
      <c r="GD24" s="406">
        <v>0</v>
      </c>
      <c r="GE24" s="406">
        <v>0</v>
      </c>
      <c r="GF24" s="406">
        <v>0</v>
      </c>
      <c r="GG24" s="406">
        <v>0</v>
      </c>
      <c r="GH24" s="406">
        <v>0</v>
      </c>
      <c r="GI24" s="406">
        <v>0</v>
      </c>
      <c r="GJ24" s="406">
        <v>0</v>
      </c>
      <c r="GK24" s="406">
        <v>0</v>
      </c>
      <c r="GL24" s="406">
        <v>0</v>
      </c>
      <c r="GM24" s="406">
        <v>0</v>
      </c>
      <c r="GN24" s="406">
        <v>0</v>
      </c>
      <c r="GO24" s="406">
        <v>0</v>
      </c>
      <c r="GP24" s="406">
        <v>0</v>
      </c>
      <c r="GQ24" s="406">
        <v>0</v>
      </c>
      <c r="GR24" s="406">
        <v>0</v>
      </c>
      <c r="GS24" s="406">
        <v>0</v>
      </c>
      <c r="GT24" s="406">
        <v>0</v>
      </c>
      <c r="GU24" s="436">
        <v>0</v>
      </c>
      <c r="GV24" s="406">
        <v>0</v>
      </c>
      <c r="GW24" s="406">
        <v>0</v>
      </c>
      <c r="GX24" s="406">
        <v>0</v>
      </c>
      <c r="GY24" s="406">
        <v>0</v>
      </c>
      <c r="GZ24" s="406">
        <v>0</v>
      </c>
      <c r="HA24" s="406">
        <v>0</v>
      </c>
      <c r="HB24" s="406">
        <v>0</v>
      </c>
      <c r="HC24" s="406">
        <v>0</v>
      </c>
      <c r="HD24" s="406">
        <v>0</v>
      </c>
      <c r="HE24" s="406">
        <v>0</v>
      </c>
      <c r="HF24" s="406">
        <v>0</v>
      </c>
      <c r="HG24" s="406">
        <v>0</v>
      </c>
      <c r="HH24" s="406">
        <v>0</v>
      </c>
      <c r="HI24" s="406">
        <v>0</v>
      </c>
      <c r="HJ24" s="406">
        <v>0</v>
      </c>
      <c r="HK24" s="406">
        <v>0</v>
      </c>
      <c r="HL24" s="406">
        <v>0</v>
      </c>
      <c r="HM24" s="406">
        <v>0</v>
      </c>
      <c r="HN24" s="406">
        <v>0</v>
      </c>
      <c r="HO24" s="406">
        <v>0</v>
      </c>
      <c r="HP24" s="436">
        <v>0</v>
      </c>
      <c r="HQ24" s="406">
        <v>0</v>
      </c>
      <c r="HR24" s="406">
        <v>0</v>
      </c>
      <c r="HS24" s="406">
        <v>0</v>
      </c>
      <c r="HT24" s="406">
        <v>0</v>
      </c>
      <c r="HU24" s="406">
        <v>0</v>
      </c>
      <c r="HV24" s="406">
        <v>0</v>
      </c>
      <c r="HW24" s="406">
        <v>0</v>
      </c>
      <c r="HX24" s="406">
        <v>0</v>
      </c>
      <c r="HY24" s="406">
        <v>0</v>
      </c>
      <c r="HZ24" s="406">
        <v>0</v>
      </c>
      <c r="IA24" s="406">
        <v>0</v>
      </c>
      <c r="IB24" s="406">
        <v>0</v>
      </c>
      <c r="IC24" s="406">
        <v>0</v>
      </c>
      <c r="ID24" s="406">
        <v>0</v>
      </c>
      <c r="IE24" s="406">
        <v>0</v>
      </c>
      <c r="IF24" s="406">
        <v>0</v>
      </c>
      <c r="IG24" s="406">
        <v>0</v>
      </c>
      <c r="IH24" s="406">
        <v>0</v>
      </c>
      <c r="II24" s="406">
        <v>0</v>
      </c>
      <c r="IJ24" s="406">
        <v>0</v>
      </c>
      <c r="IK24" s="406">
        <v>0</v>
      </c>
      <c r="IL24" s="436">
        <v>0</v>
      </c>
      <c r="IM24" s="406">
        <v>0</v>
      </c>
      <c r="IN24" s="406">
        <v>0</v>
      </c>
      <c r="IO24" s="406">
        <v>0</v>
      </c>
      <c r="IP24" s="406">
        <v>0</v>
      </c>
      <c r="IQ24" s="406">
        <v>0</v>
      </c>
      <c r="IR24" s="406">
        <v>0</v>
      </c>
      <c r="IS24" s="406">
        <v>0</v>
      </c>
      <c r="IT24" s="406">
        <v>0</v>
      </c>
      <c r="IU24" s="406">
        <v>0</v>
      </c>
      <c r="IV24" s="406">
        <v>0</v>
      </c>
      <c r="IW24" s="682"/>
      <c r="IX24" s="406">
        <v>0</v>
      </c>
      <c r="IY24" s="406">
        <v>0</v>
      </c>
      <c r="IZ24" s="406">
        <v>0</v>
      </c>
      <c r="JA24" s="406">
        <v>0</v>
      </c>
      <c r="JB24" s="406">
        <v>0</v>
      </c>
      <c r="JC24" s="406">
        <v>0</v>
      </c>
      <c r="JD24" s="406">
        <v>0</v>
      </c>
      <c r="JE24" s="406">
        <v>0</v>
      </c>
      <c r="JF24" s="406">
        <v>0</v>
      </c>
      <c r="JG24" s="406">
        <v>0</v>
      </c>
      <c r="JH24" s="406">
        <v>0</v>
      </c>
      <c r="JI24" s="4">
        <f t="shared" si="18"/>
        <v>178000000</v>
      </c>
      <c r="JJ24" s="406"/>
      <c r="JK24" s="406"/>
    </row>
    <row r="25" spans="1:271" s="438" customFormat="1" ht="14.1" customHeight="1">
      <c r="A25" s="406" t="s">
        <v>33</v>
      </c>
      <c r="B25" s="406"/>
      <c r="C25" s="436"/>
      <c r="D25" s="406"/>
      <c r="E25" s="406"/>
      <c r="F25" s="406"/>
      <c r="G25" s="406"/>
      <c r="H25" s="406"/>
      <c r="I25" s="406"/>
      <c r="J25" s="406"/>
      <c r="K25" s="406"/>
      <c r="L25" s="406"/>
      <c r="M25" s="406"/>
      <c r="N25" s="43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6"/>
      <c r="AF25" s="406"/>
      <c r="AG25" s="436"/>
      <c r="AH25" s="406"/>
      <c r="AI25" s="406"/>
      <c r="AJ25" s="406"/>
      <c r="AK25" s="406"/>
      <c r="AL25" s="406"/>
      <c r="AM25" s="406"/>
      <c r="AN25" s="406"/>
      <c r="AO25" s="572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36"/>
      <c r="BE25" s="406"/>
      <c r="BF25" s="406"/>
      <c r="BG25" s="406"/>
      <c r="BH25" s="406"/>
      <c r="BI25" s="406"/>
      <c r="BJ25" s="406"/>
      <c r="BK25" s="406"/>
      <c r="BL25" s="406"/>
      <c r="BM25" s="406"/>
      <c r="BN25" s="406"/>
      <c r="BO25" s="406"/>
      <c r="BP25" s="406">
        <v>15000000</v>
      </c>
      <c r="BQ25" s="406"/>
      <c r="BR25" s="406"/>
      <c r="BS25" s="406"/>
      <c r="BT25" s="406"/>
      <c r="BU25" s="406"/>
      <c r="BV25" s="406"/>
      <c r="BW25" s="406"/>
      <c r="BX25" s="436">
        <v>30000000</v>
      </c>
      <c r="BY25" s="406"/>
      <c r="BZ25" s="406"/>
      <c r="CA25" s="406"/>
      <c r="CB25" s="406"/>
      <c r="CC25" s="406"/>
      <c r="CD25" s="406"/>
      <c r="CE25" s="406"/>
      <c r="CF25" s="406"/>
      <c r="CG25" s="406"/>
      <c r="CH25" s="406"/>
      <c r="CI25" s="406"/>
      <c r="CJ25" s="406"/>
      <c r="CK25" s="406"/>
      <c r="CL25" s="406"/>
      <c r="CM25" s="406">
        <v>14000000</v>
      </c>
      <c r="CN25" s="406"/>
      <c r="CO25" s="406"/>
      <c r="CP25" s="406"/>
      <c r="CQ25" s="406"/>
      <c r="CR25" s="406"/>
      <c r="CS25" s="406"/>
      <c r="CT25" s="436">
        <v>10000000</v>
      </c>
      <c r="CU25" s="406"/>
      <c r="CV25" s="406">
        <v>14000000</v>
      </c>
      <c r="CW25" s="406"/>
      <c r="CX25" s="406"/>
      <c r="CY25" s="406"/>
      <c r="CZ25" s="406"/>
      <c r="DA25" s="406"/>
      <c r="DB25" s="406"/>
      <c r="DC25" s="406"/>
      <c r="DD25" s="406"/>
      <c r="DE25" s="406">
        <v>13000000</v>
      </c>
      <c r="DF25" s="406"/>
      <c r="DG25" s="406"/>
      <c r="DH25" s="406"/>
      <c r="DI25" s="406"/>
      <c r="DJ25" s="406"/>
      <c r="DK25" s="406"/>
      <c r="DL25" s="406">
        <v>0</v>
      </c>
      <c r="DM25" s="406">
        <v>0</v>
      </c>
      <c r="DN25" s="406">
        <v>0</v>
      </c>
      <c r="DO25" s="436">
        <v>0</v>
      </c>
      <c r="DP25" s="406">
        <v>0</v>
      </c>
      <c r="DQ25" s="406">
        <v>0</v>
      </c>
      <c r="DR25" s="406">
        <v>0</v>
      </c>
      <c r="DS25" s="406">
        <v>0</v>
      </c>
      <c r="DT25" s="406">
        <v>0</v>
      </c>
      <c r="DU25" s="406">
        <v>0</v>
      </c>
      <c r="DV25" s="406">
        <v>0</v>
      </c>
      <c r="DW25" s="406">
        <v>0</v>
      </c>
      <c r="DX25" s="406">
        <v>0</v>
      </c>
      <c r="DY25" s="406">
        <v>0</v>
      </c>
      <c r="DZ25" s="406">
        <v>0</v>
      </c>
      <c r="EA25" s="406">
        <v>0</v>
      </c>
      <c r="EB25" s="406">
        <v>0</v>
      </c>
      <c r="EC25" s="406">
        <v>0</v>
      </c>
      <c r="ED25" s="406">
        <v>0</v>
      </c>
      <c r="EE25" s="406">
        <v>0</v>
      </c>
      <c r="EF25" s="406">
        <v>0</v>
      </c>
      <c r="EG25" s="406">
        <v>0</v>
      </c>
      <c r="EH25" s="406">
        <v>0</v>
      </c>
      <c r="EI25" s="406">
        <v>0</v>
      </c>
      <c r="EJ25" s="436">
        <v>0</v>
      </c>
      <c r="EK25" s="406">
        <v>0</v>
      </c>
      <c r="EL25" s="406">
        <v>0</v>
      </c>
      <c r="EM25" s="406">
        <v>0</v>
      </c>
      <c r="EN25" s="406">
        <v>0</v>
      </c>
      <c r="EO25" s="406">
        <v>0</v>
      </c>
      <c r="EP25" s="406">
        <v>0</v>
      </c>
      <c r="EQ25" s="406">
        <v>0</v>
      </c>
      <c r="ER25" s="406">
        <v>0</v>
      </c>
      <c r="ES25" s="406">
        <v>0</v>
      </c>
      <c r="ET25" s="406">
        <v>0</v>
      </c>
      <c r="EU25" s="406">
        <v>0</v>
      </c>
      <c r="EV25" s="406">
        <v>0</v>
      </c>
      <c r="EW25" s="406">
        <v>0</v>
      </c>
      <c r="EX25" s="406">
        <v>0</v>
      </c>
      <c r="EY25" s="406">
        <v>0</v>
      </c>
      <c r="EZ25" s="406">
        <v>0</v>
      </c>
      <c r="FA25" s="406">
        <v>0</v>
      </c>
      <c r="FB25" s="406">
        <v>0</v>
      </c>
      <c r="FC25" s="406">
        <v>0</v>
      </c>
      <c r="FD25" s="406">
        <v>0</v>
      </c>
      <c r="FE25" s="406">
        <v>0</v>
      </c>
      <c r="FF25" s="436">
        <v>0</v>
      </c>
      <c r="FG25" s="406">
        <v>0</v>
      </c>
      <c r="FH25" s="406">
        <v>0</v>
      </c>
      <c r="FI25" s="406">
        <v>0</v>
      </c>
      <c r="FJ25" s="406">
        <v>0</v>
      </c>
      <c r="FK25" s="406">
        <v>0</v>
      </c>
      <c r="FL25" s="406">
        <v>0</v>
      </c>
      <c r="FM25" s="406">
        <v>0</v>
      </c>
      <c r="FN25" s="406">
        <v>0</v>
      </c>
      <c r="FO25" s="406">
        <v>0</v>
      </c>
      <c r="FP25" s="406">
        <v>0</v>
      </c>
      <c r="FQ25" s="406">
        <v>0</v>
      </c>
      <c r="FR25" s="406">
        <v>0</v>
      </c>
      <c r="FS25" s="406">
        <v>0</v>
      </c>
      <c r="FT25" s="406">
        <v>0</v>
      </c>
      <c r="FU25" s="406">
        <v>0</v>
      </c>
      <c r="FV25" s="406">
        <v>0</v>
      </c>
      <c r="FW25" s="406">
        <v>0</v>
      </c>
      <c r="FX25" s="406">
        <v>0</v>
      </c>
      <c r="FY25" s="406">
        <v>0</v>
      </c>
      <c r="FZ25" s="436">
        <v>0</v>
      </c>
      <c r="GA25" s="406">
        <v>0</v>
      </c>
      <c r="GB25" s="406">
        <v>0</v>
      </c>
      <c r="GC25" s="406">
        <v>0</v>
      </c>
      <c r="GD25" s="406">
        <v>0</v>
      </c>
      <c r="GE25" s="406">
        <v>0</v>
      </c>
      <c r="GF25" s="406">
        <v>0</v>
      </c>
      <c r="GG25" s="406">
        <v>0</v>
      </c>
      <c r="GH25" s="406">
        <v>0</v>
      </c>
      <c r="GI25" s="406">
        <v>0</v>
      </c>
      <c r="GJ25" s="406">
        <v>0</v>
      </c>
      <c r="GK25" s="406">
        <v>0</v>
      </c>
      <c r="GL25" s="406">
        <v>0</v>
      </c>
      <c r="GM25" s="406">
        <v>0</v>
      </c>
      <c r="GN25" s="406">
        <v>0</v>
      </c>
      <c r="GO25" s="406">
        <v>0</v>
      </c>
      <c r="GP25" s="406">
        <v>0</v>
      </c>
      <c r="GQ25" s="406">
        <v>0</v>
      </c>
      <c r="GR25" s="406">
        <v>0</v>
      </c>
      <c r="GS25" s="406">
        <v>0</v>
      </c>
      <c r="GT25" s="406">
        <v>0</v>
      </c>
      <c r="GU25" s="436">
        <v>0</v>
      </c>
      <c r="GV25" s="406">
        <v>0</v>
      </c>
      <c r="GW25" s="406">
        <v>0</v>
      </c>
      <c r="GX25" s="406">
        <v>0</v>
      </c>
      <c r="GY25" s="406">
        <v>0</v>
      </c>
      <c r="GZ25" s="406">
        <v>0</v>
      </c>
      <c r="HA25" s="406">
        <v>0</v>
      </c>
      <c r="HB25" s="406">
        <v>0</v>
      </c>
      <c r="HC25" s="406">
        <v>0</v>
      </c>
      <c r="HD25" s="406">
        <v>0</v>
      </c>
      <c r="HE25" s="406">
        <v>0</v>
      </c>
      <c r="HF25" s="406">
        <v>0</v>
      </c>
      <c r="HG25" s="406">
        <v>0</v>
      </c>
      <c r="HH25" s="406">
        <v>0</v>
      </c>
      <c r="HI25" s="406">
        <v>0</v>
      </c>
      <c r="HJ25" s="406">
        <v>0</v>
      </c>
      <c r="HK25" s="406">
        <v>0</v>
      </c>
      <c r="HL25" s="406">
        <v>0</v>
      </c>
      <c r="HM25" s="406">
        <v>0</v>
      </c>
      <c r="HN25" s="406">
        <v>0</v>
      </c>
      <c r="HO25" s="406">
        <v>0</v>
      </c>
      <c r="HP25" s="436">
        <v>0</v>
      </c>
      <c r="HQ25" s="406">
        <v>0</v>
      </c>
      <c r="HR25" s="406">
        <v>0</v>
      </c>
      <c r="HS25" s="406">
        <v>0</v>
      </c>
      <c r="HT25" s="406">
        <v>0</v>
      </c>
      <c r="HU25" s="406">
        <v>0</v>
      </c>
      <c r="HV25" s="406">
        <v>0</v>
      </c>
      <c r="HW25" s="406">
        <v>0</v>
      </c>
      <c r="HX25" s="406">
        <v>0</v>
      </c>
      <c r="HY25" s="406">
        <v>0</v>
      </c>
      <c r="HZ25" s="406">
        <v>0</v>
      </c>
      <c r="IA25" s="406">
        <v>0</v>
      </c>
      <c r="IB25" s="406">
        <v>0</v>
      </c>
      <c r="IC25" s="406">
        <v>0</v>
      </c>
      <c r="ID25" s="406">
        <v>0</v>
      </c>
      <c r="IE25" s="406">
        <v>0</v>
      </c>
      <c r="IF25" s="406">
        <v>0</v>
      </c>
      <c r="IG25" s="406">
        <v>0</v>
      </c>
      <c r="IH25" s="406">
        <v>0</v>
      </c>
      <c r="II25" s="406">
        <v>0</v>
      </c>
      <c r="IJ25" s="406">
        <v>0</v>
      </c>
      <c r="IK25" s="406">
        <v>0</v>
      </c>
      <c r="IL25" s="436">
        <v>0</v>
      </c>
      <c r="IM25" s="406">
        <v>0</v>
      </c>
      <c r="IN25" s="406">
        <v>0</v>
      </c>
      <c r="IO25" s="406">
        <v>0</v>
      </c>
      <c r="IP25" s="406">
        <v>0</v>
      </c>
      <c r="IQ25" s="406">
        <v>0</v>
      </c>
      <c r="IR25" s="406">
        <v>0</v>
      </c>
      <c r="IS25" s="406">
        <v>0</v>
      </c>
      <c r="IT25" s="406">
        <v>0</v>
      </c>
      <c r="IU25" s="406">
        <v>0</v>
      </c>
      <c r="IV25" s="406">
        <v>0</v>
      </c>
      <c r="IW25" s="682"/>
      <c r="IX25" s="406">
        <v>0</v>
      </c>
      <c r="IY25" s="406">
        <v>0</v>
      </c>
      <c r="IZ25" s="406">
        <v>0</v>
      </c>
      <c r="JA25" s="406">
        <v>0</v>
      </c>
      <c r="JB25" s="406">
        <v>0</v>
      </c>
      <c r="JC25" s="406">
        <v>0</v>
      </c>
      <c r="JD25" s="406">
        <v>0</v>
      </c>
      <c r="JE25" s="406">
        <v>0</v>
      </c>
      <c r="JF25" s="406">
        <v>0</v>
      </c>
      <c r="JG25" s="406">
        <v>0</v>
      </c>
      <c r="JH25" s="406">
        <v>0</v>
      </c>
      <c r="JI25" s="4">
        <f t="shared" si="18"/>
        <v>96000000</v>
      </c>
      <c r="JJ25" s="406"/>
      <c r="JK25" s="406"/>
    </row>
    <row r="26" spans="1:271" s="438" customFormat="1" ht="14.1" customHeight="1">
      <c r="A26" s="426" t="s">
        <v>34</v>
      </c>
      <c r="B26" s="446"/>
      <c r="C26" s="439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39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39"/>
      <c r="AH26" s="426"/>
      <c r="AI26" s="426"/>
      <c r="AJ26" s="426"/>
      <c r="AK26" s="426"/>
      <c r="AL26" s="426"/>
      <c r="AM26" s="426"/>
      <c r="AN26" s="426"/>
      <c r="AO26" s="574"/>
      <c r="AP26" s="426"/>
      <c r="AQ26" s="426"/>
      <c r="AR26" s="426"/>
      <c r="AS26" s="426"/>
      <c r="AT26" s="426"/>
      <c r="AU26" s="426"/>
      <c r="AV26" s="426"/>
      <c r="AW26" s="426"/>
      <c r="AX26" s="426"/>
      <c r="AY26" s="426"/>
      <c r="AZ26" s="426"/>
      <c r="BA26" s="426"/>
      <c r="BB26" s="426"/>
      <c r="BC26" s="426"/>
      <c r="BD26" s="439"/>
      <c r="BE26" s="426"/>
      <c r="BF26" s="426"/>
      <c r="BG26" s="426"/>
      <c r="BH26" s="426"/>
      <c r="BI26" s="426"/>
      <c r="BJ26" s="426"/>
      <c r="BK26" s="426"/>
      <c r="BL26" s="426"/>
      <c r="BM26" s="426"/>
      <c r="BN26" s="426"/>
      <c r="BO26" s="426"/>
      <c r="BP26" s="426"/>
      <c r="BQ26" s="426"/>
      <c r="BR26" s="426"/>
      <c r="BS26" s="426"/>
      <c r="BT26" s="426"/>
      <c r="BU26" s="426"/>
      <c r="BV26" s="426"/>
      <c r="BW26" s="426"/>
      <c r="BX26" s="439">
        <v>3300000</v>
      </c>
      <c r="BY26" s="426"/>
      <c r="BZ26" s="426"/>
      <c r="CA26" s="426"/>
      <c r="CB26" s="426"/>
      <c r="CC26" s="426"/>
      <c r="CD26" s="426"/>
      <c r="CE26" s="426"/>
      <c r="CF26" s="426"/>
      <c r="CG26" s="426"/>
      <c r="CH26" s="426"/>
      <c r="CI26" s="426"/>
      <c r="CJ26" s="426"/>
      <c r="CK26" s="426"/>
      <c r="CL26" s="426"/>
      <c r="CM26" s="426"/>
      <c r="CN26" s="426"/>
      <c r="CO26" s="426"/>
      <c r="CP26" s="426"/>
      <c r="CQ26" s="426"/>
      <c r="CR26" s="426"/>
      <c r="CS26" s="426"/>
      <c r="CT26" s="439"/>
      <c r="CU26" s="426"/>
      <c r="CV26" s="426"/>
      <c r="CW26" s="426"/>
      <c r="CX26" s="426"/>
      <c r="CY26" s="426"/>
      <c r="CZ26" s="426"/>
      <c r="DA26" s="426"/>
      <c r="DB26" s="426"/>
      <c r="DC26" s="426"/>
      <c r="DD26" s="426"/>
      <c r="DE26" s="426"/>
      <c r="DF26" s="426"/>
      <c r="DG26" s="426"/>
      <c r="DH26" s="426"/>
      <c r="DI26" s="426"/>
      <c r="DJ26" s="426"/>
      <c r="DK26" s="426"/>
      <c r="DL26" s="426">
        <v>0</v>
      </c>
      <c r="DM26" s="426">
        <v>0</v>
      </c>
      <c r="DN26" s="426">
        <v>0</v>
      </c>
      <c r="DO26" s="439">
        <v>0</v>
      </c>
      <c r="DP26" s="426">
        <v>0</v>
      </c>
      <c r="DQ26" s="426">
        <v>0</v>
      </c>
      <c r="DR26" s="426">
        <v>0</v>
      </c>
      <c r="DS26" s="426">
        <v>0</v>
      </c>
      <c r="DT26" s="426">
        <v>0</v>
      </c>
      <c r="DU26" s="426">
        <v>0</v>
      </c>
      <c r="DV26" s="426">
        <v>0</v>
      </c>
      <c r="DW26" s="426">
        <v>0</v>
      </c>
      <c r="DX26" s="426">
        <v>0</v>
      </c>
      <c r="DY26" s="426">
        <v>0</v>
      </c>
      <c r="DZ26" s="426">
        <v>0</v>
      </c>
      <c r="EA26" s="426">
        <v>0</v>
      </c>
      <c r="EB26" s="426">
        <v>0</v>
      </c>
      <c r="EC26" s="426">
        <v>0</v>
      </c>
      <c r="ED26" s="426">
        <v>0</v>
      </c>
      <c r="EE26" s="426">
        <v>0</v>
      </c>
      <c r="EF26" s="426">
        <v>0</v>
      </c>
      <c r="EG26" s="426">
        <v>0</v>
      </c>
      <c r="EH26" s="426">
        <v>0</v>
      </c>
      <c r="EI26" s="426">
        <v>0</v>
      </c>
      <c r="EJ26" s="439">
        <v>0</v>
      </c>
      <c r="EK26" s="426">
        <v>0</v>
      </c>
      <c r="EL26" s="426">
        <v>0</v>
      </c>
      <c r="EM26" s="426">
        <v>0</v>
      </c>
      <c r="EN26" s="426">
        <v>0</v>
      </c>
      <c r="EO26" s="426">
        <v>0</v>
      </c>
      <c r="EP26" s="426">
        <v>0</v>
      </c>
      <c r="EQ26" s="426">
        <v>0</v>
      </c>
      <c r="ER26" s="426">
        <v>0</v>
      </c>
      <c r="ES26" s="426">
        <v>0</v>
      </c>
      <c r="ET26" s="426">
        <v>0</v>
      </c>
      <c r="EU26" s="426">
        <v>0</v>
      </c>
      <c r="EV26" s="426">
        <v>0</v>
      </c>
      <c r="EW26" s="426">
        <v>0</v>
      </c>
      <c r="EX26" s="426">
        <v>0</v>
      </c>
      <c r="EY26" s="426">
        <v>0</v>
      </c>
      <c r="EZ26" s="426">
        <v>0</v>
      </c>
      <c r="FA26" s="426">
        <v>0</v>
      </c>
      <c r="FB26" s="426">
        <v>0</v>
      </c>
      <c r="FC26" s="426">
        <v>0</v>
      </c>
      <c r="FD26" s="426">
        <v>0</v>
      </c>
      <c r="FE26" s="426">
        <v>0</v>
      </c>
      <c r="FF26" s="439">
        <v>0</v>
      </c>
      <c r="FG26" s="426">
        <v>0</v>
      </c>
      <c r="FH26" s="426">
        <v>0</v>
      </c>
      <c r="FI26" s="426">
        <v>0</v>
      </c>
      <c r="FJ26" s="426">
        <v>0</v>
      </c>
      <c r="FK26" s="426">
        <v>0</v>
      </c>
      <c r="FL26" s="426">
        <v>0</v>
      </c>
      <c r="FM26" s="426">
        <v>0</v>
      </c>
      <c r="FN26" s="426">
        <v>0</v>
      </c>
      <c r="FO26" s="426">
        <v>0</v>
      </c>
      <c r="FP26" s="426">
        <v>0</v>
      </c>
      <c r="FQ26" s="426">
        <v>0</v>
      </c>
      <c r="FR26" s="426">
        <v>0</v>
      </c>
      <c r="FS26" s="426">
        <v>0</v>
      </c>
      <c r="FT26" s="426">
        <v>0</v>
      </c>
      <c r="FU26" s="426">
        <v>0</v>
      </c>
      <c r="FV26" s="426">
        <v>0</v>
      </c>
      <c r="FW26" s="426">
        <v>0</v>
      </c>
      <c r="FX26" s="426">
        <v>0</v>
      </c>
      <c r="FY26" s="426">
        <v>0</v>
      </c>
      <c r="FZ26" s="439">
        <v>0</v>
      </c>
      <c r="GA26" s="426">
        <v>0</v>
      </c>
      <c r="GB26" s="426">
        <v>0</v>
      </c>
      <c r="GC26" s="426">
        <v>0</v>
      </c>
      <c r="GD26" s="426">
        <v>0</v>
      </c>
      <c r="GE26" s="426">
        <v>0</v>
      </c>
      <c r="GF26" s="426">
        <v>0</v>
      </c>
      <c r="GG26" s="426">
        <v>0</v>
      </c>
      <c r="GH26" s="426">
        <v>0</v>
      </c>
      <c r="GI26" s="426">
        <v>0</v>
      </c>
      <c r="GJ26" s="426">
        <v>0</v>
      </c>
      <c r="GK26" s="426">
        <v>0</v>
      </c>
      <c r="GL26" s="426">
        <v>0</v>
      </c>
      <c r="GM26" s="426">
        <v>0</v>
      </c>
      <c r="GN26" s="426">
        <v>0</v>
      </c>
      <c r="GO26" s="426">
        <v>0</v>
      </c>
      <c r="GP26" s="426">
        <v>0</v>
      </c>
      <c r="GQ26" s="426">
        <v>0</v>
      </c>
      <c r="GR26" s="426">
        <v>0</v>
      </c>
      <c r="GS26" s="426">
        <v>0</v>
      </c>
      <c r="GT26" s="426">
        <v>0</v>
      </c>
      <c r="GU26" s="439">
        <v>0</v>
      </c>
      <c r="GV26" s="426">
        <v>0</v>
      </c>
      <c r="GW26" s="426">
        <v>0</v>
      </c>
      <c r="GX26" s="426">
        <v>0</v>
      </c>
      <c r="GY26" s="426">
        <v>0</v>
      </c>
      <c r="GZ26" s="426">
        <v>0</v>
      </c>
      <c r="HA26" s="426">
        <v>0</v>
      </c>
      <c r="HB26" s="426">
        <v>0</v>
      </c>
      <c r="HC26" s="426">
        <v>0</v>
      </c>
      <c r="HD26" s="426">
        <v>0</v>
      </c>
      <c r="HE26" s="426">
        <v>0</v>
      </c>
      <c r="HF26" s="426">
        <v>0</v>
      </c>
      <c r="HG26" s="426">
        <v>0</v>
      </c>
      <c r="HH26" s="426">
        <v>0</v>
      </c>
      <c r="HI26" s="426">
        <v>0</v>
      </c>
      <c r="HJ26" s="426">
        <v>0</v>
      </c>
      <c r="HK26" s="426">
        <v>0</v>
      </c>
      <c r="HL26" s="426">
        <v>0</v>
      </c>
      <c r="HM26" s="426">
        <v>0</v>
      </c>
      <c r="HN26" s="426">
        <v>0</v>
      </c>
      <c r="HO26" s="426">
        <v>0</v>
      </c>
      <c r="HP26" s="439">
        <v>0</v>
      </c>
      <c r="HQ26" s="426">
        <v>0</v>
      </c>
      <c r="HR26" s="426">
        <v>0</v>
      </c>
      <c r="HS26" s="426">
        <v>0</v>
      </c>
      <c r="HT26" s="426">
        <v>0</v>
      </c>
      <c r="HU26" s="426">
        <v>0</v>
      </c>
      <c r="HV26" s="426">
        <v>0</v>
      </c>
      <c r="HW26" s="426">
        <v>0</v>
      </c>
      <c r="HX26" s="426">
        <v>0</v>
      </c>
      <c r="HY26" s="426">
        <v>0</v>
      </c>
      <c r="HZ26" s="426">
        <v>0</v>
      </c>
      <c r="IA26" s="426">
        <v>0</v>
      </c>
      <c r="IB26" s="426">
        <v>0</v>
      </c>
      <c r="IC26" s="426">
        <v>0</v>
      </c>
      <c r="ID26" s="426">
        <v>0</v>
      </c>
      <c r="IE26" s="426">
        <v>0</v>
      </c>
      <c r="IF26" s="426">
        <v>0</v>
      </c>
      <c r="IG26" s="426">
        <v>0</v>
      </c>
      <c r="IH26" s="426">
        <v>0</v>
      </c>
      <c r="II26" s="426">
        <v>0</v>
      </c>
      <c r="IJ26" s="426">
        <v>0</v>
      </c>
      <c r="IK26" s="426">
        <v>0</v>
      </c>
      <c r="IL26" s="439">
        <v>0</v>
      </c>
      <c r="IM26" s="426">
        <v>0</v>
      </c>
      <c r="IN26" s="426">
        <v>0</v>
      </c>
      <c r="IO26" s="426">
        <v>0</v>
      </c>
      <c r="IP26" s="426">
        <v>0</v>
      </c>
      <c r="IQ26" s="426">
        <v>0</v>
      </c>
      <c r="IR26" s="426">
        <v>0</v>
      </c>
      <c r="IS26" s="426">
        <v>0</v>
      </c>
      <c r="IT26" s="426">
        <v>0</v>
      </c>
      <c r="IU26" s="426">
        <v>0</v>
      </c>
      <c r="IV26" s="426">
        <v>0</v>
      </c>
      <c r="IW26" s="868"/>
      <c r="IX26" s="426">
        <v>0</v>
      </c>
      <c r="IY26" s="426">
        <v>0</v>
      </c>
      <c r="IZ26" s="426">
        <v>0</v>
      </c>
      <c r="JA26" s="426">
        <v>0</v>
      </c>
      <c r="JB26" s="426">
        <v>0</v>
      </c>
      <c r="JC26" s="426">
        <v>0</v>
      </c>
      <c r="JD26" s="426">
        <v>0</v>
      </c>
      <c r="JE26" s="426">
        <v>0</v>
      </c>
      <c r="JF26" s="426">
        <v>0</v>
      </c>
      <c r="JG26" s="426">
        <v>0</v>
      </c>
      <c r="JH26" s="426">
        <v>0</v>
      </c>
      <c r="JI26" s="4">
        <f t="shared" si="18"/>
        <v>3300000</v>
      </c>
      <c r="JJ26" s="426"/>
      <c r="JK26" s="406"/>
    </row>
    <row r="27" spans="1:271" s="42" customFormat="1" ht="13.5" customHeight="1" thickBot="1">
      <c r="A27" s="43" t="s">
        <v>8</v>
      </c>
      <c r="B27" s="43"/>
      <c r="C27" s="65">
        <v>40658427.820000008</v>
      </c>
      <c r="D27" s="43">
        <f t="shared" ref="D27:I27" si="35">SUM(D8:D26)</f>
        <v>51460785.869999997</v>
      </c>
      <c r="E27" s="43">
        <f t="shared" si="35"/>
        <v>676865.66</v>
      </c>
      <c r="F27" s="43">
        <f t="shared" si="35"/>
        <v>60207434.529999994</v>
      </c>
      <c r="G27" s="43">
        <f t="shared" si="35"/>
        <v>43488793.230000004</v>
      </c>
      <c r="H27" s="43">
        <f t="shared" si="35"/>
        <v>19749332.66</v>
      </c>
      <c r="I27" s="43">
        <f t="shared" si="35"/>
        <v>17365035.999999996</v>
      </c>
      <c r="J27" s="43">
        <f t="shared" ref="J27:BN27" si="36">SUM(J8:J26)</f>
        <v>1551025.0599999998</v>
      </c>
      <c r="K27" s="43">
        <f t="shared" si="36"/>
        <v>48535290.969999999</v>
      </c>
      <c r="L27" s="43">
        <f t="shared" si="36"/>
        <v>81760817.359999999</v>
      </c>
      <c r="M27" s="43">
        <f t="shared" si="36"/>
        <v>7421654.0999999996</v>
      </c>
      <c r="N27" s="65">
        <f t="shared" si="36"/>
        <v>57856693.579999998</v>
      </c>
      <c r="O27" s="43">
        <f t="shared" si="36"/>
        <v>16783327.07</v>
      </c>
      <c r="P27" s="43">
        <f t="shared" si="36"/>
        <v>2255046.86</v>
      </c>
      <c r="Q27" s="43">
        <f t="shared" si="36"/>
        <v>3845019.67</v>
      </c>
      <c r="R27" s="43">
        <f t="shared" si="36"/>
        <v>10534927.43</v>
      </c>
      <c r="S27" s="43">
        <f t="shared" si="36"/>
        <v>7375898.9400000004</v>
      </c>
      <c r="T27" s="43">
        <f t="shared" si="36"/>
        <v>3710010.43</v>
      </c>
      <c r="U27" s="43">
        <f t="shared" si="36"/>
        <v>7988655.9799999995</v>
      </c>
      <c r="V27" s="43">
        <f t="shared" si="36"/>
        <v>6587979.9400000004</v>
      </c>
      <c r="W27" s="43">
        <f t="shared" si="36"/>
        <v>14120211.470000001</v>
      </c>
      <c r="X27" s="43">
        <f t="shared" si="36"/>
        <v>11052493.77</v>
      </c>
      <c r="Y27" s="43">
        <f t="shared" si="36"/>
        <v>1732699.0699999998</v>
      </c>
      <c r="Z27" s="43">
        <f t="shared" si="36"/>
        <v>20315284.719999999</v>
      </c>
      <c r="AA27" s="43">
        <f t="shared" si="36"/>
        <v>8316893.04</v>
      </c>
      <c r="AB27" s="43">
        <f t="shared" si="36"/>
        <v>18867604.510000002</v>
      </c>
      <c r="AC27" s="43">
        <f t="shared" si="36"/>
        <v>4874153.59</v>
      </c>
      <c r="AD27" s="43">
        <f t="shared" si="36"/>
        <v>1040081.2300000001</v>
      </c>
      <c r="AE27" s="43">
        <f t="shared" si="36"/>
        <v>1141963.9099999999</v>
      </c>
      <c r="AF27" s="43">
        <f t="shared" si="36"/>
        <v>6117995.2999999998</v>
      </c>
      <c r="AG27" s="65">
        <f t="shared" si="36"/>
        <v>70505380.670000002</v>
      </c>
      <c r="AH27" s="43">
        <f t="shared" si="36"/>
        <v>11476915.800000001</v>
      </c>
      <c r="AI27" s="43">
        <f t="shared" si="36"/>
        <v>2385810.77</v>
      </c>
      <c r="AJ27" s="43">
        <f t="shared" si="36"/>
        <v>5776451.0999999996</v>
      </c>
      <c r="AK27" s="43">
        <f t="shared" si="36"/>
        <v>9492412.6899999995</v>
      </c>
      <c r="AL27" s="43">
        <f t="shared" si="36"/>
        <v>529115.15</v>
      </c>
      <c r="AM27" s="43">
        <f t="shared" si="36"/>
        <v>537631.71</v>
      </c>
      <c r="AN27" s="43">
        <f t="shared" si="36"/>
        <v>17974655.859999999</v>
      </c>
      <c r="AO27" s="575">
        <f t="shared" si="36"/>
        <v>7166244.3300000001</v>
      </c>
      <c r="AP27" s="43">
        <f t="shared" si="36"/>
        <v>16237164.790000001</v>
      </c>
      <c r="AQ27" s="43">
        <f t="shared" si="36"/>
        <v>1630005.41</v>
      </c>
      <c r="AR27" s="43">
        <f t="shared" si="36"/>
        <v>1711507.57</v>
      </c>
      <c r="AS27" s="43">
        <f t="shared" si="36"/>
        <v>1087148.67</v>
      </c>
      <c r="AT27" s="43">
        <f t="shared" si="36"/>
        <v>2938190.4699999997</v>
      </c>
      <c r="AU27" s="43">
        <f t="shared" si="36"/>
        <v>18954974.859999999</v>
      </c>
      <c r="AV27" s="43">
        <f t="shared" si="36"/>
        <v>1902480.21</v>
      </c>
      <c r="AW27" s="43">
        <f t="shared" si="36"/>
        <v>22872778.98</v>
      </c>
      <c r="AX27" s="43">
        <f t="shared" si="36"/>
        <v>8979985.3300000001</v>
      </c>
      <c r="AY27" s="43">
        <f t="shared" si="36"/>
        <v>11045249.17</v>
      </c>
      <c r="AZ27" s="43">
        <f t="shared" si="36"/>
        <v>6401067.8200000003</v>
      </c>
      <c r="BA27" s="43">
        <f t="shared" si="36"/>
        <v>5844282.6299999999</v>
      </c>
      <c r="BB27" s="43">
        <f t="shared" si="36"/>
        <v>4412216.4800000004</v>
      </c>
      <c r="BC27" s="43">
        <f t="shared" si="36"/>
        <v>726772.56</v>
      </c>
      <c r="BD27" s="65">
        <f t="shared" si="36"/>
        <v>60946287.689999998</v>
      </c>
      <c r="BE27" s="43">
        <f t="shared" si="36"/>
        <v>19310436.920000002</v>
      </c>
      <c r="BF27" s="43">
        <f t="shared" si="36"/>
        <v>8821273.8399999999</v>
      </c>
      <c r="BG27" s="43">
        <f t="shared" si="36"/>
        <v>7090229.2999999998</v>
      </c>
      <c r="BH27" s="43">
        <f t="shared" si="36"/>
        <v>67110555.960000008</v>
      </c>
      <c r="BI27" s="43">
        <f t="shared" si="36"/>
        <v>223233.49000000002</v>
      </c>
      <c r="BJ27" s="43">
        <f t="shared" si="36"/>
        <v>16754551.969999999</v>
      </c>
      <c r="BK27" s="43">
        <f t="shared" si="36"/>
        <v>15426044.539999999</v>
      </c>
      <c r="BL27" s="43">
        <f t="shared" si="36"/>
        <v>990372.54</v>
      </c>
      <c r="BM27" s="43">
        <f t="shared" si="36"/>
        <v>7090693.2699999996</v>
      </c>
      <c r="BN27" s="43">
        <f t="shared" si="36"/>
        <v>250180.75</v>
      </c>
      <c r="BO27" s="43">
        <f t="shared" ref="BO27:DZ27" si="37">SUM(BO8:BO26)</f>
        <v>435997.26</v>
      </c>
      <c r="BP27" s="43">
        <f t="shared" si="37"/>
        <v>23037244.280000001</v>
      </c>
      <c r="BQ27" s="43">
        <f t="shared" si="37"/>
        <v>663850.67999999993</v>
      </c>
      <c r="BR27" s="43">
        <f t="shared" si="37"/>
        <v>7181877.8500000006</v>
      </c>
      <c r="BS27" s="43">
        <f t="shared" si="37"/>
        <v>10473136.120000001</v>
      </c>
      <c r="BT27" s="43">
        <f t="shared" si="37"/>
        <v>4142447.25</v>
      </c>
      <c r="BU27" s="43">
        <f t="shared" si="37"/>
        <v>193585.96000000002</v>
      </c>
      <c r="BV27" s="43">
        <f t="shared" si="37"/>
        <v>10669263.880000001</v>
      </c>
      <c r="BW27" s="43">
        <f t="shared" si="37"/>
        <v>246398.38</v>
      </c>
      <c r="BX27" s="65">
        <f t="shared" si="37"/>
        <v>63929698.200000003</v>
      </c>
      <c r="BY27" s="43">
        <f t="shared" si="37"/>
        <v>21370099.800000001</v>
      </c>
      <c r="BZ27" s="43">
        <f t="shared" si="37"/>
        <v>2607229.16</v>
      </c>
      <c r="CA27" s="43">
        <f t="shared" si="37"/>
        <v>8071845.79</v>
      </c>
      <c r="CB27" s="43">
        <f t="shared" si="37"/>
        <v>115283.19</v>
      </c>
      <c r="CC27" s="43">
        <f t="shared" si="37"/>
        <v>145835.84</v>
      </c>
      <c r="CD27" s="43">
        <f t="shared" si="37"/>
        <v>13101492.25</v>
      </c>
      <c r="CE27" s="43">
        <f t="shared" si="37"/>
        <v>8190101.5300000003</v>
      </c>
      <c r="CF27" s="43">
        <f t="shared" si="37"/>
        <v>5033631.03</v>
      </c>
      <c r="CG27" s="43">
        <f t="shared" si="37"/>
        <v>134579.59</v>
      </c>
      <c r="CH27" s="43">
        <f t="shared" si="37"/>
        <v>5093476.72</v>
      </c>
      <c r="CI27" s="43">
        <f t="shared" si="37"/>
        <v>6792810.4400000004</v>
      </c>
      <c r="CJ27" s="43">
        <f t="shared" si="37"/>
        <v>1133070.6099999999</v>
      </c>
      <c r="CK27" s="43">
        <f t="shared" si="37"/>
        <v>10584806.77</v>
      </c>
      <c r="CL27" s="43">
        <f t="shared" si="37"/>
        <v>5825421.1500000004</v>
      </c>
      <c r="CM27" s="43">
        <f t="shared" si="37"/>
        <v>18349155.68</v>
      </c>
      <c r="CN27" s="43">
        <f t="shared" si="37"/>
        <v>983171.94</v>
      </c>
      <c r="CO27" s="43">
        <f t="shared" si="37"/>
        <v>468862.40999999992</v>
      </c>
      <c r="CP27" s="43">
        <f t="shared" si="37"/>
        <v>6327349.7199999997</v>
      </c>
      <c r="CQ27" s="43">
        <f t="shared" si="37"/>
        <v>23183345.640000001</v>
      </c>
      <c r="CR27" s="43">
        <f t="shared" si="37"/>
        <v>1535895.4</v>
      </c>
      <c r="CS27" s="43">
        <f t="shared" si="37"/>
        <v>169118.46999999997</v>
      </c>
      <c r="CT27" s="65">
        <f t="shared" si="37"/>
        <v>65529600.719999999</v>
      </c>
      <c r="CU27" s="43">
        <f t="shared" si="37"/>
        <v>14568710.99</v>
      </c>
      <c r="CV27" s="43">
        <f t="shared" si="37"/>
        <v>14191029.26</v>
      </c>
      <c r="CW27" s="43">
        <f t="shared" si="37"/>
        <v>15907427.790000001</v>
      </c>
      <c r="CX27" s="43">
        <f t="shared" si="37"/>
        <v>3349210.5</v>
      </c>
      <c r="CY27" s="43">
        <f t="shared" si="37"/>
        <v>211320.81</v>
      </c>
      <c r="CZ27" s="43">
        <f t="shared" si="37"/>
        <v>11498130.380000001</v>
      </c>
      <c r="DA27" s="43">
        <f t="shared" si="37"/>
        <v>3206733.6900000004</v>
      </c>
      <c r="DB27" s="43">
        <f t="shared" si="37"/>
        <v>13028409.719999999</v>
      </c>
      <c r="DC27" s="43">
        <f t="shared" si="37"/>
        <v>1703142.55</v>
      </c>
      <c r="DD27" s="43">
        <f t="shared" si="37"/>
        <v>244234.30000000002</v>
      </c>
      <c r="DE27" s="43">
        <f t="shared" si="37"/>
        <v>13828902.84</v>
      </c>
      <c r="DF27" s="43">
        <f t="shared" si="37"/>
        <v>841886.3</v>
      </c>
      <c r="DG27" s="43">
        <f t="shared" si="37"/>
        <v>828963.44</v>
      </c>
      <c r="DH27" s="43">
        <f t="shared" si="37"/>
        <v>9223971.2599999998</v>
      </c>
      <c r="DI27" s="43">
        <f t="shared" si="37"/>
        <v>348573.87</v>
      </c>
      <c r="DJ27" s="43">
        <f t="shared" si="37"/>
        <v>314125.96000000002</v>
      </c>
      <c r="DK27" s="43">
        <f t="shared" si="37"/>
        <v>195634.53</v>
      </c>
      <c r="DL27" s="43">
        <f t="shared" si="37"/>
        <v>281215.21100000007</v>
      </c>
      <c r="DM27" s="43">
        <f t="shared" si="37"/>
        <v>5327375.7120000012</v>
      </c>
      <c r="DN27" s="43">
        <f t="shared" si="37"/>
        <v>215094.80100000001</v>
      </c>
      <c r="DO27" s="65">
        <f t="shared" si="37"/>
        <v>3760155.9029999999</v>
      </c>
      <c r="DP27" s="43">
        <f t="shared" si="37"/>
        <v>3439.4339999999997</v>
      </c>
      <c r="DQ27" s="43">
        <f t="shared" si="37"/>
        <v>18186868.285999998</v>
      </c>
      <c r="DR27" s="43">
        <f t="shared" si="37"/>
        <v>1253354.0220000001</v>
      </c>
      <c r="DS27" s="43">
        <f t="shared" si="37"/>
        <v>251329.35399999996</v>
      </c>
      <c r="DT27" s="43">
        <f t="shared" si="37"/>
        <v>34000.296000000002</v>
      </c>
      <c r="DU27" s="43">
        <f t="shared" si="37"/>
        <v>720847.15300000005</v>
      </c>
      <c r="DV27" s="43">
        <f t="shared" si="37"/>
        <v>8869893.9530000016</v>
      </c>
      <c r="DW27" s="43">
        <f t="shared" si="37"/>
        <v>5697637.9580000006</v>
      </c>
      <c r="DX27" s="43">
        <f t="shared" si="37"/>
        <v>0</v>
      </c>
      <c r="DY27" s="43">
        <f t="shared" si="37"/>
        <v>891397.35</v>
      </c>
      <c r="DZ27" s="43">
        <f t="shared" si="37"/>
        <v>79338.475999999995</v>
      </c>
      <c r="EA27" s="43">
        <f t="shared" ref="EA27:GL27" si="38">SUM(EA8:EA26)</f>
        <v>271644.74399999995</v>
      </c>
      <c r="EB27" s="43">
        <f t="shared" si="38"/>
        <v>885625.49500000011</v>
      </c>
      <c r="EC27" s="43">
        <f t="shared" si="38"/>
        <v>65293817.953000002</v>
      </c>
      <c r="ED27" s="43">
        <f t="shared" si="38"/>
        <v>258155.63699999999</v>
      </c>
      <c r="EE27" s="43">
        <f t="shared" si="38"/>
        <v>117598.33399999999</v>
      </c>
      <c r="EF27" s="43">
        <f t="shared" si="38"/>
        <v>6808563.6979999999</v>
      </c>
      <c r="EG27" s="43">
        <f t="shared" si="38"/>
        <v>2296745.943</v>
      </c>
      <c r="EH27" s="43">
        <f t="shared" si="38"/>
        <v>254996.77499999999</v>
      </c>
      <c r="EI27" s="43">
        <f t="shared" si="38"/>
        <v>228925.31999999995</v>
      </c>
      <c r="EJ27" s="65">
        <f t="shared" si="38"/>
        <v>19214166.145000003</v>
      </c>
      <c r="EK27" s="43">
        <f t="shared" si="38"/>
        <v>1591787.6809999999</v>
      </c>
      <c r="EL27" s="43">
        <f t="shared" si="38"/>
        <v>115548.372</v>
      </c>
      <c r="EM27" s="43">
        <f t="shared" si="38"/>
        <v>7109977.858</v>
      </c>
      <c r="EN27" s="43">
        <f t="shared" si="38"/>
        <v>65901.173999999999</v>
      </c>
      <c r="EO27" s="43">
        <f t="shared" si="38"/>
        <v>60441.567000000003</v>
      </c>
      <c r="EP27" s="43">
        <f t="shared" si="38"/>
        <v>9287957.7920000013</v>
      </c>
      <c r="EQ27" s="43">
        <f t="shared" si="38"/>
        <v>785329.57699999993</v>
      </c>
      <c r="ER27" s="43">
        <f t="shared" si="38"/>
        <v>39399464.375</v>
      </c>
      <c r="ES27" s="43">
        <f t="shared" si="38"/>
        <v>2003931.1349999998</v>
      </c>
      <c r="ET27" s="43">
        <f t="shared" si="38"/>
        <v>317961.337</v>
      </c>
      <c r="EU27" s="43">
        <f t="shared" si="38"/>
        <v>348459.25300000003</v>
      </c>
      <c r="EV27" s="43">
        <f t="shared" si="38"/>
        <v>3203542.6240000003</v>
      </c>
      <c r="EW27" s="43">
        <f t="shared" si="38"/>
        <v>335875.29699999996</v>
      </c>
      <c r="EX27" s="43">
        <f t="shared" si="38"/>
        <v>725931.76400000008</v>
      </c>
      <c r="EY27" s="43">
        <f t="shared" si="38"/>
        <v>149372.054</v>
      </c>
      <c r="EZ27" s="43">
        <f t="shared" si="38"/>
        <v>199867.90999999997</v>
      </c>
      <c r="FA27" s="43">
        <f t="shared" si="38"/>
        <v>40439714.147</v>
      </c>
      <c r="FB27" s="43">
        <f t="shared" si="38"/>
        <v>1780495.8169999998</v>
      </c>
      <c r="FC27" s="43">
        <f t="shared" si="38"/>
        <v>15319863.394999998</v>
      </c>
      <c r="FD27" s="43">
        <f t="shared" si="38"/>
        <v>2087645.7459999998</v>
      </c>
      <c r="FE27" s="43">
        <f t="shared" si="38"/>
        <v>3904976.4080000003</v>
      </c>
      <c r="FF27" s="65">
        <f t="shared" si="38"/>
        <v>605068.98199999996</v>
      </c>
      <c r="FG27" s="43">
        <f t="shared" si="38"/>
        <v>164922.09299999999</v>
      </c>
      <c r="FH27" s="43">
        <f t="shared" si="38"/>
        <v>324547.83399999997</v>
      </c>
      <c r="FI27" s="43">
        <f t="shared" si="38"/>
        <v>11881142.445</v>
      </c>
      <c r="FJ27" s="43">
        <f t="shared" si="38"/>
        <v>677112.03799999994</v>
      </c>
      <c r="FK27" s="43">
        <f t="shared" si="38"/>
        <v>274411.64500000002</v>
      </c>
      <c r="FL27" s="43">
        <f t="shared" si="38"/>
        <v>513536.03400000004</v>
      </c>
      <c r="FM27" s="43">
        <f t="shared" si="38"/>
        <v>149159937.074</v>
      </c>
      <c r="FN27" s="43">
        <f t="shared" si="38"/>
        <v>145079837.65900001</v>
      </c>
      <c r="FO27" s="43">
        <f t="shared" si="38"/>
        <v>154853.323</v>
      </c>
      <c r="FP27" s="43">
        <f t="shared" si="38"/>
        <v>337341.56899999996</v>
      </c>
      <c r="FQ27" s="43">
        <f t="shared" si="38"/>
        <v>5255105.0369999995</v>
      </c>
      <c r="FR27" s="43">
        <f t="shared" si="38"/>
        <v>678945.94799999997</v>
      </c>
      <c r="FS27" s="43">
        <f t="shared" si="38"/>
        <v>6051355.432</v>
      </c>
      <c r="FT27" s="43">
        <f t="shared" si="38"/>
        <v>1464112.4409999999</v>
      </c>
      <c r="FU27" s="43">
        <f t="shared" si="38"/>
        <v>465035.03900000005</v>
      </c>
      <c r="FV27" s="43">
        <f t="shared" si="38"/>
        <v>2944074.6689999998</v>
      </c>
      <c r="FW27" s="43">
        <f t="shared" si="38"/>
        <v>647749.50199999998</v>
      </c>
      <c r="FX27" s="43">
        <f t="shared" si="38"/>
        <v>5558900.3399999999</v>
      </c>
      <c r="FY27" s="43">
        <f t="shared" si="38"/>
        <v>323964.62800000003</v>
      </c>
      <c r="FZ27" s="65">
        <f t="shared" si="38"/>
        <v>702303.84400000004</v>
      </c>
      <c r="GA27" s="43">
        <f t="shared" si="38"/>
        <v>1072964.4210000001</v>
      </c>
      <c r="GB27" s="43">
        <f t="shared" si="38"/>
        <v>8268147.8220000006</v>
      </c>
      <c r="GC27" s="43">
        <f t="shared" si="38"/>
        <v>10495784.389</v>
      </c>
      <c r="GD27" s="43">
        <f t="shared" si="38"/>
        <v>1245066.149</v>
      </c>
      <c r="GE27" s="43">
        <f t="shared" si="38"/>
        <v>976379.86900000018</v>
      </c>
      <c r="GF27" s="43">
        <f t="shared" si="38"/>
        <v>1279341.213</v>
      </c>
      <c r="GG27" s="43">
        <f t="shared" si="38"/>
        <v>118283010.95199999</v>
      </c>
      <c r="GH27" s="43">
        <f t="shared" si="38"/>
        <v>9770338.5069999993</v>
      </c>
      <c r="GI27" s="43">
        <f t="shared" si="38"/>
        <v>740221.70200000005</v>
      </c>
      <c r="GJ27" s="43">
        <f t="shared" si="38"/>
        <v>5465264.2120000003</v>
      </c>
      <c r="GK27" s="43">
        <f t="shared" si="38"/>
        <v>811798.42599999998</v>
      </c>
      <c r="GL27" s="43">
        <f t="shared" si="38"/>
        <v>5758362.1619999995</v>
      </c>
      <c r="GM27" s="43">
        <f t="shared" ref="GM27:JJ27" si="39">SUM(GM8:GM26)</f>
        <v>1353631.835</v>
      </c>
      <c r="GN27" s="43">
        <f t="shared" si="39"/>
        <v>967360.53600000008</v>
      </c>
      <c r="GO27" s="43">
        <f t="shared" si="39"/>
        <v>1375634.237</v>
      </c>
      <c r="GP27" s="43">
        <f t="shared" si="39"/>
        <v>1086233.976</v>
      </c>
      <c r="GQ27" s="43">
        <f t="shared" si="39"/>
        <v>5831614.3040000005</v>
      </c>
      <c r="GR27" s="43">
        <f t="shared" si="39"/>
        <v>1225334.061</v>
      </c>
      <c r="GS27" s="43">
        <f t="shared" si="39"/>
        <v>820074.08400000003</v>
      </c>
      <c r="GT27" s="43">
        <f t="shared" si="39"/>
        <v>3339299.2729999996</v>
      </c>
      <c r="GU27" s="65">
        <f t="shared" si="39"/>
        <v>15824263.594999999</v>
      </c>
      <c r="GV27" s="43">
        <f t="shared" si="39"/>
        <v>319961.951</v>
      </c>
      <c r="GW27" s="43">
        <f t="shared" si="39"/>
        <v>1197581.1250000002</v>
      </c>
      <c r="GX27" s="43">
        <f t="shared" si="39"/>
        <v>2328549.0140000004</v>
      </c>
      <c r="GY27" s="43">
        <f t="shared" si="39"/>
        <v>2046282.175</v>
      </c>
      <c r="GZ27" s="43">
        <f t="shared" si="39"/>
        <v>1006658.596</v>
      </c>
      <c r="HA27" s="43">
        <f t="shared" si="39"/>
        <v>785104.74900000007</v>
      </c>
      <c r="HB27" s="43">
        <f t="shared" si="39"/>
        <v>1118743.2100000002</v>
      </c>
      <c r="HC27" s="43">
        <f t="shared" si="39"/>
        <v>9704818.0359999985</v>
      </c>
      <c r="HD27" s="43">
        <f t="shared" si="39"/>
        <v>13626258.132000001</v>
      </c>
      <c r="HE27" s="43">
        <f t="shared" si="39"/>
        <v>1554147.8499999999</v>
      </c>
      <c r="HF27" s="43">
        <f t="shared" si="39"/>
        <v>1386096.328</v>
      </c>
      <c r="HG27" s="43">
        <f t="shared" si="39"/>
        <v>1748118.7510000002</v>
      </c>
      <c r="HH27" s="43">
        <f t="shared" si="39"/>
        <v>1748959.8470000001</v>
      </c>
      <c r="HI27" s="43">
        <f t="shared" si="39"/>
        <v>3545368.659</v>
      </c>
      <c r="HJ27" s="43">
        <f t="shared" si="39"/>
        <v>2193469.1909999996</v>
      </c>
      <c r="HK27" s="43">
        <f t="shared" si="39"/>
        <v>2233654.9750000001</v>
      </c>
      <c r="HL27" s="43">
        <f t="shared" si="39"/>
        <v>2666394.8989999997</v>
      </c>
      <c r="HM27" s="43">
        <f t="shared" si="39"/>
        <v>3587925.03</v>
      </c>
      <c r="HN27" s="43">
        <f t="shared" si="39"/>
        <v>9235557.7789999992</v>
      </c>
      <c r="HO27" s="43">
        <f t="shared" si="39"/>
        <v>2666133.4909999999</v>
      </c>
      <c r="HP27" s="65">
        <f t="shared" si="39"/>
        <v>19364321.079000004</v>
      </c>
      <c r="HQ27" s="43">
        <f t="shared" si="39"/>
        <v>6673810.3730000006</v>
      </c>
      <c r="HR27" s="43">
        <f t="shared" si="39"/>
        <v>4717584.9440000001</v>
      </c>
      <c r="HS27" s="43">
        <f t="shared" si="39"/>
        <v>8601606.165000001</v>
      </c>
      <c r="HT27" s="43">
        <f t="shared" si="39"/>
        <v>9691489.1649999991</v>
      </c>
      <c r="HU27" s="43">
        <f t="shared" si="39"/>
        <v>5420932.3960000006</v>
      </c>
      <c r="HV27" s="43">
        <f t="shared" si="39"/>
        <v>7973369.3380000005</v>
      </c>
      <c r="HW27" s="43">
        <f t="shared" si="39"/>
        <v>5645941.0070000002</v>
      </c>
      <c r="HX27" s="43">
        <f t="shared" si="39"/>
        <v>3158102.25</v>
      </c>
      <c r="HY27" s="43">
        <f t="shared" si="39"/>
        <v>50</v>
      </c>
      <c r="HZ27" s="43">
        <f t="shared" si="39"/>
        <v>4899622.0320000006</v>
      </c>
      <c r="IA27" s="43">
        <f t="shared" si="39"/>
        <v>48154779.303999998</v>
      </c>
      <c r="IB27" s="43">
        <f t="shared" si="39"/>
        <v>11200149.770000001</v>
      </c>
      <c r="IC27" s="43">
        <f t="shared" si="39"/>
        <v>47948561.274000004</v>
      </c>
      <c r="ID27" s="43">
        <f t="shared" si="39"/>
        <v>15688044.489999998</v>
      </c>
      <c r="IE27" s="43">
        <f t="shared" si="39"/>
        <v>11522749.255999999</v>
      </c>
      <c r="IF27" s="43">
        <f t="shared" si="39"/>
        <v>14113491.9</v>
      </c>
      <c r="IG27" s="43">
        <f t="shared" si="39"/>
        <v>10294259.33</v>
      </c>
      <c r="IH27" s="43">
        <f t="shared" si="39"/>
        <v>4840661.7629999993</v>
      </c>
      <c r="II27" s="43">
        <f t="shared" si="39"/>
        <v>11408086.173</v>
      </c>
      <c r="IJ27" s="43">
        <f t="shared" si="39"/>
        <v>9111128.2950000018</v>
      </c>
      <c r="IK27" s="43">
        <f t="shared" si="39"/>
        <v>7590028.966</v>
      </c>
      <c r="IL27" s="65">
        <f t="shared" si="39"/>
        <v>7572611.0469999993</v>
      </c>
      <c r="IM27" s="43">
        <f t="shared" si="39"/>
        <v>12605529.827</v>
      </c>
      <c r="IN27" s="43">
        <f t="shared" si="39"/>
        <v>11557432.847999997</v>
      </c>
      <c r="IO27" s="43">
        <f t="shared" si="39"/>
        <v>9984277.6180000026</v>
      </c>
      <c r="IP27" s="43">
        <f t="shared" si="39"/>
        <v>11067322.469999999</v>
      </c>
      <c r="IQ27" s="43">
        <f t="shared" si="39"/>
        <v>17628824.661000002</v>
      </c>
      <c r="IR27" s="43">
        <f t="shared" si="39"/>
        <v>20482896.082000006</v>
      </c>
      <c r="IS27" s="43">
        <f t="shared" si="39"/>
        <v>15319075.839000002</v>
      </c>
      <c r="IT27" s="43">
        <f t="shared" si="39"/>
        <v>17230957.300000001</v>
      </c>
      <c r="IU27" s="43">
        <f t="shared" si="39"/>
        <v>25969925.932000004</v>
      </c>
      <c r="IV27" s="43">
        <f t="shared" si="39"/>
        <v>34963465.688999996</v>
      </c>
      <c r="IW27" s="869"/>
      <c r="IX27" s="43">
        <f t="shared" si="39"/>
        <v>46314987.857999995</v>
      </c>
      <c r="IY27" s="43">
        <f t="shared" si="39"/>
        <v>474412.51699999999</v>
      </c>
      <c r="IZ27" s="43">
        <f t="shared" si="39"/>
        <v>54194832.88499999</v>
      </c>
      <c r="JA27" s="43">
        <f t="shared" si="39"/>
        <v>8719984.3070000019</v>
      </c>
      <c r="JB27" s="43">
        <f t="shared" si="39"/>
        <v>205045.46400000004</v>
      </c>
      <c r="JC27" s="43">
        <f t="shared" si="39"/>
        <v>15632115.897</v>
      </c>
      <c r="JD27" s="43">
        <f t="shared" si="39"/>
        <v>1396091.7839999998</v>
      </c>
      <c r="JE27" s="43">
        <f t="shared" si="39"/>
        <v>43639314.513999999</v>
      </c>
      <c r="JF27" s="43">
        <f t="shared" si="39"/>
        <v>9686227.0370000023</v>
      </c>
      <c r="JG27" s="43">
        <f t="shared" si="39"/>
        <v>6295600.7750000004</v>
      </c>
      <c r="JH27" s="43">
        <f t="shared" si="39"/>
        <v>12980731.34</v>
      </c>
      <c r="JI27" s="43">
        <f>SUM(JI8:JI26)</f>
        <v>2916877204.4360003</v>
      </c>
      <c r="JJ27" s="43">
        <f t="shared" si="39"/>
        <v>13120288.638999997</v>
      </c>
      <c r="JK27" s="43">
        <f>SUM(JK8:JK26)</f>
        <v>1612866364.4454992</v>
      </c>
    </row>
    <row r="28" spans="1:271" ht="14.1" customHeight="1" thickTop="1">
      <c r="A28" s="14"/>
      <c r="B28" s="14"/>
      <c r="C28" s="213"/>
      <c r="N28" s="213"/>
      <c r="AG28" s="213"/>
      <c r="BD28" s="213"/>
      <c r="BX28" s="213"/>
      <c r="CL28" s="941"/>
      <c r="CM28" s="940"/>
      <c r="CT28" s="213"/>
      <c r="CZ28" s="8"/>
      <c r="DO28" s="213"/>
      <c r="DR28" s="8"/>
      <c r="EB28" s="8"/>
      <c r="EH28" s="124"/>
      <c r="EJ28" s="213"/>
      <c r="EK28" s="140"/>
      <c r="EQ28" s="8"/>
      <c r="FD28" s="8"/>
      <c r="FF28" s="213"/>
      <c r="FJ28" s="140"/>
      <c r="FL28" s="212"/>
      <c r="FZ28" s="224"/>
      <c r="GU28" s="213"/>
      <c r="HL28" s="140"/>
      <c r="HM28" s="140"/>
      <c r="HN28" s="212"/>
      <c r="HP28" s="213"/>
      <c r="II28" s="212"/>
      <c r="IL28" s="213"/>
      <c r="JI28" s="4">
        <f>SUM(D27:JH27)-JI27</f>
        <v>0</v>
      </c>
      <c r="JJ28" s="8"/>
    </row>
    <row r="29" spans="1:271" ht="14.1" customHeight="1">
      <c r="A29" s="20" t="s">
        <v>9</v>
      </c>
      <c r="B29" s="20"/>
      <c r="C29" s="191"/>
      <c r="D29" s="3"/>
      <c r="E29" s="3"/>
      <c r="F29" s="3"/>
      <c r="G29" s="3"/>
      <c r="H29" s="3"/>
      <c r="I29" s="3"/>
      <c r="J29" s="3"/>
      <c r="K29" s="3"/>
      <c r="L29" s="3"/>
      <c r="M29" s="3"/>
      <c r="N29" s="191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91"/>
      <c r="AH29" s="3"/>
      <c r="AI29" s="3"/>
      <c r="AJ29" s="3"/>
      <c r="AK29" s="3"/>
      <c r="AL29" s="3"/>
      <c r="AM29" s="3"/>
      <c r="AN29" s="3"/>
      <c r="AO29" s="576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191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191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191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191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191"/>
      <c r="EK29" s="7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191"/>
      <c r="FG29" s="3"/>
      <c r="FH29" s="3"/>
      <c r="FI29" s="3"/>
      <c r="FJ29" s="7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91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191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191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191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870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</row>
    <row r="30" spans="1:271" ht="14.1" customHeight="1">
      <c r="A30" s="4" t="s">
        <v>13</v>
      </c>
      <c r="B30" s="12"/>
      <c r="C30" s="189"/>
      <c r="D30" s="4"/>
      <c r="E30" s="4"/>
      <c r="F30" s="4"/>
      <c r="G30" s="4"/>
      <c r="H30" s="4"/>
      <c r="I30" s="4"/>
      <c r="J30" s="4"/>
      <c r="K30" s="4"/>
      <c r="L30" s="4"/>
      <c r="M30" s="4"/>
      <c r="N30" s="189">
        <v>20966.61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189">
        <v>20860.29</v>
      </c>
      <c r="AH30" s="4"/>
      <c r="AI30" s="4"/>
      <c r="AJ30" s="4"/>
      <c r="AK30" s="4"/>
      <c r="AL30" s="4"/>
      <c r="AM30" s="4"/>
      <c r="AN30" s="4"/>
      <c r="AO30" s="577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189">
        <v>22819.49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189"/>
      <c r="BY30" s="4">
        <v>19404.71</v>
      </c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>
        <v>4534</v>
      </c>
      <c r="CK30" s="4"/>
      <c r="CL30" s="4"/>
      <c r="CM30" s="4"/>
      <c r="CN30" s="4"/>
      <c r="CO30" s="4"/>
      <c r="CP30" s="4"/>
      <c r="CQ30" s="4"/>
      <c r="CR30" s="4"/>
      <c r="CS30" s="4"/>
      <c r="CT30" s="189">
        <v>7332.3</v>
      </c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>
        <f>+'FY-10, FEB-10 - JAN-11'!DL30</f>
        <v>0</v>
      </c>
      <c r="DM30" s="4">
        <f>+'FY-10, FEB-10 - JAN-11'!DM30</f>
        <v>0</v>
      </c>
      <c r="DN30" s="4">
        <f>+'FY-10, FEB-10 - JAN-11'!DN30</f>
        <v>0</v>
      </c>
      <c r="DO30" s="189">
        <f>+'FY-10, FEB-10 - JAN-11'!DO30</f>
        <v>22723.62</v>
      </c>
      <c r="DP30" s="4">
        <f>+'FY-10, FEB-10 - JAN-11'!DP30</f>
        <v>0</v>
      </c>
      <c r="DQ30" s="4">
        <f>+'FY-10, FEB-10 - JAN-11'!DQ30</f>
        <v>0</v>
      </c>
      <c r="DR30" s="4">
        <f>+'FY-10, FEB-10 - JAN-11'!DR30</f>
        <v>0</v>
      </c>
      <c r="DS30" s="4">
        <f>+'FY-10, FEB-10 - JAN-11'!DS30</f>
        <v>0</v>
      </c>
      <c r="DT30" s="4">
        <f>+'FY-10, FEB-10 - JAN-11'!DT30</f>
        <v>0</v>
      </c>
      <c r="DU30" s="4">
        <f>+'FY-10, FEB-10 - JAN-11'!DU30</f>
        <v>0</v>
      </c>
      <c r="DV30" s="4">
        <f>+'FY-10, FEB-10 - JAN-11'!DV30</f>
        <v>0</v>
      </c>
      <c r="DW30" s="4">
        <f>+'FY-10, FEB-10 - JAN-11'!DW30</f>
        <v>0</v>
      </c>
      <c r="DX30" s="4">
        <f>+'FY-10, FEB-10 - JAN-11'!DX30</f>
        <v>0</v>
      </c>
      <c r="DY30" s="4">
        <f>+'FY-10, FEB-10 - JAN-11'!DY30</f>
        <v>0</v>
      </c>
      <c r="DZ30" s="4">
        <f>+'FY-10, FEB-10 - JAN-11'!DZ30</f>
        <v>0</v>
      </c>
      <c r="EA30" s="4">
        <f>+'FY-10, FEB-10 - JAN-11'!EA30</f>
        <v>0</v>
      </c>
      <c r="EB30" s="4">
        <f>+'FY-10, FEB-10 - JAN-11'!EB30</f>
        <v>0</v>
      </c>
      <c r="EC30" s="4">
        <f>+'FY-10, FEB-10 - JAN-11'!EC30</f>
        <v>0</v>
      </c>
      <c r="ED30" s="4">
        <f>+'FY-10, FEB-10 - JAN-11'!ED30</f>
        <v>0</v>
      </c>
      <c r="EE30" s="4">
        <f>+'FY-10, FEB-10 - JAN-11'!EE30</f>
        <v>0</v>
      </c>
      <c r="EF30" s="4">
        <f>+'FY-10, FEB-10 - JAN-11'!EF30</f>
        <v>0</v>
      </c>
      <c r="EG30" s="4">
        <f>+'FY-10, FEB-10 - JAN-11'!EG30</f>
        <v>0</v>
      </c>
      <c r="EH30" s="4">
        <f>+'FY-10, FEB-10 - JAN-11'!EH30</f>
        <v>0</v>
      </c>
      <c r="EI30" s="4">
        <f>+'FY-10, FEB-10 - JAN-11'!EI30</f>
        <v>0</v>
      </c>
      <c r="EJ30" s="189">
        <f>+'FY-10, FEB-10 - JAN-11'!EJ30</f>
        <v>0</v>
      </c>
      <c r="EK30" s="4">
        <f>+'FY-10, FEB-10 - JAN-11'!EK30</f>
        <v>19192.61</v>
      </c>
      <c r="EL30" s="4">
        <f>+'FY-10, FEB-10 - JAN-11'!EL30</f>
        <v>0</v>
      </c>
      <c r="EM30" s="4">
        <f>+'FY-10, FEB-10 - JAN-11'!EM30</f>
        <v>0</v>
      </c>
      <c r="EN30" s="4">
        <f>+'FY-10, FEB-10 - JAN-11'!EN30</f>
        <v>0</v>
      </c>
      <c r="EO30" s="4">
        <f>+'FY-10, FEB-10 - JAN-11'!EO30</f>
        <v>0</v>
      </c>
      <c r="EP30" s="4">
        <f>+'FY-10, FEB-10 - JAN-11'!EP30</f>
        <v>0</v>
      </c>
      <c r="EQ30" s="4">
        <f>+'FY-10, FEB-10 - JAN-11'!EQ30</f>
        <v>0</v>
      </c>
      <c r="ER30" s="4">
        <f>+'FY-10, FEB-10 - JAN-11'!ER30</f>
        <v>0</v>
      </c>
      <c r="ES30" s="4">
        <f>+'FY-10, FEB-10 - JAN-11'!ES30</f>
        <v>0</v>
      </c>
      <c r="ET30" s="4">
        <f>+'FY-10, FEB-10 - JAN-11'!ET30</f>
        <v>0</v>
      </c>
      <c r="EU30" s="4">
        <f>+'FY-10, FEB-10 - JAN-11'!EU30</f>
        <v>0</v>
      </c>
      <c r="EV30" s="4">
        <f>+'FY-10, FEB-10 - JAN-11'!EV30</f>
        <v>18156</v>
      </c>
      <c r="EW30" s="4">
        <v>0</v>
      </c>
      <c r="EX30" s="4">
        <f>+'FY-10, FEB-10 - JAN-11'!EX30</f>
        <v>0</v>
      </c>
      <c r="EY30" s="4">
        <v>0</v>
      </c>
      <c r="EZ30" s="4">
        <f>+'FY-10, FEB-10 - JAN-11'!EZ30</f>
        <v>0</v>
      </c>
      <c r="FA30" s="4">
        <f>+'FY-10, FEB-10 - JAN-11'!FA30</f>
        <v>0</v>
      </c>
      <c r="FB30" s="4">
        <f>+'FY-10, FEB-10 - JAN-11'!FB30</f>
        <v>0</v>
      </c>
      <c r="FC30" s="4">
        <f>+'FY-10, FEB-10 - JAN-11'!FC30</f>
        <v>0</v>
      </c>
      <c r="FD30" s="4">
        <f>+'FY-10, FEB-10 - JAN-11'!FD30</f>
        <v>0</v>
      </c>
      <c r="FE30" s="4">
        <f>+'FY-10, FEB-10 - JAN-11'!FE30</f>
        <v>0</v>
      </c>
      <c r="FF30" s="189">
        <f>+'FY-10, FEB-10 - JAN-11'!FF30</f>
        <v>17943.37</v>
      </c>
      <c r="FG30" s="4">
        <f>+'FY-10, FEB-10 - JAN-11'!FG30</f>
        <v>0</v>
      </c>
      <c r="FH30" s="4">
        <f>+'FY-10, FEB-10 - JAN-11'!FH30</f>
        <v>0</v>
      </c>
      <c r="FI30" s="4">
        <f>+'FY-10, FEB-10 - JAN-11'!FI30</f>
        <v>0</v>
      </c>
      <c r="FJ30" s="4">
        <f>+'FY-10, FEB-10 - JAN-11'!FJ30</f>
        <v>0</v>
      </c>
      <c r="FK30" s="4">
        <f>+'FY-10, FEB-10 - JAN-11'!FK30</f>
        <v>0</v>
      </c>
      <c r="FL30" s="4">
        <f>+'FY-10, FEB-10 - JAN-11'!FL30</f>
        <v>0</v>
      </c>
      <c r="FM30" s="4">
        <f>+'FY-10, FEB-10 - JAN-11'!FM30</f>
        <v>0</v>
      </c>
      <c r="FN30" s="4">
        <f>+'FY-10, FEB-10 - JAN-11'!FN30</f>
        <v>0</v>
      </c>
      <c r="FO30" s="4">
        <f>+'FY-10, FEB-10 - JAN-11'!FO30</f>
        <v>15065</v>
      </c>
      <c r="FP30" s="4">
        <f>+'FY-10, FEB-10 - JAN-11'!FP30</f>
        <v>0</v>
      </c>
      <c r="FQ30" s="4">
        <f>+'FY-10, FEB-10 - JAN-11'!FQ30</f>
        <v>0</v>
      </c>
      <c r="FR30" s="4">
        <f>+'FY-10, FEB-10 - JAN-11'!FR30</f>
        <v>0</v>
      </c>
      <c r="FS30" s="4">
        <f>+'FY-10, FEB-10 - JAN-11'!FS30</f>
        <v>0</v>
      </c>
      <c r="FT30" s="4">
        <f>+'FY-10, FEB-10 - JAN-11'!FT30</f>
        <v>0</v>
      </c>
      <c r="FU30" s="4">
        <f>+'FY-10, FEB-10 - JAN-11'!FU30</f>
        <v>0</v>
      </c>
      <c r="FV30" s="4">
        <f>+'FY-10, FEB-10 - JAN-11'!FV30</f>
        <v>0</v>
      </c>
      <c r="FW30" s="4">
        <f>+'FY-10, FEB-10 - JAN-11'!FW30</f>
        <v>0</v>
      </c>
      <c r="FX30" s="4">
        <f>+'FY-10, FEB-10 - JAN-11'!FX30</f>
        <v>0</v>
      </c>
      <c r="FY30" s="4">
        <f>+'FY-10, FEB-10 - JAN-11'!FY30</f>
        <v>0</v>
      </c>
      <c r="FZ30" s="189">
        <f>+'FY-10, FEB-10 - JAN-11'!FZ30</f>
        <v>0</v>
      </c>
      <c r="GA30" s="4">
        <f>+'FY-10, FEB-10 - JAN-11'!GA30</f>
        <v>21618.58</v>
      </c>
      <c r="GB30" s="4">
        <f>+'FY-10, FEB-10 - JAN-11'!GB30</f>
        <v>0</v>
      </c>
      <c r="GC30" s="4">
        <f>+'FY-10, FEB-10 - JAN-11'!GC30</f>
        <v>0</v>
      </c>
      <c r="GD30" s="4">
        <f>+'FY-10, FEB-10 - JAN-11'!GD30</f>
        <v>0</v>
      </c>
      <c r="GE30" s="4">
        <f>+'FY-10, FEB-10 - JAN-11'!GE30</f>
        <v>0</v>
      </c>
      <c r="GF30" s="4">
        <f>+'FY-10, FEB-10 - JAN-11'!GF30</f>
        <v>0</v>
      </c>
      <c r="GG30" s="4">
        <f>+'FY-10, FEB-10 - JAN-11'!GG30</f>
        <v>0</v>
      </c>
      <c r="GH30" s="4">
        <f>+'FY-10, FEB-10 - JAN-11'!GH30</f>
        <v>0</v>
      </c>
      <c r="GI30" s="4">
        <f>+'FY-10, FEB-10 - JAN-11'!GI30</f>
        <v>0</v>
      </c>
      <c r="GJ30" s="4">
        <f>+'FY-10, FEB-10 - JAN-11'!GJ30</f>
        <v>0</v>
      </c>
      <c r="GK30" s="4">
        <f>+'FY-10, FEB-10 - JAN-11'!GK30</f>
        <v>0</v>
      </c>
      <c r="GL30" s="4">
        <f>+'FY-10, FEB-10 - JAN-11'!GL30</f>
        <v>0</v>
      </c>
      <c r="GM30" s="4">
        <f>+'FY-10, FEB-10 - JAN-11'!GM30</f>
        <v>0</v>
      </c>
      <c r="GN30" s="4">
        <f>+'FY-10, FEB-10 - JAN-11'!GN30</f>
        <v>0</v>
      </c>
      <c r="GO30" s="4">
        <f>+'FY-10, FEB-10 - JAN-11'!GO30</f>
        <v>0</v>
      </c>
      <c r="GP30" s="4">
        <f>+'FY-10, FEB-10 - JAN-11'!GP30</f>
        <v>0</v>
      </c>
      <c r="GQ30" s="4">
        <f>+'FY-10, FEB-10 - JAN-11'!GQ30</f>
        <v>0</v>
      </c>
      <c r="GR30" s="4">
        <f>+'FY-10, FEB-10 - JAN-11'!GR30</f>
        <v>0</v>
      </c>
      <c r="GS30" s="4">
        <f>+'FY-10, FEB-10 - JAN-11'!GS30</f>
        <v>0</v>
      </c>
      <c r="GT30" s="4">
        <f>+'FY-10, FEB-10 - JAN-11'!GT30</f>
        <v>0</v>
      </c>
      <c r="GU30" s="189">
        <f>+'FY-10, FEB-10 - JAN-11'!GU30</f>
        <v>23891.59</v>
      </c>
      <c r="GV30" s="4">
        <f>+'FY-10, FEB-10 - JAN-11'!GV30</f>
        <v>15104</v>
      </c>
      <c r="GW30" s="4">
        <f>+'FY-10, FEB-10 - JAN-11'!GW30</f>
        <v>0</v>
      </c>
      <c r="GX30" s="4">
        <f>+'FY-10, FEB-10 - JAN-11'!GX30</f>
        <v>0</v>
      </c>
      <c r="GY30" s="4">
        <f>+'FY-10, FEB-10 - JAN-11'!GY30</f>
        <v>0</v>
      </c>
      <c r="GZ30" s="4">
        <f>+'FY-10, FEB-10 - JAN-11'!GZ30</f>
        <v>0</v>
      </c>
      <c r="HA30" s="4">
        <f>+'FY-10, FEB-10 - JAN-11'!HA30</f>
        <v>0</v>
      </c>
      <c r="HB30" s="4">
        <f>+'FY-10, FEB-10 - JAN-11'!HB30</f>
        <v>0</v>
      </c>
      <c r="HC30" s="4">
        <f>+'FY-10, FEB-10 - JAN-11'!HC30</f>
        <v>0</v>
      </c>
      <c r="HD30" s="4">
        <f>+'FY-10, FEB-10 - JAN-11'!HD30</f>
        <v>0</v>
      </c>
      <c r="HE30" s="4">
        <f>+'FY-10, FEB-10 - JAN-11'!HE30</f>
        <v>0</v>
      </c>
      <c r="HF30" s="4">
        <f>+'FY-10, FEB-10 - JAN-11'!HF30</f>
        <v>0</v>
      </c>
      <c r="HG30" s="4">
        <f>+'FY-10, FEB-10 - JAN-11'!HG30</f>
        <v>0</v>
      </c>
      <c r="HH30" s="4">
        <f>+'FY-10, FEB-10 - JAN-11'!HH30</f>
        <v>0</v>
      </c>
      <c r="HI30" s="4">
        <f>+'FY-10, FEB-10 - JAN-11'!HI30</f>
        <v>0</v>
      </c>
      <c r="HJ30" s="4">
        <f>+'FY-10, FEB-10 - JAN-11'!HJ30</f>
        <v>0</v>
      </c>
      <c r="HK30" s="4">
        <f>+'FY-10, FEB-10 - JAN-11'!HK30</f>
        <v>0</v>
      </c>
      <c r="HL30" s="4">
        <f>+'FY-10, FEB-10 - JAN-11'!HL30</f>
        <v>0</v>
      </c>
      <c r="HM30" s="4">
        <f>+'FY-10, FEB-10 - JAN-11'!HM30</f>
        <v>0</v>
      </c>
      <c r="HN30" s="4">
        <f>+'FY-10, FEB-10 - JAN-11'!HN30</f>
        <v>0</v>
      </c>
      <c r="HO30" s="4">
        <f>+'FY-10, FEB-10 - JAN-11'!HO30</f>
        <v>0</v>
      </c>
      <c r="HP30" s="189">
        <f>+'FY-10, FEB-10 - JAN-11'!HP30</f>
        <v>23055.15</v>
      </c>
      <c r="HQ30" s="4">
        <f>+'FY-10, FEB-10 - JAN-11'!HQ30</f>
        <v>9761</v>
      </c>
      <c r="HR30" s="4">
        <f>+'FY-10, FEB-10 - JAN-11'!HR30</f>
        <v>0</v>
      </c>
      <c r="HS30" s="4">
        <f>+'FY-10, FEB-10 - JAN-11'!HS30</f>
        <v>0</v>
      </c>
      <c r="HT30" s="4">
        <f>+'FY-10, FEB-10 - JAN-11'!HT30</f>
        <v>0</v>
      </c>
      <c r="HU30" s="4">
        <f>+'FY-10, FEB-10 - JAN-11'!HU30</f>
        <v>0</v>
      </c>
      <c r="HV30" s="4">
        <v>0</v>
      </c>
      <c r="HW30" s="4">
        <f>+'FY-10, FEB-10 - JAN-11'!HW30</f>
        <v>0</v>
      </c>
      <c r="HX30" s="4">
        <f>+'FY-10, FEB-10 - JAN-11'!HX30</f>
        <v>0</v>
      </c>
      <c r="HY30" s="4">
        <f>+'FY-10, FEB-10 - JAN-11'!HY30</f>
        <v>0</v>
      </c>
      <c r="HZ30" s="4">
        <f>+'FY-10, FEB-10 - JAN-11'!HZ30</f>
        <v>0</v>
      </c>
      <c r="IA30" s="4">
        <f>+'FY-10, FEB-10 - JAN-11'!IA30</f>
        <v>0</v>
      </c>
      <c r="IB30" s="4">
        <f>+'FY-10, FEB-10 - JAN-11'!IB30</f>
        <v>0</v>
      </c>
      <c r="IC30" s="4">
        <f>+'FY-10, FEB-10 - JAN-11'!IC30</f>
        <v>0</v>
      </c>
      <c r="ID30" s="4">
        <f>+'FY-10, FEB-10 - JAN-11'!ID30</f>
        <v>0</v>
      </c>
      <c r="IE30" s="4">
        <f>+'FY-10, FEB-10 - JAN-11'!IE30</f>
        <v>0</v>
      </c>
      <c r="IF30" s="4">
        <v>0</v>
      </c>
      <c r="IG30" s="4">
        <f>+'FY-10, FEB-10 - JAN-11'!IG30</f>
        <v>0</v>
      </c>
      <c r="IH30" s="4">
        <f>+'FY-10, FEB-10 - JAN-11'!IH30</f>
        <v>0</v>
      </c>
      <c r="II30" s="4">
        <f>+'FY-10, FEB-10 - JAN-11'!II30</f>
        <v>0</v>
      </c>
      <c r="IJ30" s="4">
        <f>+'FY-10, FEB-10 - JAN-11'!IJ30</f>
        <v>0</v>
      </c>
      <c r="IK30" s="4">
        <f>+'FY-10, FEB-10 - JAN-11'!IK30</f>
        <v>0</v>
      </c>
      <c r="IL30" s="189">
        <f>+'FY-10, FEB-10 - JAN-11'!IL30</f>
        <v>0</v>
      </c>
      <c r="IM30" s="4">
        <f>+'FY-10, FEB-10 - JAN-11'!IM30</f>
        <v>20487.57</v>
      </c>
      <c r="IN30" s="4">
        <f>+'FY-10, FEB-10 - JAN-11'!IN30</f>
        <v>0</v>
      </c>
      <c r="IO30" s="4">
        <f>+'FY-10, FEB-10 - JAN-11'!IO30</f>
        <v>0</v>
      </c>
      <c r="IP30" s="4">
        <f>+'FY-10, FEB-10 - JAN-11'!IP30</f>
        <v>0</v>
      </c>
      <c r="IQ30" s="4">
        <f>+'FY-10, FEB-10 - JAN-11'!IQ30</f>
        <v>0</v>
      </c>
      <c r="IR30" s="4">
        <f>+'FY-10, FEB-10 - JAN-11'!IR30</f>
        <v>0</v>
      </c>
      <c r="IS30" s="4">
        <f>+'FY-10, FEB-10 - JAN-11'!IS30</f>
        <v>0</v>
      </c>
      <c r="IT30" s="4">
        <f>+'FY-10, FEB-10 - JAN-11'!IT30</f>
        <v>0</v>
      </c>
      <c r="IU30" s="4">
        <f>+'FY-10, FEB-10 - JAN-11'!IU30</f>
        <v>0</v>
      </c>
      <c r="IV30" s="4">
        <f>+'FY-10, FEB-10 - JAN-11'!IV30</f>
        <v>0</v>
      </c>
      <c r="IW30" s="682"/>
      <c r="IX30" s="4">
        <f>+D30</f>
        <v>0</v>
      </c>
      <c r="IY30" s="4">
        <f t="shared" ref="IY30:IY48" si="40">+E30</f>
        <v>0</v>
      </c>
      <c r="IZ30" s="4">
        <f t="shared" ref="IZ30:IZ48" si="41">+F30</f>
        <v>0</v>
      </c>
      <c r="JA30" s="4">
        <f t="shared" ref="JA30:JA48" si="42">+G30</f>
        <v>0</v>
      </c>
      <c r="JB30" s="4">
        <f t="shared" ref="JB30:JB48" si="43">+H30</f>
        <v>0</v>
      </c>
      <c r="JC30" s="4">
        <f t="shared" ref="JC30:JC48" si="44">+I30</f>
        <v>0</v>
      </c>
      <c r="JD30" s="4">
        <f t="shared" ref="JD30:JE48" si="45">+J30</f>
        <v>0</v>
      </c>
      <c r="JE30" s="4">
        <f t="shared" si="45"/>
        <v>0</v>
      </c>
      <c r="JF30" s="4">
        <f t="shared" ref="JF30:JF33" si="46">+L30</f>
        <v>0</v>
      </c>
      <c r="JG30" s="4">
        <f t="shared" ref="JG30:JG33" si="47">+M30</f>
        <v>0</v>
      </c>
      <c r="JH30" s="4">
        <f t="shared" ref="JH30:JH31" si="48">+N30</f>
        <v>20966.61</v>
      </c>
      <c r="JI30" s="4">
        <f t="shared" ref="JI30:JI48" si="49">SUM(D30:JH30)</f>
        <v>323882.5</v>
      </c>
      <c r="JJ30" s="4"/>
      <c r="JK30" s="4">
        <f t="shared" ref="JK30:JK42" si="50">SUM(C30:JJ30)</f>
        <v>647765</v>
      </c>
    </row>
    <row r="31" spans="1:271" ht="14.1" customHeight="1">
      <c r="A31" s="4" t="s">
        <v>85</v>
      </c>
      <c r="B31" s="12"/>
      <c r="C31" s="189"/>
      <c r="D31" s="4"/>
      <c r="E31" s="4"/>
      <c r="F31" s="4"/>
      <c r="G31" s="4"/>
      <c r="H31" s="5"/>
      <c r="I31" s="4"/>
      <c r="J31" s="4"/>
      <c r="K31" s="4"/>
      <c r="L31" s="4"/>
      <c r="M31" s="4">
        <v>1463</v>
      </c>
      <c r="N31" s="189"/>
      <c r="O31" s="4">
        <v>136788.04999999999</v>
      </c>
      <c r="P31" s="4"/>
      <c r="Q31" s="4"/>
      <c r="R31" s="4"/>
      <c r="S31" s="4"/>
      <c r="T31" s="4"/>
      <c r="U31" s="4"/>
      <c r="V31" s="4"/>
      <c r="W31" s="4">
        <v>1473</v>
      </c>
      <c r="X31" s="4"/>
      <c r="Y31" s="4"/>
      <c r="Z31" s="5"/>
      <c r="AA31" s="4">
        <v>137447.96</v>
      </c>
      <c r="AB31" s="4"/>
      <c r="AC31" s="4"/>
      <c r="AD31" s="4"/>
      <c r="AE31" s="4"/>
      <c r="AF31" s="4">
        <v>1498</v>
      </c>
      <c r="AG31" s="189"/>
      <c r="AH31" s="4"/>
      <c r="AI31" s="4"/>
      <c r="AJ31" s="4"/>
      <c r="AK31" s="4"/>
      <c r="AL31" s="4"/>
      <c r="AM31" s="4"/>
      <c r="AN31" s="4"/>
      <c r="AO31" s="577"/>
      <c r="AP31" s="4"/>
      <c r="AQ31" s="4">
        <v>1473</v>
      </c>
      <c r="AR31" s="4"/>
      <c r="AS31" s="4"/>
      <c r="AT31" s="4"/>
      <c r="AU31" s="4"/>
      <c r="AV31" s="4"/>
      <c r="AW31" s="5">
        <v>140434.47</v>
      </c>
      <c r="AX31" s="4"/>
      <c r="AY31" s="4"/>
      <c r="AZ31" s="4">
        <v>1423</v>
      </c>
      <c r="BA31" s="4"/>
      <c r="BB31" s="4"/>
      <c r="BC31" s="4"/>
      <c r="BD31" s="189"/>
      <c r="BE31" s="4"/>
      <c r="BF31" s="4"/>
      <c r="BG31" s="4"/>
      <c r="BH31" s="4"/>
      <c r="BI31" s="4">
        <v>1420.5</v>
      </c>
      <c r="BJ31" s="4"/>
      <c r="BK31" s="4"/>
      <c r="BL31" s="4"/>
      <c r="BM31" s="4"/>
      <c r="BN31" s="4"/>
      <c r="BO31" s="4"/>
      <c r="BP31" s="4"/>
      <c r="BQ31" s="4"/>
      <c r="BR31" s="4"/>
      <c r="BS31" s="5">
        <v>135966.13</v>
      </c>
      <c r="BT31" s="4"/>
      <c r="BU31" s="4"/>
      <c r="BV31" s="4"/>
      <c r="BW31" s="4"/>
      <c r="BX31" s="189"/>
      <c r="BY31" s="4"/>
      <c r="BZ31" s="4"/>
      <c r="CA31" s="4"/>
      <c r="CB31" s="4"/>
      <c r="CC31" s="4"/>
      <c r="CD31" s="4">
        <v>1420.5</v>
      </c>
      <c r="CE31" s="4"/>
      <c r="CF31" s="4"/>
      <c r="CG31" s="4"/>
      <c r="CH31" s="4"/>
      <c r="CI31" s="4"/>
      <c r="CJ31" s="4"/>
      <c r="CK31" s="4"/>
      <c r="CL31" s="4"/>
      <c r="CM31" s="5"/>
      <c r="CN31" s="4">
        <f>141044.43+1483</f>
        <v>142527.43</v>
      </c>
      <c r="CO31" s="4"/>
      <c r="CP31" s="4"/>
      <c r="CQ31" s="4"/>
      <c r="CR31" s="4"/>
      <c r="CS31" s="4"/>
      <c r="CT31" s="189"/>
      <c r="CU31" s="4"/>
      <c r="CV31" s="4">
        <v>1548</v>
      </c>
      <c r="CW31" s="4"/>
      <c r="CX31" s="4"/>
      <c r="CY31" s="4"/>
      <c r="CZ31" s="4"/>
      <c r="DA31" s="4"/>
      <c r="DB31" s="4"/>
      <c r="DC31" s="4"/>
      <c r="DD31" s="4"/>
      <c r="DE31" s="5"/>
      <c r="DF31" s="4"/>
      <c r="DG31" s="4"/>
      <c r="DH31" s="4"/>
      <c r="DI31" s="4"/>
      <c r="DJ31" s="4"/>
      <c r="DK31" s="4"/>
      <c r="DL31" s="4">
        <f>+'FY-10, FEB-10 - JAN-11'!DL31</f>
        <v>0</v>
      </c>
      <c r="DM31" s="4">
        <f>+'FY-10, FEB-10 - JAN-11'!DM31</f>
        <v>0</v>
      </c>
      <c r="DN31" s="4">
        <f>+'FY-10, FEB-10 - JAN-11'!DN31</f>
        <v>0</v>
      </c>
      <c r="DO31" s="189">
        <f>+'FY-10, FEB-10 - JAN-11'!DO31</f>
        <v>132861.75</v>
      </c>
      <c r="DP31" s="4">
        <f>+'FY-10, FEB-10 - JAN-11'!DP31</f>
        <v>0</v>
      </c>
      <c r="DQ31" s="4">
        <f>+'FY-10, FEB-10 - JAN-11'!DQ31</f>
        <v>0</v>
      </c>
      <c r="DR31" s="4">
        <f>+'FY-10, FEB-10 - JAN-11'!DR31</f>
        <v>0</v>
      </c>
      <c r="DS31" s="4">
        <f>+'FY-10, FEB-10 - JAN-11'!DS31</f>
        <v>0</v>
      </c>
      <c r="DT31" s="4">
        <f>+'FY-10, FEB-10 - JAN-11'!DT31</f>
        <v>1273</v>
      </c>
      <c r="DU31" s="4">
        <f>+'FY-10, FEB-10 - JAN-11'!DU31</f>
        <v>0</v>
      </c>
      <c r="DV31" s="4">
        <f>+'FY-10, FEB-10 - JAN-11'!DV31</f>
        <v>0</v>
      </c>
      <c r="DW31" s="4">
        <f>+'FY-10, FEB-10 - JAN-11'!DW31</f>
        <v>0</v>
      </c>
      <c r="DX31" s="4">
        <f>+'FY-10, FEB-10 - JAN-11'!DX31</f>
        <v>0</v>
      </c>
      <c r="DY31" s="4">
        <f>+'FY-10, FEB-10 - JAN-11'!DY31</f>
        <v>0</v>
      </c>
      <c r="DZ31" s="4">
        <f>+'FY-10, FEB-10 - JAN-11'!DZ31</f>
        <v>0</v>
      </c>
      <c r="EA31" s="4">
        <f>+'FY-10, FEB-10 - JAN-11'!EA31</f>
        <v>0</v>
      </c>
      <c r="EB31" s="4">
        <f>+'FY-10, FEB-10 - JAN-11'!EB31</f>
        <v>0</v>
      </c>
      <c r="EC31" s="4">
        <f>+'FY-10, FEB-10 - JAN-11'!EC31</f>
        <v>0</v>
      </c>
      <c r="ED31" s="4">
        <f>+'FY-10, FEB-10 - JAN-11'!ED31</f>
        <v>132921.49</v>
      </c>
      <c r="EE31" s="4">
        <f>+'FY-10, FEB-10 - JAN-11'!EE31</f>
        <v>0</v>
      </c>
      <c r="EF31" s="4">
        <f>+'FY-10, FEB-10 - JAN-11'!EF31</f>
        <v>0</v>
      </c>
      <c r="EG31" s="4">
        <f>+'FY-10, FEB-10 - JAN-11'!EG31</f>
        <v>0</v>
      </c>
      <c r="EH31" s="4">
        <f>+'FY-10, FEB-10 - JAN-11'!EH31</f>
        <v>0</v>
      </c>
      <c r="EI31" s="4">
        <f>+'FY-10, FEB-10 - JAN-11'!EI31</f>
        <v>0</v>
      </c>
      <c r="EJ31" s="189">
        <f>+'FY-10, FEB-10 - JAN-11'!EJ31</f>
        <v>1248</v>
      </c>
      <c r="EK31" s="4">
        <f>+'FY-10, FEB-10 - JAN-11'!EK31</f>
        <v>0</v>
      </c>
      <c r="EL31" s="4">
        <f>+'FY-10, FEB-10 - JAN-11'!EL31</f>
        <v>0</v>
      </c>
      <c r="EM31" s="4">
        <f>+'FY-10, FEB-10 - JAN-11'!EM31</f>
        <v>0</v>
      </c>
      <c r="EN31" s="4">
        <f>+'FY-10, FEB-10 - JAN-11'!EN31</f>
        <v>0</v>
      </c>
      <c r="EO31" s="4">
        <f>+'FY-10, FEB-10 - JAN-11'!EO31</f>
        <v>0</v>
      </c>
      <c r="EP31" s="4">
        <f>+'FY-10, FEB-10 - JAN-11'!EP31</f>
        <v>0</v>
      </c>
      <c r="EQ31" s="4">
        <f>+'FY-10, FEB-10 - JAN-11'!EQ31</f>
        <v>0</v>
      </c>
      <c r="ER31" s="4">
        <f>+'FY-10, FEB-10 - JAN-11'!ER31</f>
        <v>0</v>
      </c>
      <c r="ES31" s="4">
        <f>+'FY-10, FEB-10 - JAN-11'!ES31</f>
        <v>0</v>
      </c>
      <c r="ET31" s="4">
        <f>+'FY-10, FEB-10 - JAN-11'!ET31</f>
        <v>0</v>
      </c>
      <c r="EU31" s="4">
        <f>+'FY-10, FEB-10 - JAN-11'!EU31</f>
        <v>0</v>
      </c>
      <c r="EV31" s="4">
        <f>+'FY-10, FEB-10 - JAN-11'!EV31</f>
        <v>0</v>
      </c>
      <c r="EW31" s="4">
        <f>+'FY-10, FEB-10 - JAN-11'!EW31</f>
        <v>0</v>
      </c>
      <c r="EX31" s="4">
        <f>+'FY-10, FEB-10 - JAN-11'!EX31</f>
        <v>0</v>
      </c>
      <c r="EY31" s="5">
        <v>0</v>
      </c>
      <c r="EZ31" s="4">
        <f>+'FY-10, FEB-10 - JAN-11'!EZ31</f>
        <v>0</v>
      </c>
      <c r="FA31" s="4">
        <f>+'FY-10, FEB-10 - JAN-11'!FA31</f>
        <v>1338</v>
      </c>
      <c r="FB31" s="4">
        <f>+'FY-10, FEB-10 - JAN-11'!FB31</f>
        <v>132668.85999999999</v>
      </c>
      <c r="FC31" s="4">
        <f>+'FY-10, FEB-10 - JAN-11'!FC31</f>
        <v>0</v>
      </c>
      <c r="FD31" s="4">
        <f>+'FY-10, FEB-10 - JAN-11'!FD31</f>
        <v>0</v>
      </c>
      <c r="FE31" s="4">
        <f>+'FY-10, FEB-10 - JAN-11'!FE31</f>
        <v>0</v>
      </c>
      <c r="FF31" s="189">
        <f>+'FY-10, FEB-10 - JAN-11'!FF31</f>
        <v>1558</v>
      </c>
      <c r="FG31" s="4">
        <f>+'FY-10, FEB-10 - JAN-11'!FG31</f>
        <v>0</v>
      </c>
      <c r="FH31" s="4">
        <f>+'FY-10, FEB-10 - JAN-11'!FH31</f>
        <v>0</v>
      </c>
      <c r="FI31" s="4">
        <f>+'FY-10, FEB-10 - JAN-11'!FI31</f>
        <v>0</v>
      </c>
      <c r="FJ31" s="4">
        <f>+'FY-10, FEB-10 - JAN-11'!FJ31</f>
        <v>0</v>
      </c>
      <c r="FK31" s="4">
        <f>+'FY-10, FEB-10 - JAN-11'!FK31</f>
        <v>0</v>
      </c>
      <c r="FL31" s="4">
        <f>+'FY-10, FEB-10 - JAN-11'!FL31</f>
        <v>0</v>
      </c>
      <c r="FM31" s="4">
        <f>+'FY-10, FEB-10 - JAN-11'!FM31</f>
        <v>0</v>
      </c>
      <c r="FN31" s="4">
        <f>+'FY-10, FEB-10 - JAN-11'!FN31</f>
        <v>0</v>
      </c>
      <c r="FO31" s="4">
        <f>+'FY-10, FEB-10 - JAN-11'!FO31</f>
        <v>0</v>
      </c>
      <c r="FP31" s="4">
        <f>+'FY-10, FEB-10 - JAN-11'!FP31</f>
        <v>0</v>
      </c>
      <c r="FQ31" s="4">
        <f>+'FY-10, FEB-10 - JAN-11'!FQ31</f>
        <v>1463</v>
      </c>
      <c r="FR31" s="4">
        <f>+'FY-10, FEB-10 - JAN-11'!FR31</f>
        <v>0</v>
      </c>
      <c r="FS31" s="4">
        <f>+'FY-10, FEB-10 - JAN-11'!FS31</f>
        <v>0</v>
      </c>
      <c r="FT31" s="4">
        <f>+'FY-10, FEB-10 - JAN-11'!FT31</f>
        <v>0</v>
      </c>
      <c r="FU31" s="5">
        <f>+'FY-10, FEB-10 - JAN-11'!FU31</f>
        <v>0</v>
      </c>
      <c r="FV31" s="4">
        <f>+'FY-10, FEB-10 - JAN-11'!FV31</f>
        <v>124953.82</v>
      </c>
      <c r="FW31" s="4">
        <f>+'FY-10, FEB-10 - JAN-11'!FW31</f>
        <v>0</v>
      </c>
      <c r="FX31" s="4">
        <f>+'FY-10, FEB-10 - JAN-11'!FX31</f>
        <v>0</v>
      </c>
      <c r="FY31" s="4">
        <f>+'FY-10, FEB-10 - JAN-11'!FY31</f>
        <v>1463</v>
      </c>
      <c r="FZ31" s="189">
        <f>+'FY-10, FEB-10 - JAN-11'!FZ31</f>
        <v>0</v>
      </c>
      <c r="GA31" s="4">
        <f>+'FY-10, FEB-10 - JAN-11'!GA31</f>
        <v>0</v>
      </c>
      <c r="GB31" s="4">
        <f>+'FY-10, FEB-10 - JAN-11'!GB31</f>
        <v>0</v>
      </c>
      <c r="GC31" s="4">
        <f>+'FY-10, FEB-10 - JAN-11'!GC31</f>
        <v>0</v>
      </c>
      <c r="GD31" s="4">
        <f>+'FY-10, FEB-10 - JAN-11'!GD31</f>
        <v>0</v>
      </c>
      <c r="GE31" s="4">
        <f>+'FY-10, FEB-10 - JAN-11'!GE31</f>
        <v>0</v>
      </c>
      <c r="GF31" s="4">
        <f>+'FY-10, FEB-10 - JAN-11'!GF31</f>
        <v>0</v>
      </c>
      <c r="GG31" s="4">
        <f>+'FY-10, FEB-10 - JAN-11'!GG31</f>
        <v>0</v>
      </c>
      <c r="GH31" s="4">
        <f>+'FY-10, FEB-10 - JAN-11'!GH31</f>
        <v>0</v>
      </c>
      <c r="GI31" s="4">
        <f>+'FY-10, FEB-10 - JAN-11'!GI31</f>
        <v>0</v>
      </c>
      <c r="GJ31" s="4">
        <f>+'FY-10, FEB-10 - JAN-11'!GJ31</f>
        <v>0</v>
      </c>
      <c r="GK31" s="4">
        <f>+'FY-10, FEB-10 - JAN-11'!GK31</f>
        <v>1453</v>
      </c>
      <c r="GL31" s="4">
        <f>+'FY-10, FEB-10 - JAN-11'!GL31</f>
        <v>0</v>
      </c>
      <c r="GM31" s="4">
        <f>+'FY-10, FEB-10 - JAN-11'!GM31</f>
        <v>0</v>
      </c>
      <c r="GN31" s="4">
        <f>+'FY-10, FEB-10 - JAN-11'!GN31</f>
        <v>0</v>
      </c>
      <c r="GO31" s="5">
        <f>+'FY-10, FEB-10 - JAN-11'!GO31</f>
        <v>0</v>
      </c>
      <c r="GP31" s="4">
        <f>+'FY-10, FEB-10 - JAN-11'!GP31</f>
        <v>0</v>
      </c>
      <c r="GQ31" s="4">
        <f>+'FY-10, FEB-10 - JAN-11'!GQ31</f>
        <v>0</v>
      </c>
      <c r="GR31" s="4">
        <f>+'FY-10, FEB-10 - JAN-11'!GR31</f>
        <v>122997.24</v>
      </c>
      <c r="GS31" s="4">
        <f>+'FY-10, FEB-10 - JAN-11'!GS31</f>
        <v>0</v>
      </c>
      <c r="GT31" s="4">
        <f>+'FY-10, FEB-10 - JAN-11'!GT31</f>
        <v>0</v>
      </c>
      <c r="GU31" s="189">
        <f>+'FY-10, FEB-10 - JAN-11'!GU31</f>
        <v>0</v>
      </c>
      <c r="GV31" s="4">
        <f>+'FY-10, FEB-10 - JAN-11'!GV31</f>
        <v>0</v>
      </c>
      <c r="GW31" s="4">
        <f>+'FY-10, FEB-10 - JAN-11'!GW31</f>
        <v>0</v>
      </c>
      <c r="GX31" s="4">
        <f>+'FY-10, FEB-10 - JAN-11'!GX31</f>
        <v>0</v>
      </c>
      <c r="GY31" s="4">
        <f>+'FY-10, FEB-10 - JAN-11'!GY31</f>
        <v>0</v>
      </c>
      <c r="GZ31" s="4">
        <f>+'FY-10, FEB-10 - JAN-11'!GZ31</f>
        <v>0</v>
      </c>
      <c r="HA31" s="4">
        <f>+'FY-10, FEB-10 - JAN-11'!HA31</f>
        <v>1508</v>
      </c>
      <c r="HB31" s="4">
        <f>+'FY-10, FEB-10 - JAN-11'!HB31</f>
        <v>0</v>
      </c>
      <c r="HC31" s="4">
        <f>+'FY-10, FEB-10 - JAN-11'!HC31</f>
        <v>0</v>
      </c>
      <c r="HD31" s="4">
        <f>+'FY-10, FEB-10 - JAN-11'!HD31</f>
        <v>0</v>
      </c>
      <c r="HE31" s="4">
        <f>+'FY-10, FEB-10 - JAN-11'!HE31</f>
        <v>0</v>
      </c>
      <c r="HF31" s="4">
        <f>+'FY-10, FEB-10 - JAN-11'!HF31</f>
        <v>0</v>
      </c>
      <c r="HG31" s="4">
        <f>+'FY-10, FEB-10 - JAN-11'!HG31</f>
        <v>0</v>
      </c>
      <c r="HH31" s="4">
        <f>+'FY-10, FEB-10 - JAN-11'!HH31</f>
        <v>1518</v>
      </c>
      <c r="HI31" s="4">
        <f>+'FY-10, FEB-10 - JAN-11'!HI31</f>
        <v>0</v>
      </c>
      <c r="HJ31" s="4">
        <f>+'FY-10, FEB-10 - JAN-11'!HJ31</f>
        <v>0</v>
      </c>
      <c r="HK31" s="4">
        <v>118900.7</v>
      </c>
      <c r="HL31" s="4">
        <f>+'FY-10, FEB-10 - JAN-11'!HL31</f>
        <v>0</v>
      </c>
      <c r="HM31" s="4">
        <f>+'FY-10, FEB-10 - JAN-11'!HM31</f>
        <v>0</v>
      </c>
      <c r="HN31" s="4">
        <f>+'FY-10, FEB-10 - JAN-11'!HN31</f>
        <v>0</v>
      </c>
      <c r="HO31" s="4">
        <f>+'FY-10, FEB-10 - JAN-11'!HO31</f>
        <v>0</v>
      </c>
      <c r="HP31" s="189"/>
      <c r="HQ31" s="4">
        <f>+'FY-10, FEB-10 - JAN-11'!HQ31</f>
        <v>0</v>
      </c>
      <c r="HR31" s="4">
        <f>+'FY-10, FEB-10 - JAN-11'!HR31</f>
        <v>1498</v>
      </c>
      <c r="HS31" s="4">
        <f>+'FY-10, FEB-10 - JAN-11'!HS31</f>
        <v>0</v>
      </c>
      <c r="HT31" s="4">
        <f>+'FY-10, FEB-10 - JAN-11'!HT31</f>
        <v>0</v>
      </c>
      <c r="HU31" s="4">
        <f>+'FY-10, FEB-10 - JAN-11'!HU31</f>
        <v>0</v>
      </c>
      <c r="HV31" s="4">
        <f>+'FY-10, FEB-10 - JAN-11'!HV31</f>
        <v>0</v>
      </c>
      <c r="HW31" s="4">
        <f>+'FY-10, FEB-10 - JAN-11'!HW31</f>
        <v>0</v>
      </c>
      <c r="HX31" s="4">
        <f>+'FY-10, FEB-10 - JAN-11'!HX31</f>
        <v>0</v>
      </c>
      <c r="HY31" s="4">
        <f>+'FY-10, FEB-10 - JAN-11'!HY31</f>
        <v>0</v>
      </c>
      <c r="HZ31" s="4">
        <f>+'FY-10, FEB-10 - JAN-11'!HZ31</f>
        <v>0</v>
      </c>
      <c r="IA31" s="4">
        <f>+'FY-10, FEB-10 - JAN-11'!IA31</f>
        <v>0</v>
      </c>
      <c r="IB31" s="4">
        <f>+'FY-10, FEB-10 - JAN-11'!IB31</f>
        <v>0</v>
      </c>
      <c r="IC31" s="4">
        <f>+'FY-10, FEB-10 - JAN-11'!IC31</f>
        <v>0</v>
      </c>
      <c r="ID31" s="4">
        <f>+'FY-10, FEB-10 - JAN-11'!ID31</f>
        <v>0</v>
      </c>
      <c r="IE31" s="4">
        <f>+'FY-10, FEB-10 - JAN-11'!IE31</f>
        <v>0</v>
      </c>
      <c r="IF31" s="5">
        <f>+'FY-10, FEB-10 - JAN-11'!IF31</f>
        <v>0</v>
      </c>
      <c r="IG31" s="4">
        <v>0</v>
      </c>
      <c r="IH31" s="4">
        <f>+'FY-10, FEB-10 - JAN-11'!IH31</f>
        <v>0</v>
      </c>
      <c r="II31" s="4">
        <f>+'FY-10, FEB-10 - JAN-11'!II31</f>
        <v>0</v>
      </c>
      <c r="IJ31" s="4">
        <f>+'FY-10, FEB-10 - JAN-11'!IJ31</f>
        <v>0</v>
      </c>
      <c r="IK31" s="4">
        <f>+'FY-10, FEB-10 - JAN-11'!IK31</f>
        <v>0</v>
      </c>
      <c r="IL31" s="189"/>
      <c r="IM31" s="4">
        <f>+'FY-10, FEB-10 - JAN-11'!IM31</f>
        <v>0</v>
      </c>
      <c r="IN31" s="4">
        <f>+'FY-10, FEB-10 - JAN-11'!IN31</f>
        <v>2946</v>
      </c>
      <c r="IO31" s="4"/>
      <c r="IP31" s="4"/>
      <c r="IQ31" s="4">
        <f>+'FY-10, FEB-10 - JAN-11'!IQ31</f>
        <v>0</v>
      </c>
      <c r="IR31" s="4">
        <f>+'FY-10, FEB-10 - JAN-11'!IR31</f>
        <v>0</v>
      </c>
      <c r="IS31" s="4">
        <f>+'FY-10, FEB-10 - JAN-11'!IS31</f>
        <v>0</v>
      </c>
      <c r="IT31" s="4">
        <f>+'FY-10, FEB-10 - JAN-11'!IT31</f>
        <v>1498</v>
      </c>
      <c r="IU31" s="4">
        <f>+'FY-10, FEB-10 - JAN-11'!IU31</f>
        <v>0</v>
      </c>
      <c r="IV31" s="4">
        <f>+'FY-10, FEB-10 - JAN-11'!IV31</f>
        <v>0</v>
      </c>
      <c r="IW31" s="682"/>
      <c r="IX31" s="4">
        <f t="shared" ref="IX31:IX33" si="51">+D31*$EJ$77</f>
        <v>0</v>
      </c>
      <c r="IY31" s="4">
        <f t="shared" si="40"/>
        <v>0</v>
      </c>
      <c r="IZ31" s="4">
        <f t="shared" si="41"/>
        <v>0</v>
      </c>
      <c r="JA31" s="4">
        <f t="shared" si="42"/>
        <v>0</v>
      </c>
      <c r="JB31" s="4">
        <f t="shared" si="43"/>
        <v>0</v>
      </c>
      <c r="JC31" s="4">
        <f t="shared" si="44"/>
        <v>0</v>
      </c>
      <c r="JD31" s="4">
        <f t="shared" si="45"/>
        <v>0</v>
      </c>
      <c r="JE31" s="4">
        <f t="shared" si="45"/>
        <v>0</v>
      </c>
      <c r="JF31" s="4">
        <f t="shared" si="46"/>
        <v>0</v>
      </c>
      <c r="JG31" s="4">
        <f t="shared" si="47"/>
        <v>1463</v>
      </c>
      <c r="JH31" s="4">
        <f t="shared" si="48"/>
        <v>0</v>
      </c>
      <c r="JI31" s="4">
        <f t="shared" si="49"/>
        <v>1490413.9000000001</v>
      </c>
      <c r="JJ31" s="4"/>
      <c r="JK31" s="4">
        <f t="shared" si="50"/>
        <v>2980827.8000000003</v>
      </c>
    </row>
    <row r="32" spans="1:271" ht="14.1" customHeight="1">
      <c r="A32" s="4" t="s">
        <v>48</v>
      </c>
      <c r="B32" s="12"/>
      <c r="C32" s="189"/>
      <c r="D32" s="4"/>
      <c r="E32" s="4"/>
      <c r="F32" s="4"/>
      <c r="G32" s="5"/>
      <c r="H32" s="819">
        <v>15575213.439999999</v>
      </c>
      <c r="I32" s="4"/>
      <c r="J32" s="4"/>
      <c r="K32" s="4"/>
      <c r="L32" s="4"/>
      <c r="M32" s="4"/>
      <c r="N32" s="228"/>
      <c r="O32" s="4"/>
      <c r="P32" s="4"/>
      <c r="Q32" s="5"/>
      <c r="R32" s="4"/>
      <c r="S32" s="4"/>
      <c r="T32" s="4"/>
      <c r="U32" s="4"/>
      <c r="V32" s="4"/>
      <c r="W32" s="4"/>
      <c r="X32" s="4"/>
      <c r="Y32" s="4"/>
      <c r="Z32" s="819">
        <v>16397102.98</v>
      </c>
      <c r="AA32" s="4"/>
      <c r="AB32" s="4"/>
      <c r="AC32" s="4"/>
      <c r="AD32" s="4"/>
      <c r="AE32" s="4"/>
      <c r="AF32" s="4"/>
      <c r="AG32" s="228"/>
      <c r="AH32" s="4"/>
      <c r="AI32" s="4"/>
      <c r="AJ32" s="5"/>
      <c r="AK32" s="4"/>
      <c r="AL32" s="4"/>
      <c r="AM32" s="4"/>
      <c r="AN32" s="4"/>
      <c r="AO32" s="577"/>
      <c r="AP32" s="4"/>
      <c r="AQ32" s="4"/>
      <c r="AR32" s="4"/>
      <c r="AS32" s="4"/>
      <c r="AT32" s="4"/>
      <c r="AU32" s="4"/>
      <c r="AW32" s="819">
        <v>15699869.699999999</v>
      </c>
      <c r="AX32" s="4"/>
      <c r="AY32" s="4"/>
      <c r="AZ32" s="4"/>
      <c r="BA32" s="4"/>
      <c r="BB32" s="4"/>
      <c r="BC32" s="4"/>
      <c r="BD32" s="228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4"/>
      <c r="BP32" s="4"/>
      <c r="BQ32" s="4"/>
      <c r="BR32" s="4"/>
      <c r="BS32" s="813">
        <v>15676325.880000001</v>
      </c>
      <c r="BT32" s="4"/>
      <c r="BU32" s="4"/>
      <c r="BV32" s="4"/>
      <c r="BW32" s="4"/>
      <c r="BX32" s="228"/>
      <c r="BY32" s="4"/>
      <c r="BZ32" s="4"/>
      <c r="CA32" s="4"/>
      <c r="CB32" s="4"/>
      <c r="CC32" s="4"/>
      <c r="CD32" s="4"/>
      <c r="CE32" s="4"/>
      <c r="CF32" s="4"/>
      <c r="CG32" s="4"/>
      <c r="CH32" s="5"/>
      <c r="CI32" s="4"/>
      <c r="CJ32" s="4"/>
      <c r="CK32" s="4"/>
      <c r="CL32" s="4"/>
      <c r="CM32" s="813">
        <v>15767151.17</v>
      </c>
      <c r="CN32" s="4"/>
      <c r="CO32" s="4"/>
      <c r="CP32" s="4"/>
      <c r="CQ32" s="4"/>
      <c r="CR32" s="4"/>
      <c r="CS32" s="4"/>
      <c r="CT32" s="228"/>
      <c r="CU32" s="4"/>
      <c r="CV32" s="4"/>
      <c r="CW32" s="4"/>
      <c r="CX32" s="4"/>
      <c r="CY32" s="4"/>
      <c r="CZ32" s="4"/>
      <c r="DA32" s="5"/>
      <c r="DB32" s="4"/>
      <c r="DC32" s="4"/>
      <c r="DD32" s="4"/>
      <c r="DE32" s="819">
        <v>15559598.140000001</v>
      </c>
      <c r="DF32" s="4"/>
      <c r="DG32" s="4"/>
      <c r="DH32" s="4"/>
      <c r="DI32" s="4"/>
      <c r="DJ32" s="5"/>
      <c r="DK32" s="4"/>
      <c r="DL32" s="4">
        <f>+'FY-10, FEB-10 - JAN-11'!DL32</f>
        <v>0</v>
      </c>
      <c r="DM32" s="4">
        <f>+'FY-10, FEB-10 - JAN-11'!DM32</f>
        <v>0</v>
      </c>
      <c r="DN32" s="4">
        <f>+'FY-10, FEB-10 - JAN-11'!DN32</f>
        <v>0</v>
      </c>
      <c r="DO32" s="228">
        <f>+'FY-10, FEB-10 - JAN-11'!DO32</f>
        <v>0</v>
      </c>
      <c r="DP32" s="4">
        <f>+'FY-10, FEB-10 - JAN-11'!DP32</f>
        <v>0</v>
      </c>
      <c r="DQ32" s="4">
        <f>+'FY-10, FEB-10 - JAN-11'!DQ32</f>
        <v>0</v>
      </c>
      <c r="DR32" s="4">
        <f>+'FY-10, FEB-10 - JAN-11'!DR32</f>
        <v>0</v>
      </c>
      <c r="DS32" s="4">
        <f>+'FY-10, FEB-10 - JAN-11'!DS32</f>
        <v>0</v>
      </c>
      <c r="DT32" s="4">
        <f>+'FY-10, FEB-10 - JAN-11'!DT32</f>
        <v>0</v>
      </c>
      <c r="DU32" s="4">
        <f>+'FY-10, FEB-10 - JAN-11'!DU32</f>
        <v>0</v>
      </c>
      <c r="DV32" s="4">
        <f>+'FY-10, FEB-10 - JAN-11'!DV32</f>
        <v>0</v>
      </c>
      <c r="DW32" s="4">
        <f>+'FY-10, FEB-10 - JAN-11'!DW32</f>
        <v>0</v>
      </c>
      <c r="DX32" s="4">
        <f>+'FY-10, FEB-10 - JAN-11'!DX32</f>
        <v>0</v>
      </c>
      <c r="DY32" s="4">
        <f>+'FY-10, FEB-10 - JAN-11'!DY32</f>
        <v>0</v>
      </c>
      <c r="DZ32" s="4">
        <f>+'FY-10, FEB-10 - JAN-11'!DZ32</f>
        <v>0</v>
      </c>
      <c r="EA32" s="4">
        <f>+'FY-10, FEB-10 - JAN-11'!EA32</f>
        <v>0</v>
      </c>
      <c r="EB32" s="4">
        <f>+'FY-10, FEB-10 - JAN-11'!EB32</f>
        <v>0</v>
      </c>
      <c r="EC32" s="4">
        <f>+'FY-10, FEB-10 - JAN-11'!EC32</f>
        <v>0</v>
      </c>
      <c r="ED32" s="819">
        <f>(+DT47+DO47+DJ47)*K99</f>
        <v>15643054.618210103</v>
      </c>
      <c r="EE32" s="8">
        <v>0</v>
      </c>
      <c r="EF32" s="4">
        <f>+'FY-10, FEB-10 - JAN-11'!EF32</f>
        <v>0</v>
      </c>
      <c r="EG32" s="4">
        <f>+'FY-10, FEB-10 - JAN-11'!EG32</f>
        <v>0</v>
      </c>
      <c r="EH32" s="4">
        <f>+'FY-10, FEB-10 - JAN-11'!EH32</f>
        <v>0</v>
      </c>
      <c r="EI32" s="4">
        <f>+'FY-10, FEB-10 - JAN-11'!EI32</f>
        <v>0</v>
      </c>
      <c r="EJ32" s="189">
        <f>+'FY-10, FEB-10 - JAN-11'!EJ32</f>
        <v>0</v>
      </c>
      <c r="EK32" s="4">
        <f>+'FY-10, FEB-10 - JAN-11'!EK32</f>
        <v>0</v>
      </c>
      <c r="EL32" s="4">
        <f>+'FY-10, FEB-10 - JAN-11'!EL32</f>
        <v>0</v>
      </c>
      <c r="EM32" s="819">
        <v>2500000</v>
      </c>
      <c r="EN32" s="5">
        <f>+'FY-10, FEB-10 - JAN-11'!EN32</f>
        <v>0</v>
      </c>
      <c r="EO32" s="4">
        <f>+'FY-10, FEB-10 - JAN-11'!EO32</f>
        <v>0</v>
      </c>
      <c r="EP32" s="4">
        <f>+'FY-10, FEB-10 - JAN-11'!EP32</f>
        <v>0</v>
      </c>
      <c r="EQ32" s="4">
        <f>+'FY-10, FEB-10 - JAN-11'!EQ32</f>
        <v>0</v>
      </c>
      <c r="ER32" s="4">
        <f>+'FY-10, FEB-10 - JAN-11'!ER32</f>
        <v>0</v>
      </c>
      <c r="ES32" s="4">
        <f>+'FY-10, FEB-10 - JAN-11'!ES32</f>
        <v>0</v>
      </c>
      <c r="ET32" s="4">
        <f>+'FY-10, FEB-10 - JAN-11'!ET32</f>
        <v>0</v>
      </c>
      <c r="EU32" s="4">
        <f>+'FY-10, FEB-10 - JAN-11'!EU32</f>
        <v>0</v>
      </c>
      <c r="EV32" s="4">
        <f>+'FY-10, FEB-10 - JAN-11'!EV32</f>
        <v>0</v>
      </c>
      <c r="EW32" s="4">
        <f>+'FY-10, FEB-10 - JAN-11'!EW32</f>
        <v>0</v>
      </c>
      <c r="EX32" s="5">
        <f>+'FY-10, FEB-10 - JAN-11'!EX32</f>
        <v>0</v>
      </c>
      <c r="EY32" s="819">
        <f>(+EN47+EJ47+ED47)*K99-EM32</f>
        <v>12634792.704449818</v>
      </c>
      <c r="EZ32" s="4">
        <f>+'FY-10, FEB-10 - JAN-11'!EZ32</f>
        <v>0</v>
      </c>
      <c r="FA32" s="4">
        <f>+'FY-10, FEB-10 - JAN-11'!FA32</f>
        <v>0</v>
      </c>
      <c r="FB32" s="4">
        <f>+'FY-10, FEB-10 - JAN-11'!FB32</f>
        <v>0</v>
      </c>
      <c r="FC32" s="4">
        <f>+'FY-10, FEB-10 - JAN-11'!FC32</f>
        <v>0</v>
      </c>
      <c r="FD32" s="4">
        <f>+'FY-10, FEB-10 - JAN-11'!FD32</f>
        <v>0</v>
      </c>
      <c r="FE32" s="4">
        <f>+'FY-10, FEB-10 - JAN-11'!FE32</f>
        <v>0</v>
      </c>
      <c r="FF32" s="228">
        <f>+'FY-10, FEB-10 - JAN-11'!FF32</f>
        <v>0</v>
      </c>
      <c r="FG32" s="4">
        <f>+'FY-10, FEB-10 - JAN-11'!FG32</f>
        <v>0</v>
      </c>
      <c r="FH32" s="4">
        <f>+'FY-10, FEB-10 - JAN-11'!FH32</f>
        <v>0</v>
      </c>
      <c r="FI32" s="4">
        <f>+'FY-10, FEB-10 - JAN-11'!FI32</f>
        <v>0</v>
      </c>
      <c r="FJ32" s="4">
        <f>+'FY-10, FEB-10 - JAN-11'!FJ32</f>
        <v>0</v>
      </c>
      <c r="FK32" s="4">
        <f>+'FY-10, FEB-10 - JAN-11'!FK32</f>
        <v>0</v>
      </c>
      <c r="FL32" s="4">
        <f>+'FY-10, FEB-10 - JAN-11'!FL32</f>
        <v>0</v>
      </c>
      <c r="FM32" s="4">
        <f>+'FY-10, FEB-10 - JAN-11'!FM32</f>
        <v>0</v>
      </c>
      <c r="FN32" s="4">
        <f>+'FY-10, FEB-10 - JAN-11'!FN32</f>
        <v>0</v>
      </c>
      <c r="FO32" s="4">
        <f>+'FY-10, FEB-10 - JAN-11'!FO32</f>
        <v>0</v>
      </c>
      <c r="FP32" s="4">
        <f>+'FY-10, FEB-10 - JAN-11'!FP32</f>
        <v>0</v>
      </c>
      <c r="FQ32" s="4">
        <f>+'FY-10, FEB-10 - JAN-11'!FQ32</f>
        <v>0</v>
      </c>
      <c r="FR32" s="4">
        <f>+'FY-10, FEB-10 - JAN-11'!FR32</f>
        <v>0</v>
      </c>
      <c r="FS32" s="4">
        <f>+'FY-10, FEB-10 - JAN-11'!FS32</f>
        <v>0</v>
      </c>
      <c r="FT32" s="4">
        <f>+'FY-10, FEB-10 - JAN-11'!FT32</f>
        <v>0</v>
      </c>
      <c r="FU32" s="819">
        <f>(+FQ47+FG47+FF47+EX47)*K99</f>
        <v>16185090.064019522</v>
      </c>
      <c r="FV32" s="4">
        <f>+'FY-10, FEB-10 - JAN-11'!FV32</f>
        <v>0</v>
      </c>
      <c r="FW32" s="4">
        <f>+'FY-10, FEB-10 - JAN-11'!FW32</f>
        <v>0</v>
      </c>
      <c r="FX32" s="4">
        <f>+'FY-10, FEB-10 - JAN-11'!FX32</f>
        <v>0</v>
      </c>
      <c r="FY32" s="4">
        <f>+'FY-10, FEB-10 - JAN-11'!FY32</f>
        <v>0</v>
      </c>
      <c r="FZ32" s="228">
        <f>+'FY-10, FEB-10 - JAN-11'!FZ32</f>
        <v>0</v>
      </c>
      <c r="GA32" s="4">
        <f>+'FY-10, FEB-10 - JAN-11'!GA32</f>
        <v>0</v>
      </c>
      <c r="GB32" s="4">
        <f>+'FY-10, FEB-10 - JAN-11'!GB32</f>
        <v>0</v>
      </c>
      <c r="GC32" s="4">
        <f>+'FY-10, FEB-10 - JAN-11'!GC32</f>
        <v>0</v>
      </c>
      <c r="GD32" s="4">
        <f>+'FY-10, FEB-10 - JAN-11'!GD32</f>
        <v>0</v>
      </c>
      <c r="GE32" s="4">
        <f>+'FY-10, FEB-10 - JAN-11'!GE32</f>
        <v>0</v>
      </c>
      <c r="GF32" s="4">
        <f>+'FY-10, FEB-10 - JAN-11'!GF32</f>
        <v>0</v>
      </c>
      <c r="GG32" s="4">
        <f>+'FY-10, FEB-10 - JAN-11'!GG32</f>
        <v>0</v>
      </c>
      <c r="GH32" s="4">
        <f>+'FY-10, FEB-10 - JAN-11'!GH32</f>
        <v>0</v>
      </c>
      <c r="GI32" s="4">
        <f>+'FY-10, FEB-10 - JAN-11'!GI32</f>
        <v>0</v>
      </c>
      <c r="GJ32" s="5">
        <f>+'FY-10, FEB-10 - JAN-11'!GJ32</f>
        <v>0</v>
      </c>
      <c r="GK32" s="4">
        <f>+'FY-10, FEB-10 - JAN-11'!GK32</f>
        <v>0</v>
      </c>
      <c r="GL32" s="4">
        <f>+'FY-10, FEB-10 - JAN-11'!GL32</f>
        <v>0</v>
      </c>
      <c r="GM32" s="4">
        <f>+'FY-10, FEB-10 - JAN-11'!GM32</f>
        <v>0</v>
      </c>
      <c r="GN32" s="4">
        <f>+'FY-10, FEB-10 - JAN-11'!GN32</f>
        <v>0</v>
      </c>
      <c r="GO32" s="819">
        <f>(+GJ47+FZ47+GJ47)*K99</f>
        <v>16820143.863022607</v>
      </c>
      <c r="GP32" s="4">
        <v>0</v>
      </c>
      <c r="GQ32" s="4">
        <v>0</v>
      </c>
      <c r="GR32" s="4">
        <v>0</v>
      </c>
      <c r="GS32" s="5">
        <f>+'FY-10, FEB-10 - JAN-11'!GS32</f>
        <v>0</v>
      </c>
      <c r="GT32" s="4">
        <f>+'FY-10, FEB-10 - JAN-11'!GT32</f>
        <v>0</v>
      </c>
      <c r="GU32" s="189">
        <f>+'FY-10, FEB-10 - JAN-11'!GU32</f>
        <v>0</v>
      </c>
      <c r="GV32" s="4">
        <f>+'FY-10, FEB-10 - JAN-11'!GV32</f>
        <v>0</v>
      </c>
      <c r="GW32" s="4">
        <f>+'FY-10, FEB-10 - JAN-11'!GW32</f>
        <v>0</v>
      </c>
      <c r="GX32" s="4">
        <f>+'FY-10, FEB-10 - JAN-11'!GX32</f>
        <v>0</v>
      </c>
      <c r="GY32" s="4">
        <f>+'FY-10, FEB-10 - JAN-11'!GY32</f>
        <v>0</v>
      </c>
      <c r="GZ32" s="4">
        <f>+'FY-10, FEB-10 - JAN-11'!GZ32</f>
        <v>0</v>
      </c>
      <c r="HA32" s="4">
        <f>+'FY-10, FEB-10 - JAN-11'!HA32</f>
        <v>0</v>
      </c>
      <c r="HB32" s="4">
        <f>+'FY-10, FEB-10 - JAN-11'!HB32</f>
        <v>0</v>
      </c>
      <c r="HC32" s="4">
        <f>+'FY-10, FEB-10 - JAN-11'!HC32</f>
        <v>0</v>
      </c>
      <c r="HD32" s="4">
        <f>+'FY-10, FEB-10 - JAN-11'!HD32</f>
        <v>0</v>
      </c>
      <c r="HE32" s="4">
        <f>+'FY-10, FEB-10 - JAN-11'!HE32</f>
        <v>0</v>
      </c>
      <c r="HF32" s="4">
        <f>+'FY-10, FEB-10 - JAN-11'!HF32</f>
        <v>0</v>
      </c>
      <c r="HG32" s="4">
        <f>+'FY-10, FEB-10 - JAN-11'!HG32</f>
        <v>0</v>
      </c>
      <c r="HH32" s="4">
        <f>+'FY-10, FEB-10 - JAN-11'!HH32</f>
        <v>0</v>
      </c>
      <c r="HI32" s="819">
        <f>(+HC47+GU47+GS47)*K99</f>
        <v>15830463.742290495</v>
      </c>
      <c r="HJ32" s="4">
        <f>+'FY-10, FEB-10 - JAN-11'!HJ32</f>
        <v>0</v>
      </c>
      <c r="HK32" s="4">
        <f>+'FY-10, FEB-10 - JAN-11'!HK32</f>
        <v>0</v>
      </c>
      <c r="HL32" s="4">
        <f>+'FY-10, FEB-10 - JAN-11'!HL32</f>
        <v>0</v>
      </c>
      <c r="HM32" s="5">
        <f>+'FY-10, FEB-10 - JAN-11'!HM32</f>
        <v>0</v>
      </c>
      <c r="HN32" s="4">
        <f>+'FY-10, FEB-10 - JAN-11'!HN32</f>
        <v>0</v>
      </c>
      <c r="HO32" s="4">
        <f>+'FY-10, FEB-10 - JAN-11'!HO32</f>
        <v>0</v>
      </c>
      <c r="HP32" s="228"/>
      <c r="HQ32" s="4">
        <f>+'FY-10, FEB-10 - JAN-11'!HQ32</f>
        <v>0</v>
      </c>
      <c r="HR32" s="4">
        <f>+'FY-10, FEB-10 - JAN-11'!HR32</f>
        <v>0</v>
      </c>
      <c r="HS32" s="4">
        <f>+'FY-10, FEB-10 - JAN-11'!HS32</f>
        <v>0</v>
      </c>
      <c r="HT32" s="4">
        <f>+'FY-10, FEB-10 - JAN-11'!HT32</f>
        <v>0</v>
      </c>
      <c r="HU32" s="4">
        <f>+'FY-10, FEB-10 - JAN-11'!HU32</f>
        <v>0</v>
      </c>
      <c r="HV32" s="4">
        <f>+'FY-10, FEB-10 - JAN-11'!HV32</f>
        <v>0</v>
      </c>
      <c r="HW32" s="4">
        <f>+'FY-10, FEB-10 - JAN-11'!HW32</f>
        <v>0</v>
      </c>
      <c r="HX32" s="4">
        <f>+'FY-10, FEB-10 - JAN-11'!HX32</f>
        <v>0</v>
      </c>
      <c r="HY32" s="4">
        <f>+'FY-10, FEB-10 - JAN-11'!HY32</f>
        <v>0</v>
      </c>
      <c r="HZ32" s="4">
        <f>+'FY-10, FEB-10 - JAN-11'!HZ32</f>
        <v>0</v>
      </c>
      <c r="IA32" s="4">
        <f>+'FY-10, FEB-10 - JAN-11'!IA32</f>
        <v>0</v>
      </c>
      <c r="IB32" s="4">
        <f>+'FY-10, FEB-10 - JAN-11'!IB32</f>
        <v>0</v>
      </c>
      <c r="IC32" s="4">
        <f>+'FY-10, FEB-10 - JAN-11'!IC32</f>
        <v>0</v>
      </c>
      <c r="ID32" s="4">
        <f>+'FY-10, FEB-10 - JAN-11'!ID32</f>
        <v>0</v>
      </c>
      <c r="IE32" s="4">
        <f>+'FY-10, FEB-10 - JAN-11'!IE32</f>
        <v>0</v>
      </c>
      <c r="IF32" s="819">
        <f>(+HV47+HU47+HP47+HM47)*K99</f>
        <v>17074768.910787765</v>
      </c>
      <c r="IG32" s="4">
        <f>+'FY-10, FEB-10 - JAN-11'!IG32</f>
        <v>0</v>
      </c>
      <c r="IH32" s="4">
        <f>+'FY-10, FEB-10 - JAN-11'!IH32</f>
        <v>0</v>
      </c>
      <c r="II32" s="4">
        <f>+'FY-10, FEB-10 - JAN-11'!II32</f>
        <v>0</v>
      </c>
      <c r="IJ32" s="4">
        <f>+'FY-10, FEB-10 - JAN-11'!IJ32</f>
        <v>0</v>
      </c>
      <c r="IK32" s="4">
        <f>+'FY-10, FEB-10 - JAN-11'!IK32</f>
        <v>0</v>
      </c>
      <c r="IL32" s="228"/>
      <c r="IM32" s="4">
        <f>+'FY-10, FEB-10 - JAN-11'!IM32</f>
        <v>0</v>
      </c>
      <c r="IN32" s="4">
        <f>+'FY-10, FEB-10 - JAN-11'!IN32</f>
        <v>0</v>
      </c>
      <c r="IO32" s="5"/>
      <c r="IP32" s="4"/>
      <c r="IQ32" s="4">
        <f>+'FY-10, FEB-10 - JAN-11'!IQ32</f>
        <v>0</v>
      </c>
      <c r="IR32" s="4">
        <f>+'FY-10, FEB-10 - JAN-11'!IR32</f>
        <v>0</v>
      </c>
      <c r="IS32" s="4">
        <f>+'FY-10, FEB-10 - JAN-11'!IS32</f>
        <v>0</v>
      </c>
      <c r="IT32" s="4">
        <f>+'FY-10, FEB-10 - JAN-11'!IT32</f>
        <v>0</v>
      </c>
      <c r="IU32" s="4">
        <f>+'FY-10, FEB-10 - JAN-11'!IU32</f>
        <v>0</v>
      </c>
      <c r="IV32" s="4">
        <f>+'FY-10, FEB-10 - JAN-11'!IV32</f>
        <v>0</v>
      </c>
      <c r="IW32" s="682"/>
      <c r="IX32" s="4">
        <f t="shared" si="51"/>
        <v>0</v>
      </c>
      <c r="IY32" s="4">
        <f t="shared" si="40"/>
        <v>0</v>
      </c>
      <c r="IZ32" s="4">
        <f t="shared" si="41"/>
        <v>0</v>
      </c>
      <c r="JA32" s="819">
        <f>+(IO47+IL47+IF47)*K99</f>
        <v>14914543.378944404</v>
      </c>
      <c r="JB32" s="4">
        <v>0</v>
      </c>
      <c r="JC32" s="4">
        <f t="shared" si="44"/>
        <v>0</v>
      </c>
      <c r="JD32" s="4">
        <f t="shared" si="45"/>
        <v>0</v>
      </c>
      <c r="JE32" s="4">
        <f t="shared" si="45"/>
        <v>0</v>
      </c>
      <c r="JF32" s="4">
        <f t="shared" si="46"/>
        <v>0</v>
      </c>
      <c r="JG32" s="4">
        <f t="shared" si="47"/>
        <v>0</v>
      </c>
      <c r="JH32" s="5">
        <f>+N32*$EJ$77</f>
        <v>0</v>
      </c>
      <c r="JI32" s="4">
        <f t="shared" si="49"/>
        <v>206278118.59172469</v>
      </c>
      <c r="JJ32" s="4"/>
      <c r="JK32" s="4">
        <f t="shared" si="50"/>
        <v>412556237.18344939</v>
      </c>
    </row>
    <row r="33" spans="1:271" ht="14.1" customHeight="1" thickBot="1">
      <c r="A33" s="4" t="s">
        <v>27</v>
      </c>
      <c r="B33" s="12"/>
      <c r="C33" s="189"/>
      <c r="D33" s="4"/>
      <c r="E33" s="4"/>
      <c r="F33" s="4"/>
      <c r="G33" s="819">
        <v>99629.01</v>
      </c>
      <c r="H33" s="3"/>
      <c r="I33" s="4"/>
      <c r="J33" s="4"/>
      <c r="K33" s="4"/>
      <c r="L33" s="5"/>
      <c r="M33" s="5"/>
      <c r="N33" s="819">
        <v>1438760.18</v>
      </c>
      <c r="O33" s="4"/>
      <c r="P33" s="4"/>
      <c r="Q33" s="813">
        <v>94065.33</v>
      </c>
      <c r="R33" s="4"/>
      <c r="S33" s="4"/>
      <c r="T33" s="4">
        <v>3845.25</v>
      </c>
      <c r="U33" s="4"/>
      <c r="V33" s="4"/>
      <c r="W33" s="4"/>
      <c r="X33" s="4"/>
      <c r="Y33" s="4"/>
      <c r="Z33" s="813">
        <v>94757.48</v>
      </c>
      <c r="AA33" s="4">
        <v>287.33999999999997</v>
      </c>
      <c r="AB33" s="4"/>
      <c r="AC33" s="4"/>
      <c r="AD33" s="4"/>
      <c r="AE33" s="4"/>
      <c r="AF33" s="4"/>
      <c r="AG33" s="813">
        <v>1437617.65</v>
      </c>
      <c r="AH33" s="4"/>
      <c r="AI33" s="4"/>
      <c r="AJ33" s="813">
        <v>95470.14</v>
      </c>
      <c r="AK33" s="4"/>
      <c r="AL33" s="4"/>
      <c r="AM33" s="4"/>
      <c r="AN33" s="4"/>
      <c r="AO33" s="577"/>
      <c r="AP33" s="4"/>
      <c r="AQ33" s="4"/>
      <c r="AR33" s="4"/>
      <c r="AS33" s="4"/>
      <c r="AT33" s="4"/>
      <c r="AU33" s="4"/>
      <c r="AV33" s="4"/>
      <c r="AW33" s="3"/>
      <c r="AX33" s="4"/>
      <c r="AY33" s="4"/>
      <c r="AZ33" s="4"/>
      <c r="BA33" s="4"/>
      <c r="BB33" s="4"/>
      <c r="BC33" s="4"/>
      <c r="BD33" s="817">
        <v>1541350.51</v>
      </c>
      <c r="BE33" s="4"/>
      <c r="BF33" s="4"/>
      <c r="BG33" s="4"/>
      <c r="BH33" s="4"/>
      <c r="BI33" s="4"/>
      <c r="BJ33" s="4"/>
      <c r="BK33" s="4"/>
      <c r="BL33" s="4"/>
      <c r="BM33" s="4"/>
      <c r="BN33" s="813">
        <v>924.73</v>
      </c>
      <c r="BO33" s="4"/>
      <c r="BP33" s="4"/>
      <c r="BQ33" s="4"/>
      <c r="BR33" s="4"/>
      <c r="BS33" s="3"/>
      <c r="BT33" s="4"/>
      <c r="BU33" s="4"/>
      <c r="BV33" s="4"/>
      <c r="BW33" s="4"/>
      <c r="BX33" s="824">
        <v>1538822.54</v>
      </c>
      <c r="BY33" s="4"/>
      <c r="BZ33" s="4"/>
      <c r="CA33" s="4"/>
      <c r="CB33" s="4"/>
      <c r="CC33" s="4"/>
      <c r="CD33" s="4"/>
      <c r="CE33" s="4">
        <v>270</v>
      </c>
      <c r="CF33" s="4"/>
      <c r="CG33" s="4"/>
      <c r="CH33" s="813">
        <v>95182.9</v>
      </c>
      <c r="CI33" s="4"/>
      <c r="CJ33" s="4"/>
      <c r="CK33" s="4"/>
      <c r="CL33" s="4"/>
      <c r="CM33" s="3"/>
      <c r="CN33" s="4"/>
      <c r="CO33" s="4"/>
      <c r="CP33" s="4"/>
      <c r="CQ33" s="813">
        <v>94767.52</v>
      </c>
      <c r="CR33" s="4"/>
      <c r="CS33" s="4"/>
      <c r="CT33" s="824">
        <v>1449105.78</v>
      </c>
      <c r="CU33" s="4"/>
      <c r="CV33" s="4"/>
      <c r="CW33" s="4"/>
      <c r="CX33" s="4"/>
      <c r="CY33" s="4"/>
      <c r="CZ33" s="4"/>
      <c r="DA33" s="813">
        <v>82032.990000000005</v>
      </c>
      <c r="DB33" s="4"/>
      <c r="DC33" s="4"/>
      <c r="DD33" s="4"/>
      <c r="DE33" s="4">
        <v>489.07</v>
      </c>
      <c r="DF33" s="4"/>
      <c r="DG33" s="4"/>
      <c r="DH33" s="4"/>
      <c r="DI33" s="4"/>
      <c r="DJ33" s="813">
        <v>81493.11</v>
      </c>
      <c r="DK33" s="4"/>
      <c r="DL33" s="4">
        <f>+'FY-10, FEB-10 - JAN-11'!DL33</f>
        <v>0</v>
      </c>
      <c r="DM33" s="4">
        <f>+'FY-10, FEB-10 - JAN-11'!DM33</f>
        <v>0</v>
      </c>
      <c r="DN33" s="4">
        <f>+'FY-10, FEB-10 - JAN-11'!DN33</f>
        <v>0</v>
      </c>
      <c r="DO33" s="824">
        <f>DO47*$K$103</f>
        <v>1402128.832963242</v>
      </c>
      <c r="DP33" s="4">
        <f>+'FY-10, FEB-10 - JAN-11'!DP33</f>
        <v>0</v>
      </c>
      <c r="DQ33" s="4">
        <f>+'FY-10, FEB-10 - JAN-11'!DQ33</f>
        <v>0</v>
      </c>
      <c r="DR33" s="4">
        <f>+'FY-10, FEB-10 - JAN-11'!DR33</f>
        <v>0</v>
      </c>
      <c r="DS33" s="4">
        <f>+'FY-10, FEB-10 - JAN-11'!DS33</f>
        <v>0</v>
      </c>
      <c r="DT33" s="813">
        <f>DT47*$K$107</f>
        <v>67162.08065905371</v>
      </c>
      <c r="DU33" s="4">
        <f>+'FY-10, FEB-10 - JAN-11'!DU33</f>
        <v>85425.4</v>
      </c>
      <c r="DV33" s="4">
        <f>+'FY-10, FEB-10 - JAN-11'!DV33</f>
        <v>0</v>
      </c>
      <c r="DW33" s="4">
        <f>+'FY-10, FEB-10 - JAN-11'!DW33</f>
        <v>1251.49</v>
      </c>
      <c r="DX33" s="4">
        <f>+'FY-10, FEB-10 - JAN-11'!DX33</f>
        <v>0</v>
      </c>
      <c r="DY33" s="4">
        <f>+'FY-10, FEB-10 - JAN-11'!DY33</f>
        <v>0</v>
      </c>
      <c r="DZ33" s="4">
        <f>+'FY-10, FEB-10 - JAN-11'!DZ33</f>
        <v>0</v>
      </c>
      <c r="EA33" s="4">
        <f>+'FY-10, FEB-10 - JAN-11'!EA33</f>
        <v>0</v>
      </c>
      <c r="EB33" s="4">
        <f>+'FY-10, FEB-10 - JAN-11'!EB33</f>
        <v>0</v>
      </c>
      <c r="EC33" s="4">
        <f>+'FY-10, FEB-10 - JAN-11'!EC33</f>
        <v>0</v>
      </c>
      <c r="ED33" s="813">
        <f>ED47*$K$107</f>
        <v>58838.924147264544</v>
      </c>
      <c r="EE33" s="4">
        <v>0</v>
      </c>
      <c r="EF33" s="4">
        <f>+'FY-10, FEB-10 - JAN-11'!EF33</f>
        <v>0</v>
      </c>
      <c r="EG33" s="4">
        <f>+'FY-10, FEB-10 - JAN-11'!EG33</f>
        <v>0</v>
      </c>
      <c r="EH33" s="4">
        <f>+'FY-10, FEB-10 - JAN-11'!EH33</f>
        <v>0</v>
      </c>
      <c r="EI33" s="4">
        <f>+'FY-10, FEB-10 - JAN-11'!EI33</f>
        <v>0</v>
      </c>
      <c r="EJ33" s="824">
        <f>EJ47*$K$103</f>
        <v>1360570.3312035108</v>
      </c>
      <c r="EK33" s="4">
        <f>+'FY-10, FEB-10 - JAN-11'!EK33</f>
        <v>0</v>
      </c>
      <c r="EL33" s="4">
        <f>+'FY-10, FEB-10 - JAN-11'!EL33</f>
        <v>0</v>
      </c>
      <c r="EM33" s="4">
        <f>+'FY-10, FEB-10 - JAN-11'!EM33</f>
        <v>0</v>
      </c>
      <c r="EN33" s="813">
        <f>EN47*$K$107</f>
        <v>62434.495562455835</v>
      </c>
      <c r="EO33" s="4">
        <v>0</v>
      </c>
      <c r="EP33" s="4">
        <f>+'FY-10, FEB-10 - JAN-11'!EP33</f>
        <v>0</v>
      </c>
      <c r="EQ33" s="4">
        <f>+'FY-10, FEB-10 - JAN-11'!EQ33</f>
        <v>0</v>
      </c>
      <c r="ER33" s="4">
        <f>+'FY-10, FEB-10 - JAN-11'!ER33</f>
        <v>0</v>
      </c>
      <c r="ES33" s="4">
        <f>+'FY-10, FEB-10 - JAN-11'!ES33</f>
        <v>0</v>
      </c>
      <c r="ET33" s="4">
        <f>+'FY-10, FEB-10 - JAN-11'!ET33</f>
        <v>0</v>
      </c>
      <c r="EU33" s="4">
        <f>+'FY-10, FEB-10 - JAN-11'!EU33</f>
        <v>0</v>
      </c>
      <c r="EV33" s="4">
        <f>+'FY-10, FEB-10 - JAN-11'!EV33</f>
        <v>0</v>
      </c>
      <c r="EW33" s="4">
        <f>+'FY-10, FEB-10 - JAN-11'!EW33</f>
        <v>0</v>
      </c>
      <c r="EX33" s="813">
        <f>EX47*$K$107</f>
        <v>90340.818525003415</v>
      </c>
      <c r="EY33" s="3">
        <v>0</v>
      </c>
      <c r="EZ33" s="4">
        <f>+'FY-10, FEB-10 - JAN-11'!EZ33</f>
        <v>0</v>
      </c>
      <c r="FA33" s="4">
        <f>+'FY-10, FEB-10 - JAN-11'!FA33</f>
        <v>0</v>
      </c>
      <c r="FB33" s="4">
        <f>+'FY-10, FEB-10 - JAN-11'!FB33</f>
        <v>0</v>
      </c>
      <c r="FC33" s="4">
        <f>+'FY-10, FEB-10 - JAN-11'!FC33</f>
        <v>0</v>
      </c>
      <c r="FD33" s="4">
        <f>+'FY-10, FEB-10 - JAN-11'!FD33</f>
        <v>0</v>
      </c>
      <c r="FE33" s="4">
        <f>+'FY-10, FEB-10 - JAN-11'!FE33</f>
        <v>0</v>
      </c>
      <c r="FF33" s="824">
        <f>FF47*$K$103</f>
        <v>1350659.1509743021</v>
      </c>
      <c r="FG33" s="822">
        <f>FG47*$K$107</f>
        <v>95923.043388497594</v>
      </c>
      <c r="FH33" s="4">
        <f>+'FY-10, FEB-10 - JAN-11'!FH33</f>
        <v>100110.04</v>
      </c>
      <c r="FI33" s="4">
        <f>+'FY-10, FEB-10 - JAN-11'!FI33</f>
        <v>0</v>
      </c>
      <c r="FJ33" s="4">
        <f>+'FY-10, FEB-10 - JAN-11'!FJ33</f>
        <v>0</v>
      </c>
      <c r="FK33" s="4">
        <f>+'FY-10, FEB-10 - JAN-11'!FK33</f>
        <v>0</v>
      </c>
      <c r="FL33" s="4">
        <f>+'FY-10, FEB-10 - JAN-11'!FL33</f>
        <v>5136.45</v>
      </c>
      <c r="FM33" s="4">
        <f>+'FY-10, FEB-10 - JAN-11'!FM33</f>
        <v>0</v>
      </c>
      <c r="FN33" s="4">
        <f>+'FY-10, FEB-10 - JAN-11'!FN33</f>
        <v>0</v>
      </c>
      <c r="FO33" s="4">
        <f>+'FY-10, FEB-10 - JAN-11'!FO33</f>
        <v>500</v>
      </c>
      <c r="FP33" s="4">
        <f>+'FY-10, FEB-10 - JAN-11'!FP33</f>
        <v>0</v>
      </c>
      <c r="FQ33" s="813">
        <f>FQ47*$K$107</f>
        <v>102679.8189922302</v>
      </c>
      <c r="FR33" s="4">
        <v>0</v>
      </c>
      <c r="FS33" s="4">
        <f>+'FY-10, FEB-10 - JAN-11'!FS33</f>
        <v>0</v>
      </c>
      <c r="FT33" s="4">
        <f>+'FY-10, FEB-10 - JAN-11'!FT33</f>
        <v>0</v>
      </c>
      <c r="FU33" s="3">
        <f>+'FY-10, FEB-10 - JAN-11'!FU33</f>
        <v>0</v>
      </c>
      <c r="FV33" s="4">
        <f>+'FY-10, FEB-10 - JAN-11'!FV33</f>
        <v>0</v>
      </c>
      <c r="FW33" s="4">
        <f>+'FY-10, FEB-10 - JAN-11'!FW33</f>
        <v>0</v>
      </c>
      <c r="FX33" s="4">
        <f>+'FY-10, FEB-10 - JAN-11'!FX33</f>
        <v>0</v>
      </c>
      <c r="FY33" s="4">
        <f>+'FY-10, FEB-10 - JAN-11'!FY33</f>
        <v>0</v>
      </c>
      <c r="FZ33" s="824">
        <f>+FZ47*K103</f>
        <v>1448034.8131584213</v>
      </c>
      <c r="GA33" s="4">
        <v>0</v>
      </c>
      <c r="GB33" s="4">
        <f>+'FY-10, FEB-10 - JAN-11'!GB33</f>
        <v>0</v>
      </c>
      <c r="GC33" s="4">
        <f>+'FY-10, FEB-10 - JAN-11'!GC33</f>
        <v>0</v>
      </c>
      <c r="GD33" s="4">
        <f>+'FY-10, FEB-10 - JAN-11'!GD33</f>
        <v>0</v>
      </c>
      <c r="GE33" s="4">
        <f>+'FY-10, FEB-10 - JAN-11'!GE33</f>
        <v>0</v>
      </c>
      <c r="GF33" s="4">
        <f>+'FY-10, FEB-10 - JAN-11'!GF33</f>
        <v>1025</v>
      </c>
      <c r="GG33" s="4">
        <f>+'FY-10, FEB-10 - JAN-11'!GG33</f>
        <v>0</v>
      </c>
      <c r="GH33" s="4">
        <f>+'FY-10, FEB-10 - JAN-11'!GH33</f>
        <v>0</v>
      </c>
      <c r="GI33" s="4">
        <f>+'FY-10, FEB-10 - JAN-11'!GI33</f>
        <v>0</v>
      </c>
      <c r="GJ33" s="819">
        <f>GJ47*$K$107</f>
        <v>116268.54350489491</v>
      </c>
      <c r="GK33" s="4">
        <f>+'FY-10, FEB-10 - JAN-11'!GK33</f>
        <v>0</v>
      </c>
      <c r="GL33" s="4">
        <f>+'FY-10, FEB-10 - JAN-11'!GL33</f>
        <v>0</v>
      </c>
      <c r="GM33" s="4">
        <f>+'FY-10, FEB-10 - JAN-11'!GM33</f>
        <v>0</v>
      </c>
      <c r="GN33" s="4">
        <f>+'FY-10, FEB-10 - JAN-11'!GN33</f>
        <v>0</v>
      </c>
      <c r="GO33" s="3">
        <f>+'FY-10, FEB-10 - JAN-11'!GO33</f>
        <v>0</v>
      </c>
      <c r="GP33" s="4">
        <f>+'FY-10, FEB-10 - JAN-11'!GP33</f>
        <v>0</v>
      </c>
      <c r="GQ33" s="4">
        <f>+'FY-10, FEB-10 - JAN-11'!GQ33</f>
        <v>0</v>
      </c>
      <c r="GR33" s="4">
        <f>+'FY-10, FEB-10 - JAN-11'!GR33</f>
        <v>0</v>
      </c>
      <c r="GS33" s="813">
        <f>GS47*$K$107</f>
        <v>106435.52260622333</v>
      </c>
      <c r="GT33" s="4">
        <v>0</v>
      </c>
      <c r="GU33" s="824">
        <f>GU47*$K$103</f>
        <v>1364330.5293849034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813">
        <f>HC47*$K$107</f>
        <v>110134.81505682319</v>
      </c>
      <c r="HD33" s="4">
        <f>+'FY-10, FEB-10 - JAN-11'!HD33</f>
        <v>0</v>
      </c>
      <c r="HE33" s="4">
        <v>0</v>
      </c>
      <c r="HF33" s="4">
        <v>0</v>
      </c>
      <c r="HG33" s="4">
        <v>0</v>
      </c>
      <c r="HH33" s="4">
        <v>0</v>
      </c>
      <c r="HI33" s="4">
        <f>+'FY-10, FEB-10 - JAN-11'!HI33</f>
        <v>0</v>
      </c>
      <c r="HJ33" s="4">
        <f>+'FY-10, FEB-10 - JAN-11'!HJ33</f>
        <v>0</v>
      </c>
      <c r="HK33" s="4">
        <f>+'FY-10, FEB-10 - JAN-11'!HK33</f>
        <v>0</v>
      </c>
      <c r="HL33" s="4">
        <f>+'FY-10, FEB-10 - JAN-11'!HL33</f>
        <v>0</v>
      </c>
      <c r="HM33" s="819">
        <f>HM47*$K$107</f>
        <v>82409.589786735727</v>
      </c>
      <c r="HN33" s="4">
        <f>+'FY-10, FEB-10 - JAN-11'!HN33</f>
        <v>0</v>
      </c>
      <c r="HO33" s="4">
        <f>+'FY-10, FEB-10 - JAN-11'!HO33</f>
        <v>0</v>
      </c>
      <c r="HP33" s="829">
        <f>HP47*$K$103</f>
        <v>1449941.9523123296</v>
      </c>
      <c r="HQ33" s="4">
        <f>+'FY-10, FEB-10 - JAN-11'!HQ33</f>
        <v>0</v>
      </c>
      <c r="HR33" s="4">
        <f>+'FY-10, FEB-10 - JAN-11'!HR33</f>
        <v>1400.92</v>
      </c>
      <c r="HS33" s="4">
        <f>+'FY-10, FEB-10 - JAN-11'!HS33</f>
        <v>0</v>
      </c>
      <c r="HT33" s="4">
        <f>+'FY-10, FEB-10 - JAN-11'!HT33</f>
        <v>0</v>
      </c>
      <c r="HU33" s="4">
        <f>+'FY-10, FEB-10 - JAN-11'!HU33</f>
        <v>0</v>
      </c>
      <c r="HV33" s="813">
        <f>(+HU47+HV47)*$K$107</f>
        <v>184197.13690410618</v>
      </c>
      <c r="HW33" s="4">
        <f>+'FY-10, FEB-10 - JAN-11'!HW33</f>
        <v>0</v>
      </c>
      <c r="HX33" s="4">
        <f>+'FY-10, FEB-10 - JAN-11'!HX33</f>
        <v>0</v>
      </c>
      <c r="HY33" s="4">
        <f>+'FY-10, FEB-10 - JAN-11'!HY33</f>
        <v>0</v>
      </c>
      <c r="HZ33" s="4">
        <f>+'FY-10, FEB-10 - JAN-11'!HZ33</f>
        <v>0</v>
      </c>
      <c r="IA33" s="4">
        <f>+'FY-10, FEB-10 - JAN-11'!IA33</f>
        <v>0</v>
      </c>
      <c r="IB33" s="4">
        <f>+'FY-10, FEB-10 - JAN-11'!IB33</f>
        <v>0</v>
      </c>
      <c r="IC33" s="4">
        <f>+'FY-10, FEB-10 - JAN-11'!IC33</f>
        <v>0</v>
      </c>
      <c r="ID33" s="4">
        <f>+'FY-10, FEB-10 - JAN-11'!ID33</f>
        <v>0</v>
      </c>
      <c r="IE33" s="4">
        <f>+'FY-10, FEB-10 - JAN-11'!IE33</f>
        <v>0</v>
      </c>
      <c r="IF33" s="813">
        <f>IF47*$K$107*0.95</f>
        <v>57136.501202711595</v>
      </c>
      <c r="IG33" s="4">
        <v>0</v>
      </c>
      <c r="IH33" s="4">
        <f>+'FY-10, FEB-10 - JAN-11'!IH33</f>
        <v>0</v>
      </c>
      <c r="II33" s="4">
        <f>+'FY-10, FEB-10 - JAN-11'!II33</f>
        <v>0</v>
      </c>
      <c r="IJ33" s="4">
        <f>+'FY-10, FEB-10 - JAN-11'!IJ33</f>
        <v>0</v>
      </c>
      <c r="IK33" s="4">
        <f>+'FY-10, FEB-10 - JAN-11'!IK33</f>
        <v>0</v>
      </c>
      <c r="IL33" s="824">
        <f>IL47*$K$103</f>
        <v>1312251.9221957691</v>
      </c>
      <c r="IM33" s="4">
        <f>+'FY-10, FEB-10 - JAN-11'!IM33</f>
        <v>0</v>
      </c>
      <c r="IN33" s="4">
        <f>+'FY-10, FEB-10 - JAN-11'!IN33</f>
        <v>0</v>
      </c>
      <c r="IO33" s="813">
        <f>IO47*$K$107</f>
        <v>102897.36025822269</v>
      </c>
      <c r="IP33" s="4"/>
      <c r="IQ33" s="4">
        <f>+'FY-10, FEB-10 - JAN-11'!IQ33</f>
        <v>0</v>
      </c>
      <c r="IR33" s="4">
        <f>+'FY-10, FEB-10 - JAN-11'!IR33</f>
        <v>0</v>
      </c>
      <c r="IS33" s="4">
        <f>+'FY-10, FEB-10 - JAN-11'!IS33</f>
        <v>0</v>
      </c>
      <c r="IT33" s="4">
        <f>+'FY-10, FEB-10 - JAN-11'!IT33</f>
        <v>0</v>
      </c>
      <c r="IU33" s="4">
        <f>+'FY-10, FEB-10 - JAN-11'!IU33</f>
        <v>387.63</v>
      </c>
      <c r="IV33" s="4">
        <f>+'FY-10, FEB-10 - JAN-11'!IV33</f>
        <v>0</v>
      </c>
      <c r="IW33" s="682"/>
      <c r="IX33" s="4">
        <f t="shared" si="51"/>
        <v>0</v>
      </c>
      <c r="IY33" s="4">
        <f t="shared" si="40"/>
        <v>0</v>
      </c>
      <c r="IZ33" s="4">
        <f t="shared" si="41"/>
        <v>0</v>
      </c>
      <c r="JA33" s="813">
        <f>JA47*$K$107</f>
        <v>97305.113720328358</v>
      </c>
      <c r="JB33" s="4">
        <f t="shared" si="43"/>
        <v>0</v>
      </c>
      <c r="JC33" s="4">
        <f t="shared" si="44"/>
        <v>0</v>
      </c>
      <c r="JD33" s="4">
        <f t="shared" si="45"/>
        <v>0</v>
      </c>
      <c r="JE33" s="4">
        <f t="shared" si="45"/>
        <v>0</v>
      </c>
      <c r="JF33" s="4">
        <f t="shared" si="46"/>
        <v>0</v>
      </c>
      <c r="JG33" s="4">
        <f t="shared" si="47"/>
        <v>0</v>
      </c>
      <c r="JH33" s="834">
        <f>+IL33</f>
        <v>1312251.9221957691</v>
      </c>
      <c r="JI33" s="4">
        <f t="shared" si="49"/>
        <v>20678441.678702801</v>
      </c>
      <c r="JJ33" s="4"/>
      <c r="JK33" s="4">
        <f t="shared" si="50"/>
        <v>41356883.357405603</v>
      </c>
    </row>
    <row r="34" spans="1:271" s="209" customFormat="1" ht="14.1" customHeight="1" thickBot="1">
      <c r="A34" s="204" t="s">
        <v>78</v>
      </c>
      <c r="B34" s="211"/>
      <c r="C34" s="216"/>
      <c r="D34" s="204"/>
      <c r="E34" s="204"/>
      <c r="F34" s="204"/>
      <c r="G34" s="814"/>
      <c r="H34" s="204"/>
      <c r="I34" s="204"/>
      <c r="J34" s="204"/>
      <c r="K34" s="408"/>
      <c r="L34" s="652">
        <v>80341072.019999996</v>
      </c>
      <c r="M34" s="652">
        <f>3494750+5600</f>
        <v>3500350</v>
      </c>
      <c r="N34" s="816"/>
      <c r="O34" s="204"/>
      <c r="P34" s="204"/>
      <c r="Q34" s="814"/>
      <c r="R34" s="204"/>
      <c r="S34" s="204"/>
      <c r="T34" s="204"/>
      <c r="U34" s="204"/>
      <c r="V34" s="204"/>
      <c r="W34" s="204"/>
      <c r="X34" s="204"/>
      <c r="Y34" s="204"/>
      <c r="Z34" s="814"/>
      <c r="AA34" s="204"/>
      <c r="AB34" s="204"/>
      <c r="AC34" s="204"/>
      <c r="AD34" s="204"/>
      <c r="AE34" s="204"/>
      <c r="AF34" s="204"/>
      <c r="AG34" s="816"/>
      <c r="AH34" s="204"/>
      <c r="AI34" s="204"/>
      <c r="AJ34" s="814"/>
      <c r="AK34" s="204"/>
      <c r="AL34" s="204"/>
      <c r="AM34" s="204"/>
      <c r="AN34" s="204"/>
      <c r="AO34" s="578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816"/>
      <c r="BE34" s="204"/>
      <c r="BF34" s="204"/>
      <c r="BG34" s="204"/>
      <c r="BH34" s="204"/>
      <c r="BI34" s="204"/>
      <c r="BJ34" s="204"/>
      <c r="BK34" s="408"/>
      <c r="BL34" s="408"/>
      <c r="BM34" s="408"/>
      <c r="BN34" s="820">
        <v>504321</v>
      </c>
      <c r="BO34" s="408"/>
      <c r="BP34" s="408"/>
      <c r="BQ34" s="408"/>
      <c r="BR34" s="408"/>
      <c r="BS34" s="408"/>
      <c r="BT34" s="408"/>
      <c r="BU34" s="408"/>
      <c r="BV34" s="408"/>
      <c r="BW34" s="408"/>
      <c r="BX34" s="816"/>
      <c r="BY34" s="408"/>
      <c r="BZ34" s="408"/>
      <c r="CA34" s="408"/>
      <c r="CB34" s="408"/>
      <c r="CC34" s="408"/>
      <c r="CD34" s="408"/>
      <c r="CE34" s="408"/>
      <c r="CF34" s="408"/>
      <c r="CG34" s="408"/>
      <c r="CH34" s="814"/>
      <c r="CI34" s="408"/>
      <c r="CJ34" s="408"/>
      <c r="CK34" s="408"/>
      <c r="CL34" s="408"/>
      <c r="CM34" s="408"/>
      <c r="CN34" s="408"/>
      <c r="CO34" s="408"/>
      <c r="CP34" s="408"/>
      <c r="CQ34" s="820"/>
      <c r="CR34" s="408"/>
      <c r="CS34" s="408"/>
      <c r="CT34" s="821"/>
      <c r="CU34" s="408"/>
      <c r="CV34" s="408"/>
      <c r="CW34" s="408"/>
      <c r="CX34" s="408"/>
      <c r="CY34" s="408"/>
      <c r="CZ34" s="408"/>
      <c r="DA34" s="820"/>
      <c r="DB34" s="408"/>
      <c r="DC34" s="408"/>
      <c r="DD34" s="408"/>
      <c r="DE34" s="408"/>
      <c r="DF34" s="408"/>
      <c r="DG34" s="408"/>
      <c r="DH34" s="408"/>
      <c r="DI34" s="408"/>
      <c r="DJ34" s="408"/>
      <c r="DK34" s="853">
        <v>765501.67</v>
      </c>
      <c r="DL34" s="408">
        <f>+'FY-10, FEB-10 - JAN-11'!DL34</f>
        <v>0</v>
      </c>
      <c r="DM34" s="408">
        <f>+'FY-10, FEB-10 - JAN-11'!DM34</f>
        <v>0</v>
      </c>
      <c r="DN34" s="408">
        <f>+'FY-10, FEB-10 - JAN-11'!DN34</f>
        <v>0</v>
      </c>
      <c r="DO34" s="821">
        <f>+'FY-10, FEB-10 - JAN-11'!DO34</f>
        <v>0</v>
      </c>
      <c r="DP34" s="408">
        <f>+'FY-10, FEB-10 - JAN-11'!DP34</f>
        <v>0</v>
      </c>
      <c r="DQ34" s="408">
        <f>+'FY-10, FEB-10 - JAN-11'!DQ34</f>
        <v>0</v>
      </c>
      <c r="DR34" s="408">
        <f>+'FY-10, FEB-10 - JAN-11'!DR34</f>
        <v>0</v>
      </c>
      <c r="DS34" s="408">
        <f>+'FY-10, FEB-10 - JAN-11'!DS34</f>
        <v>0</v>
      </c>
      <c r="DT34" s="408">
        <f>+'FY-10, FEB-10 - JAN-11'!DT34</f>
        <v>0</v>
      </c>
      <c r="DU34" s="408">
        <f>+'FY-10, FEB-10 - JAN-11'!DU34</f>
        <v>0</v>
      </c>
      <c r="DV34" s="408">
        <f>+'FY-10, FEB-10 - JAN-11'!DV34</f>
        <v>0</v>
      </c>
      <c r="DW34" s="408">
        <f>+'FY-10, FEB-10 - JAN-11'!DW34</f>
        <v>0</v>
      </c>
      <c r="DX34" s="408">
        <f>+'FY-10, FEB-10 - JAN-11'!DX34</f>
        <v>0</v>
      </c>
      <c r="DY34" s="408">
        <f>+'FY-10, FEB-10 - JAN-11'!DY34</f>
        <v>0</v>
      </c>
      <c r="DZ34" s="408">
        <v>0</v>
      </c>
      <c r="EA34" s="408">
        <f>+'FY-10, FEB-10 - JAN-11'!EA34</f>
        <v>0</v>
      </c>
      <c r="EB34" s="408">
        <f>+'FY-10, FEB-10 - JAN-11'!EB34</f>
        <v>0</v>
      </c>
      <c r="EC34" s="408">
        <f>+'FY-10, FEB-10 - JAN-11'!EC34</f>
        <v>0</v>
      </c>
      <c r="ED34" s="820">
        <f>+'FY-10, FEB-10 - JAN-11'!ED34</f>
        <v>0</v>
      </c>
      <c r="EE34" s="408">
        <f>+'FY-10, FEB-10 - JAN-11'!EE34</f>
        <v>0</v>
      </c>
      <c r="EF34" s="408">
        <f>+'FY-10, FEB-10 - JAN-11'!EF34</f>
        <v>0</v>
      </c>
      <c r="EG34" s="408">
        <f>+'FY-10, FEB-10 - JAN-11'!EG34</f>
        <v>0</v>
      </c>
      <c r="EH34" s="408">
        <f>+'FY-10, FEB-10 - JAN-11'!EH34</f>
        <v>0</v>
      </c>
      <c r="EI34" s="408">
        <f>+'FY-10, FEB-10 - JAN-11'!EI34</f>
        <v>0</v>
      </c>
      <c r="EJ34" s="854">
        <f>271125+5600</f>
        <v>276725</v>
      </c>
      <c r="EK34" s="408">
        <f>+'FY-10, FEB-10 - JAN-11'!EK34</f>
        <v>0</v>
      </c>
      <c r="EL34" s="408">
        <f>+'FY-10, FEB-10 - JAN-11'!EL34</f>
        <v>0</v>
      </c>
      <c r="EM34" s="852">
        <v>5000</v>
      </c>
      <c r="EN34" s="820">
        <f>+'FY-10, FEB-10 - JAN-11'!EN34</f>
        <v>0</v>
      </c>
      <c r="EO34" s="408">
        <f>+'FY-10, FEB-10 - JAN-11'!EO34</f>
        <v>0</v>
      </c>
      <c r="EP34" s="408">
        <f>+'FY-10, FEB-10 - JAN-11'!EP34</f>
        <v>0</v>
      </c>
      <c r="EQ34" s="408">
        <f>+'FY-10, FEB-10 - JAN-11'!EQ34</f>
        <v>0</v>
      </c>
      <c r="ER34" s="408">
        <f>+'FY-10, FEB-10 - JAN-11'!ER34</f>
        <v>0</v>
      </c>
      <c r="ES34" s="408">
        <f>+'FY-10, FEB-10 - JAN-11'!ES34</f>
        <v>0</v>
      </c>
      <c r="ET34" s="408">
        <f>+'FY-10, FEB-10 - JAN-11'!ET34</f>
        <v>0</v>
      </c>
      <c r="EU34" s="408">
        <f>+'FY-10, FEB-10 - JAN-11'!EU34</f>
        <v>0</v>
      </c>
      <c r="EV34" s="408">
        <f>+'FY-10, FEB-10 - JAN-11'!EV34</f>
        <v>0</v>
      </c>
      <c r="EW34" s="408">
        <f>+'FY-10, FEB-10 - JAN-11'!EW34</f>
        <v>0</v>
      </c>
      <c r="EX34" s="820">
        <f>+'FY-10, FEB-10 - JAN-11'!EX34</f>
        <v>0</v>
      </c>
      <c r="EY34" s="408">
        <f>+'FY-10, FEB-10 - JAN-11'!EY34</f>
        <v>0</v>
      </c>
      <c r="EZ34" s="408">
        <f>+'FY-10, FEB-10 - JAN-11'!EZ34</f>
        <v>0</v>
      </c>
      <c r="FA34" s="408">
        <f>+'FY-10, FEB-10 - JAN-11'!FA34</f>
        <v>0</v>
      </c>
      <c r="FB34" s="408">
        <f>+'FY-10, FEB-10 - JAN-11'!FB34</f>
        <v>0</v>
      </c>
      <c r="FC34" s="408">
        <f>+'FY-10, FEB-10 - JAN-11'!FC34</f>
        <v>0</v>
      </c>
      <c r="FD34" s="408">
        <f>+'FY-10, FEB-10 - JAN-11'!FD34</f>
        <v>0</v>
      </c>
      <c r="FE34" s="408">
        <f>+'FY-10, FEB-10 - JAN-11'!FE34</f>
        <v>0</v>
      </c>
      <c r="FF34" s="821">
        <f>+'FY-10, FEB-10 - JAN-11'!FF34</f>
        <v>0</v>
      </c>
      <c r="FG34" s="820">
        <f>+'FY-10, FEB-10 - JAN-11'!FG34</f>
        <v>0</v>
      </c>
      <c r="FH34" s="852">
        <v>5000</v>
      </c>
      <c r="FI34" s="408">
        <f>+'FY-10, FEB-10 - JAN-11'!FI34</f>
        <v>0</v>
      </c>
      <c r="FJ34" s="408">
        <f>+'FY-10, FEB-10 - JAN-11'!FJ34</f>
        <v>0</v>
      </c>
      <c r="FK34" s="408">
        <f>+'FY-10, FEB-10 - JAN-11'!FK34</f>
        <v>0</v>
      </c>
      <c r="FL34" s="408">
        <f>+'FY-10, FEB-10 - JAN-11'!FL34</f>
        <v>0</v>
      </c>
      <c r="FM34" s="408">
        <f>+'FY-10, FEB-10 - JAN-11'!FM34</f>
        <v>0</v>
      </c>
      <c r="FN34" s="408">
        <f>+'FY-10, FEB-10 - JAN-11'!FN34</f>
        <v>0</v>
      </c>
      <c r="FO34" s="408">
        <f>+'FY-10, FEB-10 - JAN-11'!FO34</f>
        <v>0</v>
      </c>
      <c r="FP34" s="408">
        <f>+'FY-10, FEB-10 - JAN-11'!FP34</f>
        <v>0</v>
      </c>
      <c r="FQ34" s="820">
        <f>+'FY-10, FEB-10 - JAN-11'!FQ34</f>
        <v>0</v>
      </c>
      <c r="FR34" s="408">
        <f>+'FY-10, FEB-10 - JAN-11'!FR34</f>
        <v>0</v>
      </c>
      <c r="FS34" s="408">
        <f>+'FY-10, FEB-10 - JAN-11'!FS34</f>
        <v>0</v>
      </c>
      <c r="FT34" s="408">
        <f>+'FY-10, FEB-10 - JAN-11'!FT34</f>
        <v>0</v>
      </c>
      <c r="FU34" s="408">
        <f>+'FY-10, FEB-10 - JAN-11'!FU34</f>
        <v>0</v>
      </c>
      <c r="FV34" s="408">
        <f>+'FY-10, FEB-10 - JAN-11'!FV34</f>
        <v>0</v>
      </c>
      <c r="FW34" s="408">
        <f>+'FY-10, FEB-10 - JAN-11'!FW34</f>
        <v>0</v>
      </c>
      <c r="FX34" s="408">
        <f>+'FY-10, FEB-10 - JAN-11'!FX34</f>
        <v>0</v>
      </c>
      <c r="FY34" s="408">
        <f>+'FY-10, FEB-10 - JAN-11'!FY34</f>
        <v>0</v>
      </c>
      <c r="FZ34" s="821">
        <f>+'FY-10, FEB-10 - JAN-11'!FZ34</f>
        <v>0</v>
      </c>
      <c r="GA34" s="408">
        <f>+'FY-10, FEB-10 - JAN-11'!GA34</f>
        <v>0</v>
      </c>
      <c r="GB34" s="852">
        <v>5000</v>
      </c>
      <c r="GC34" s="408">
        <f>+'FY-10, FEB-10 - JAN-11'!GC34</f>
        <v>0</v>
      </c>
      <c r="GD34" s="408">
        <f>+'FY-10, FEB-10 - JAN-11'!GD34</f>
        <v>0</v>
      </c>
      <c r="GE34" s="408">
        <f>+'FY-10, FEB-10 - JAN-11'!GE34</f>
        <v>0</v>
      </c>
      <c r="GF34" s="408">
        <f>+'FY-10, FEB-10 - JAN-11'!GF34</f>
        <v>0</v>
      </c>
      <c r="GG34" s="408">
        <f>+'FY-10, FEB-10 - JAN-11'!GG34</f>
        <v>0</v>
      </c>
      <c r="GH34" s="408">
        <f>+'FY-10, FEB-10 - JAN-11'!GH34</f>
        <v>0</v>
      </c>
      <c r="GI34" s="408">
        <f>+'FY-10, FEB-10 - JAN-11'!GI34</f>
        <v>0</v>
      </c>
      <c r="GJ34" s="820">
        <f>+'FY-10, FEB-10 - JAN-11'!GJ34</f>
        <v>0</v>
      </c>
      <c r="GK34" s="408">
        <f>+'FY-10, FEB-10 - JAN-11'!GK34</f>
        <v>0</v>
      </c>
      <c r="GL34" s="408">
        <f>+'FY-10, FEB-10 - JAN-11'!GL34</f>
        <v>0</v>
      </c>
      <c r="GM34" s="408">
        <f>+'FY-10, FEB-10 - JAN-11'!GM34</f>
        <v>0</v>
      </c>
      <c r="GN34" s="408">
        <f>+'FY-10, FEB-10 - JAN-11'!GN34</f>
        <v>0</v>
      </c>
      <c r="GO34" s="408">
        <f>+'FY-10, FEB-10 - JAN-11'!GO34</f>
        <v>0</v>
      </c>
      <c r="GP34" s="408">
        <f>+'FY-10, FEB-10 - JAN-11'!GP34</f>
        <v>0</v>
      </c>
      <c r="GQ34" s="408">
        <f>+'FY-10, FEB-10 - JAN-11'!GQ34</f>
        <v>0</v>
      </c>
      <c r="GR34" s="408">
        <f>+'FY-10, FEB-10 - JAN-11'!GR34</f>
        <v>0</v>
      </c>
      <c r="GS34" s="820">
        <f>+'FY-10, FEB-10 - JAN-11'!GS34</f>
        <v>0</v>
      </c>
      <c r="GT34" s="408">
        <f>+'FY-10, FEB-10 - JAN-11'!GT34</f>
        <v>0</v>
      </c>
      <c r="GU34" s="821">
        <f>+'FY-10, FEB-10 - JAN-11'!GU34</f>
        <v>0</v>
      </c>
      <c r="GV34" s="408">
        <f>+'FY-10, FEB-10 - JAN-11'!GV34</f>
        <v>0</v>
      </c>
      <c r="GW34" s="408">
        <f>+'FY-10, FEB-10 - JAN-11'!GW34</f>
        <v>0</v>
      </c>
      <c r="GX34" s="408">
        <f>+'FY-10, FEB-10 - JAN-11'!GX34</f>
        <v>0</v>
      </c>
      <c r="GY34" s="408">
        <f>+'FY-10, FEB-10 - JAN-11'!GY34</f>
        <v>0</v>
      </c>
      <c r="GZ34" s="408">
        <f>+'FY-10, FEB-10 - JAN-11'!GZ34</f>
        <v>0</v>
      </c>
      <c r="HA34" s="408">
        <f>+'FY-10, FEB-10 - JAN-11'!HA34</f>
        <v>0</v>
      </c>
      <c r="HB34" s="408">
        <f>+'FY-10, FEB-10 - JAN-11'!HB34</f>
        <v>0</v>
      </c>
      <c r="HC34" s="820">
        <f>+'FY-10, FEB-10 - JAN-11'!HC34</f>
        <v>0</v>
      </c>
      <c r="HD34" s="408">
        <f>+'FY-10, FEB-10 - JAN-11'!HD34</f>
        <v>0</v>
      </c>
      <c r="HE34" s="408">
        <f>+'FY-10, FEB-10 - JAN-11'!HE34</f>
        <v>0</v>
      </c>
      <c r="HF34" s="408">
        <f>+'FY-10, FEB-10 - JAN-11'!HF34</f>
        <v>0</v>
      </c>
      <c r="HG34" s="408">
        <f>+'FY-10, FEB-10 - JAN-11'!HG34</f>
        <v>0</v>
      </c>
      <c r="HH34" s="408">
        <f>+'FY-10, FEB-10 - JAN-11'!HH34</f>
        <v>0</v>
      </c>
      <c r="HI34" s="408">
        <f>+'FY-10, FEB-10 - JAN-11'!HI34</f>
        <v>0</v>
      </c>
      <c r="HJ34" s="408">
        <f>+'FY-10, FEB-10 - JAN-11'!HJ34</f>
        <v>0</v>
      </c>
      <c r="HK34" s="408">
        <f>+'FY-10, FEB-10 - JAN-11'!HK34</f>
        <v>0</v>
      </c>
      <c r="HL34" s="408">
        <f>+'FY-10, FEB-10 - JAN-11'!HL34</f>
        <v>0</v>
      </c>
      <c r="HM34" s="820">
        <f>+'FY-10, FEB-10 - JAN-11'!HM34</f>
        <v>0</v>
      </c>
      <c r="HN34" s="408">
        <f>+'FY-10, FEB-10 - JAN-11'!HN34</f>
        <v>0</v>
      </c>
      <c r="HO34" s="408">
        <f>+'FY-10, FEB-10 - JAN-11'!HO34</f>
        <v>0</v>
      </c>
      <c r="HP34" s="821">
        <f>+'FY-10, FEB-10 - JAN-11'!HP34</f>
        <v>0</v>
      </c>
      <c r="HQ34" s="408">
        <f>+'FY-10, FEB-10 - JAN-11'!HQ34</f>
        <v>0</v>
      </c>
      <c r="HR34" s="408">
        <f>+'FY-10, FEB-10 - JAN-11'!HR34</f>
        <v>0</v>
      </c>
      <c r="HS34" s="408">
        <f>+'FY-10, FEB-10 - JAN-11'!HS34</f>
        <v>0</v>
      </c>
      <c r="HT34" s="408">
        <f>+'FY-10, FEB-10 - JAN-11'!HT34</f>
        <v>0</v>
      </c>
      <c r="HU34" s="408">
        <f>+'FY-10, FEB-10 - JAN-11'!HU34</f>
        <v>0</v>
      </c>
      <c r="HV34" s="820">
        <f>+'FY-10, FEB-10 - JAN-11'!HV34</f>
        <v>0</v>
      </c>
      <c r="HW34" s="408">
        <f>+'FY-10, FEB-10 - JAN-11'!HW34</f>
        <v>0</v>
      </c>
      <c r="HX34" s="408">
        <f>+'FY-10, FEB-10 - JAN-11'!HX34</f>
        <v>0</v>
      </c>
      <c r="HY34" s="408">
        <f>+'FY-10, FEB-10 - JAN-11'!HY34</f>
        <v>0</v>
      </c>
      <c r="HZ34" s="408">
        <f>+'FY-10, FEB-10 - JAN-11'!HZ34</f>
        <v>0</v>
      </c>
      <c r="IA34" s="408">
        <f>+'FY-10, FEB-10 - JAN-11'!IA34</f>
        <v>0</v>
      </c>
      <c r="IB34" s="408">
        <f>+'FY-10, FEB-10 - JAN-11'!IB34</f>
        <v>0</v>
      </c>
      <c r="IC34" s="408">
        <f>+'FY-10, FEB-10 - JAN-11'!IC34</f>
        <v>0</v>
      </c>
      <c r="ID34" s="408">
        <f>+'FY-10, FEB-10 - JAN-11'!ID34</f>
        <v>0</v>
      </c>
      <c r="IE34" s="408">
        <f>+'FY-10, FEB-10 - JAN-11'!IE34</f>
        <v>0</v>
      </c>
      <c r="IF34" s="820">
        <f>+'FY-10, FEB-10 - JAN-11'!IF34</f>
        <v>0</v>
      </c>
      <c r="IG34" s="408">
        <f>+'FY-10, FEB-10 - JAN-11'!IG34</f>
        <v>0</v>
      </c>
      <c r="IH34" s="408">
        <f>+'FY-10, FEB-10 - JAN-11'!IH34</f>
        <v>0</v>
      </c>
      <c r="II34" s="408">
        <f>+'FY-10, FEB-10 - JAN-11'!II34</f>
        <v>0</v>
      </c>
      <c r="IJ34" s="408">
        <f>+'FY-10, FEB-10 - JAN-11'!IJ34</f>
        <v>0</v>
      </c>
      <c r="IK34" s="408">
        <f>+'FY-10, FEB-10 - JAN-11'!IK34</f>
        <v>0</v>
      </c>
      <c r="IL34" s="821">
        <f>+'FY-10, FEB-10 - JAN-11'!IL34</f>
        <v>0</v>
      </c>
      <c r="IM34" s="408">
        <f>+'FY-10, FEB-10 - JAN-11'!IM34</f>
        <v>0</v>
      </c>
      <c r="IN34" s="408">
        <f>+'FY-10, FEB-10 - JAN-11'!IN34</f>
        <v>0</v>
      </c>
      <c r="IO34" s="820">
        <f>+'FY-10, FEB-10 - JAN-11'!IO34</f>
        <v>0</v>
      </c>
      <c r="IP34" s="408">
        <f>+'FY-10, FEB-10 - JAN-11'!IP34</f>
        <v>0</v>
      </c>
      <c r="IQ34" s="408">
        <f>+'FY-10, FEB-10 - JAN-11'!IQ34</f>
        <v>0</v>
      </c>
      <c r="IR34" s="408">
        <f>+'FY-10, FEB-10 - JAN-11'!IR34</f>
        <v>0</v>
      </c>
      <c r="IS34" s="408">
        <f>+'FY-10, FEB-10 - JAN-11'!IS34</f>
        <v>0</v>
      </c>
      <c r="IT34" s="408">
        <f>+'FY-10, FEB-10 - JAN-11'!IT34</f>
        <v>0</v>
      </c>
      <c r="IU34" s="408">
        <f>+'FY-10, FEB-10 - JAN-11'!IU34</f>
        <v>0</v>
      </c>
      <c r="IV34" s="408">
        <f>+'FY-10, FEB-10 - JAN-11'!IV34</f>
        <v>0</v>
      </c>
      <c r="IW34" s="682"/>
      <c r="IX34" s="408">
        <f>+D34*$EJ$77</f>
        <v>0</v>
      </c>
      <c r="IY34" s="408">
        <f t="shared" si="40"/>
        <v>0</v>
      </c>
      <c r="IZ34" s="408">
        <f t="shared" si="41"/>
        <v>0</v>
      </c>
      <c r="JA34" s="820">
        <f t="shared" si="42"/>
        <v>0</v>
      </c>
      <c r="JB34" s="408">
        <f t="shared" si="43"/>
        <v>0</v>
      </c>
      <c r="JC34" s="408">
        <f t="shared" si="44"/>
        <v>0</v>
      </c>
      <c r="JD34" s="408">
        <f t="shared" si="45"/>
        <v>0</v>
      </c>
      <c r="JE34" s="851">
        <v>125500000</v>
      </c>
      <c r="JF34" s="408">
        <v>0</v>
      </c>
      <c r="JG34" s="522">
        <f>3576125+5600</f>
        <v>3581725</v>
      </c>
      <c r="JH34" s="820">
        <f>+N34*$EJ$77</f>
        <v>0</v>
      </c>
      <c r="JI34" s="4">
        <f t="shared" si="49"/>
        <v>214484694.69</v>
      </c>
      <c r="JJ34" s="204"/>
      <c r="JK34" s="204">
        <f t="shared" si="50"/>
        <v>428969389.38</v>
      </c>
    </row>
    <row r="35" spans="1:271" ht="14.1" customHeight="1">
      <c r="A35" s="4" t="s">
        <v>84</v>
      </c>
      <c r="B35" s="12"/>
      <c r="C35" s="189"/>
      <c r="D35" s="4"/>
      <c r="E35" s="4"/>
      <c r="F35" s="4"/>
      <c r="G35" s="4"/>
      <c r="H35" s="5"/>
      <c r="I35" s="4">
        <v>1159.51</v>
      </c>
      <c r="J35" s="4"/>
      <c r="K35" s="4"/>
      <c r="L35" s="3"/>
      <c r="M35" s="3"/>
      <c r="N35" s="191"/>
      <c r="O35" s="5"/>
      <c r="P35" s="4"/>
      <c r="Q35" s="4"/>
      <c r="R35" s="5"/>
      <c r="S35" s="4"/>
      <c r="T35" s="4"/>
      <c r="U35" s="4"/>
      <c r="V35" s="4"/>
      <c r="W35" s="4"/>
      <c r="X35" s="4"/>
      <c r="Y35" s="4"/>
      <c r="Z35" s="4"/>
      <c r="AA35" s="5"/>
      <c r="AB35" s="4">
        <v>19967.53</v>
      </c>
      <c r="AC35" s="4"/>
      <c r="AD35" s="4"/>
      <c r="AE35" s="4">
        <v>65.900000000000006</v>
      </c>
      <c r="AF35" s="4"/>
      <c r="AG35" s="189"/>
      <c r="AH35" s="5"/>
      <c r="AI35" s="4"/>
      <c r="AJ35" s="4"/>
      <c r="AK35" s="5"/>
      <c r="AL35" s="4"/>
      <c r="AM35" s="4">
        <v>6400</v>
      </c>
      <c r="AN35" s="4"/>
      <c r="AO35" s="577"/>
      <c r="AP35" s="4"/>
      <c r="AQ35" s="4"/>
      <c r="AR35" s="4"/>
      <c r="AS35" s="4"/>
      <c r="AT35" s="4"/>
      <c r="AU35" s="5"/>
      <c r="AV35" s="4"/>
      <c r="AW35" s="4"/>
      <c r="AX35" s="4"/>
      <c r="AY35" s="4"/>
      <c r="AZ35" s="4">
        <v>3038.38</v>
      </c>
      <c r="BA35" s="4"/>
      <c r="BB35" s="4"/>
      <c r="BC35" s="4">
        <v>31250</v>
      </c>
      <c r="BD35" s="189"/>
      <c r="BE35" s="5"/>
      <c r="BF35" s="4"/>
      <c r="BG35" s="4"/>
      <c r="BH35" s="4"/>
      <c r="BI35" s="4"/>
      <c r="BJ35" s="4"/>
      <c r="BK35" s="4"/>
      <c r="BL35" s="4"/>
      <c r="BM35" s="4"/>
      <c r="BN35" s="4"/>
      <c r="BO35" s="5"/>
      <c r="BP35" s="4"/>
      <c r="BQ35" s="4"/>
      <c r="BR35" s="4">
        <v>550</v>
      </c>
      <c r="BS35" s="4">
        <v>4164.6000000000004</v>
      </c>
      <c r="BT35" s="4"/>
      <c r="BU35" s="4">
        <v>20894</v>
      </c>
      <c r="BV35" s="4"/>
      <c r="BW35" s="4"/>
      <c r="BX35" s="228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5"/>
      <c r="CJ35" s="4"/>
      <c r="CK35" s="4"/>
      <c r="CL35" s="4"/>
      <c r="CM35" s="4">
        <v>14273.12</v>
      </c>
      <c r="CN35" s="4"/>
      <c r="CO35" s="4"/>
      <c r="CP35" s="4"/>
      <c r="CQ35" s="4"/>
      <c r="CR35" s="5"/>
      <c r="CS35" s="5"/>
      <c r="CT35" s="189"/>
      <c r="CU35" s="5"/>
      <c r="CV35" s="5"/>
      <c r="CW35" s="5"/>
      <c r="CX35" s="5"/>
      <c r="CY35" s="5"/>
      <c r="CZ35" s="5"/>
      <c r="DA35" s="4"/>
      <c r="DB35" s="5"/>
      <c r="DC35" s="4"/>
      <c r="DD35" s="5"/>
      <c r="DE35" s="5">
        <v>16250</v>
      </c>
      <c r="DF35" s="4"/>
      <c r="DG35" s="4"/>
      <c r="DH35" s="4"/>
      <c r="DI35" s="4"/>
      <c r="DJ35" s="4"/>
      <c r="DK35" s="5">
        <v>6155.41</v>
      </c>
      <c r="DL35" s="4">
        <f>+'FY-10, FEB-10 - JAN-11'!DL35</f>
        <v>0</v>
      </c>
      <c r="DM35" s="4">
        <f>+'FY-10, FEB-10 - JAN-11'!DM35</f>
        <v>0</v>
      </c>
      <c r="DN35" s="4">
        <f>+'FY-10, FEB-10 - JAN-11'!DN35</f>
        <v>0</v>
      </c>
      <c r="DO35" s="189">
        <f>+'FY-10, FEB-10 - JAN-11'!DO35</f>
        <v>7579.04</v>
      </c>
      <c r="DP35" s="4">
        <f>+'FY-10, FEB-10 - JAN-11'!DP35</f>
        <v>0</v>
      </c>
      <c r="DQ35" s="4">
        <f>+'FY-10, FEB-10 - JAN-11'!DQ35</f>
        <v>0</v>
      </c>
      <c r="DR35" s="4">
        <f>+'FY-10, FEB-10 - JAN-11'!DR35</f>
        <v>0</v>
      </c>
      <c r="DS35" s="4">
        <f>+'FY-10, FEB-10 - JAN-11'!DS35</f>
        <v>0</v>
      </c>
      <c r="DT35" s="4">
        <f>+'FY-10, FEB-10 - JAN-11'!DT35</f>
        <v>0</v>
      </c>
      <c r="DU35" s="5">
        <f>+'FY-10, FEB-10 - JAN-11'!DU35</f>
        <v>0</v>
      </c>
      <c r="DV35" s="4">
        <f>+'FY-10, FEB-10 - JAN-11'!DV35</f>
        <v>0</v>
      </c>
      <c r="DW35" s="4">
        <f>+'FY-10, FEB-10 - JAN-11'!DW35</f>
        <v>0</v>
      </c>
      <c r="DX35" s="4">
        <f>+'FY-10, FEB-10 - JAN-11'!DX35</f>
        <v>0</v>
      </c>
      <c r="DY35" s="4">
        <f>+'FY-10, FEB-10 - JAN-11'!DY35</f>
        <v>0</v>
      </c>
      <c r="DZ35" s="4">
        <f>+'FY-10, FEB-10 - JAN-11'!DZ35</f>
        <v>0</v>
      </c>
      <c r="EA35" s="4">
        <f>+'FY-10, FEB-10 - JAN-11'!EA35</f>
        <v>0</v>
      </c>
      <c r="EB35" s="4">
        <f>+'FY-10, FEB-10 - JAN-11'!EB35</f>
        <v>0</v>
      </c>
      <c r="EC35" s="4">
        <f>+'FY-10, FEB-10 - JAN-11'!EC35</f>
        <v>0</v>
      </c>
      <c r="ED35" s="4">
        <f>+'FY-10, FEB-10 - JAN-11'!ED35</f>
        <v>0</v>
      </c>
      <c r="EE35" s="4">
        <f>+'FY-10, FEB-10 - JAN-11'!EE35</f>
        <v>0</v>
      </c>
      <c r="EF35" s="4">
        <f>+'FY-10, FEB-10 - JAN-11'!EF35</f>
        <v>0</v>
      </c>
      <c r="EG35" s="4">
        <f>+'FY-10, FEB-10 - JAN-11'!EG35</f>
        <v>0</v>
      </c>
      <c r="EH35" s="4">
        <f>+'FY-10, FEB-10 - JAN-11'!EH35</f>
        <v>0</v>
      </c>
      <c r="EI35" s="4">
        <f>+'FY-10, FEB-10 - JAN-11'!EI35</f>
        <v>6966.04</v>
      </c>
      <c r="EJ35" s="189">
        <f>+'FY-10, FEB-10 - JAN-11'!EJ35</f>
        <v>0</v>
      </c>
      <c r="EK35" s="5">
        <f>+'FY-10, FEB-10 - JAN-11'!EK35</f>
        <v>0</v>
      </c>
      <c r="EL35" s="5">
        <f>+'FY-10, FEB-10 - JAN-11'!EL35</f>
        <v>0</v>
      </c>
      <c r="EM35" s="4">
        <f>+'FY-10, FEB-10 - JAN-11'!EM35</f>
        <v>0</v>
      </c>
      <c r="EN35" s="4">
        <f>+'FY-10, FEB-10 - JAN-11'!EN35</f>
        <v>0</v>
      </c>
      <c r="EO35" s="5">
        <f>+'FY-10, FEB-10 - JAN-11'!EO35</f>
        <v>0</v>
      </c>
      <c r="EP35" s="4">
        <f>+'FY-10, FEB-10 - JAN-11'!EP35</f>
        <v>0</v>
      </c>
      <c r="EQ35" s="4">
        <f>+'FY-10, FEB-10 - JAN-11'!EQ35</f>
        <v>0</v>
      </c>
      <c r="ER35" s="4">
        <f>+'FY-10, FEB-10 - JAN-11'!ER35</f>
        <v>0</v>
      </c>
      <c r="ES35" s="4">
        <f>+'FY-10, FEB-10 - JAN-11'!ES35</f>
        <v>0</v>
      </c>
      <c r="ET35" s="4">
        <f>+'FY-10, FEB-10 - JAN-11'!ET35</f>
        <v>0</v>
      </c>
      <c r="EU35" s="4">
        <f>+'FY-10, FEB-10 - JAN-11'!EU35</f>
        <v>0</v>
      </c>
      <c r="EV35" s="4">
        <f>+'FY-10, FEB-10 - JAN-11'!EV35</f>
        <v>0</v>
      </c>
      <c r="EW35" s="4">
        <f>+'FY-10, FEB-10 - JAN-11'!EW35</f>
        <v>0</v>
      </c>
      <c r="EX35" s="4">
        <f>+'FY-10, FEB-10 - JAN-11'!EX35</f>
        <v>0</v>
      </c>
      <c r="EY35" s="5">
        <f>+'FY-10, FEB-10 - JAN-11'!EY35</f>
        <v>0</v>
      </c>
      <c r="EZ35" s="4">
        <f>+'FY-10, FEB-10 - JAN-11'!EZ35</f>
        <v>0</v>
      </c>
      <c r="FA35" s="4">
        <f>+'FY-10, FEB-10 - JAN-11'!FA35</f>
        <v>0</v>
      </c>
      <c r="FB35" s="4">
        <f>+'FY-10, FEB-10 - JAN-11'!FB35</f>
        <v>0</v>
      </c>
      <c r="FC35" s="4">
        <f>+'FY-10, FEB-10 - JAN-11'!FC35</f>
        <v>0</v>
      </c>
      <c r="FD35" s="4">
        <f>+'FY-10, FEB-10 - JAN-11'!FD35</f>
        <v>0</v>
      </c>
      <c r="FE35" s="4">
        <f>+'FY-10, FEB-10 - JAN-11'!FE35</f>
        <v>0</v>
      </c>
      <c r="FF35" s="189">
        <f>+'FY-10, FEB-10 - JAN-11'!FF35</f>
        <v>11915.7</v>
      </c>
      <c r="FG35" s="4">
        <f>+'FY-10, FEB-10 - JAN-11'!FG35</f>
        <v>0</v>
      </c>
      <c r="FH35" s="5">
        <f>+'FY-10, FEB-10 - JAN-11'!FH35</f>
        <v>0</v>
      </c>
      <c r="FI35" s="4">
        <f>+'FY-10, FEB-10 - JAN-11'!FI35</f>
        <v>0</v>
      </c>
      <c r="FJ35" s="4">
        <f>+'FY-10, FEB-10 - JAN-11'!FJ35</f>
        <v>0</v>
      </c>
      <c r="FK35" s="4">
        <f>+'FY-10, FEB-10 - JAN-11'!FK35</f>
        <v>0</v>
      </c>
      <c r="FL35" s="4">
        <f>+'FY-10, FEB-10 - JAN-11'!FL35</f>
        <v>0</v>
      </c>
      <c r="FM35" s="4">
        <f>+'FY-10, FEB-10 - JAN-11'!FM35</f>
        <v>0</v>
      </c>
      <c r="FN35" s="4">
        <f>+'FY-10, FEB-10 - JAN-11'!FN35</f>
        <v>0</v>
      </c>
      <c r="FO35" s="4">
        <f>+'FY-10, FEB-10 - JAN-11'!FO35</f>
        <v>0</v>
      </c>
      <c r="FP35" s="4">
        <f>+'FY-10, FEB-10 - JAN-11'!FP35</f>
        <v>0</v>
      </c>
      <c r="FQ35" s="4">
        <f>+'FY-10, FEB-10 - JAN-11'!FQ35</f>
        <v>0</v>
      </c>
      <c r="FR35" s="5">
        <f>+'FY-10, FEB-10 - JAN-11'!FR35</f>
        <v>0</v>
      </c>
      <c r="FS35" s="4">
        <f>+'FY-10, FEB-10 - JAN-11'!FS35</f>
        <v>0</v>
      </c>
      <c r="FT35" s="4">
        <f>+'FY-10, FEB-10 - JAN-11'!FT35</f>
        <v>0</v>
      </c>
      <c r="FU35" s="4">
        <f>+'FY-10, FEB-10 - JAN-11'!FU35</f>
        <v>0</v>
      </c>
      <c r="FV35" s="4">
        <f>+'FY-10, FEB-10 - JAN-11'!FV35</f>
        <v>19954.189999999999</v>
      </c>
      <c r="FW35" s="4">
        <f>+'FY-10, FEB-10 - JAN-11'!FW35</f>
        <v>0</v>
      </c>
      <c r="FX35" s="4">
        <f>+'FY-10, FEB-10 - JAN-11'!FX35</f>
        <v>18966.310000000001</v>
      </c>
      <c r="FY35" s="4">
        <f>+'FY-10, FEB-10 - JAN-11'!FY35</f>
        <v>0</v>
      </c>
      <c r="FZ35" s="189">
        <f>+'FY-10, FEB-10 - JAN-11'!FZ35</f>
        <v>0</v>
      </c>
      <c r="GA35" s="5">
        <f>+'FY-10, FEB-10 - JAN-11'!GA35</f>
        <v>0</v>
      </c>
      <c r="GB35" s="4">
        <f>+'FY-10, FEB-10 - JAN-11'!GB35</f>
        <v>0</v>
      </c>
      <c r="GC35" s="4">
        <f>+'FY-10, FEB-10 - JAN-11'!GC35</f>
        <v>0</v>
      </c>
      <c r="GD35" s="4">
        <f>+'FY-10, FEB-10 - JAN-11'!GD35</f>
        <v>0</v>
      </c>
      <c r="GE35" s="4">
        <f>+'FY-10, FEB-10 - JAN-11'!GE35</f>
        <v>0</v>
      </c>
      <c r="GF35" s="4">
        <f>+'FY-10, FEB-10 - JAN-11'!GF35</f>
        <v>0</v>
      </c>
      <c r="GG35" s="4">
        <f>+'FY-10, FEB-10 - JAN-11'!GG35</f>
        <v>0</v>
      </c>
      <c r="GH35" s="4">
        <f>+'FY-10, FEB-10 - JAN-11'!GH35</f>
        <v>0</v>
      </c>
      <c r="GI35" s="4">
        <f>+'FY-10, FEB-10 - JAN-11'!GI35</f>
        <v>0</v>
      </c>
      <c r="GJ35" s="4">
        <f>+'FY-10, FEB-10 - JAN-11'!GJ35</f>
        <v>0</v>
      </c>
      <c r="GK35" s="5">
        <f>+'FY-10, FEB-10 - JAN-11'!GK35</f>
        <v>0</v>
      </c>
      <c r="GL35" s="4">
        <f>+'FY-10, FEB-10 - JAN-11'!GL35</f>
        <v>0</v>
      </c>
      <c r="GM35" s="4">
        <f>+'FY-10, FEB-10 - JAN-11'!GM35</f>
        <v>0</v>
      </c>
      <c r="GN35" s="4">
        <f>+'FY-10, FEB-10 - JAN-11'!GN35</f>
        <v>19996.38</v>
      </c>
      <c r="GO35" s="4">
        <f>+'FY-10, FEB-10 - JAN-11'!GO35</f>
        <v>30000</v>
      </c>
      <c r="GP35" s="4">
        <f>+'FY-10, FEB-10 - JAN-11'!GP35</f>
        <v>0</v>
      </c>
      <c r="GQ35" s="4">
        <f>+'FY-10, FEB-10 - JAN-11'!GQ35</f>
        <v>0</v>
      </c>
      <c r="GR35" s="4">
        <f>+'FY-10, FEB-10 - JAN-11'!GR35</f>
        <v>0</v>
      </c>
      <c r="GS35" s="4">
        <f>+'FY-10, FEB-10 - JAN-11'!GS35</f>
        <v>0</v>
      </c>
      <c r="GT35" s="5">
        <f>+'FY-10, FEB-10 - JAN-11'!GT35</f>
        <v>0</v>
      </c>
      <c r="GU35" s="189">
        <f>+'FY-10, FEB-10 - JAN-11'!GU35</f>
        <v>0</v>
      </c>
      <c r="GV35" s="5">
        <f>+'FY-10, FEB-10 - JAN-11'!GV35</f>
        <v>0</v>
      </c>
      <c r="GW35" s="5">
        <f>+'FY-10, FEB-10 - JAN-11'!GW35</f>
        <v>0</v>
      </c>
      <c r="GX35" s="5">
        <f>+'FY-10, FEB-10 - JAN-11'!GX35</f>
        <v>0</v>
      </c>
      <c r="GY35" s="5">
        <f>+'FY-10, FEB-10 - JAN-11'!GY35</f>
        <v>0</v>
      </c>
      <c r="GZ35" s="5">
        <f>+'FY-10, FEB-10 - JAN-11'!GZ35</f>
        <v>0</v>
      </c>
      <c r="HA35" s="5">
        <f>+'FY-10, FEB-10 - JAN-11'!HA35</f>
        <v>10000</v>
      </c>
      <c r="HB35" s="5">
        <f>+'FY-10, FEB-10 - JAN-11'!HB35</f>
        <v>0</v>
      </c>
      <c r="HC35" s="4">
        <f>+'FY-10, FEB-10 - JAN-11'!HC35</f>
        <v>0</v>
      </c>
      <c r="HD35" s="5">
        <f>+'FY-10, FEB-10 - JAN-11'!HD35</f>
        <v>0</v>
      </c>
      <c r="HE35" s="5">
        <f>+'FY-10, FEB-10 - JAN-11'!HE35</f>
        <v>24793.33</v>
      </c>
      <c r="HF35" s="5">
        <f>+'FY-10, FEB-10 - JAN-11'!HF35</f>
        <v>0</v>
      </c>
      <c r="HG35" s="5">
        <f>+'FY-10, FEB-10 - JAN-11'!HG35</f>
        <v>19703.02</v>
      </c>
      <c r="HH35" s="5">
        <f>+'FY-10, FEB-10 - JAN-11'!HH35</f>
        <v>1786.58</v>
      </c>
      <c r="HI35" s="4">
        <f>+'FY-10, FEB-10 - JAN-11'!HI35</f>
        <v>0</v>
      </c>
      <c r="HJ35" s="4">
        <f>+'FY-10, FEB-10 - JAN-11'!HJ35</f>
        <v>0</v>
      </c>
      <c r="HK35" s="4">
        <f>+'FY-10, FEB-10 - JAN-11'!HK35</f>
        <v>0</v>
      </c>
      <c r="HL35" s="4">
        <f>+'FY-10, FEB-10 - JAN-11'!HL35</f>
        <v>0</v>
      </c>
      <c r="HM35" s="4">
        <f>+'FY-10, FEB-10 - JAN-11'!HM35</f>
        <v>0</v>
      </c>
      <c r="HN35" s="4">
        <f>+'FY-10, FEB-10 - JAN-11'!HN35</f>
        <v>0</v>
      </c>
      <c r="HO35" s="4">
        <f>+'FY-10, FEB-10 - JAN-11'!HO35</f>
        <v>0</v>
      </c>
      <c r="HP35" s="228">
        <f>+'FY-10, FEB-10 - JAN-11'!HP35</f>
        <v>0</v>
      </c>
      <c r="HQ35" s="4">
        <f>+'FY-10, FEB-10 - JAN-11'!HQ35</f>
        <v>0</v>
      </c>
      <c r="HR35" s="4">
        <f>+'FY-10, FEB-10 - JAN-11'!HR35</f>
        <v>0</v>
      </c>
      <c r="HS35" s="5">
        <f>+'FY-10, FEB-10 - JAN-11'!HS35</f>
        <v>0</v>
      </c>
      <c r="HT35" s="4">
        <f>+'FY-10, FEB-10 - JAN-11'!HT35</f>
        <v>0</v>
      </c>
      <c r="HU35" s="4">
        <f>+'FY-10, FEB-10 - JAN-11'!HU35</f>
        <v>0</v>
      </c>
      <c r="HV35" s="4">
        <f>+'FY-10, FEB-10 - JAN-11'!HV35</f>
        <v>0</v>
      </c>
      <c r="HW35" s="5">
        <f>+'FY-10, FEB-10 - JAN-11'!HW35</f>
        <v>0</v>
      </c>
      <c r="HX35" s="4">
        <f>+'FY-10, FEB-10 - JAN-11'!HX35</f>
        <v>0</v>
      </c>
      <c r="HY35" s="4">
        <f>+'FY-10, FEB-10 - JAN-11'!HY35</f>
        <v>0</v>
      </c>
      <c r="HZ35" s="4">
        <f>+'FY-10, FEB-10 - JAN-11'!HZ35</f>
        <v>0</v>
      </c>
      <c r="IA35" s="4">
        <f>+'FY-10, FEB-10 - JAN-11'!IA35</f>
        <v>0</v>
      </c>
      <c r="IB35" s="4">
        <f>+'FY-10, FEB-10 - JAN-11'!IB35</f>
        <v>0</v>
      </c>
      <c r="IC35" s="4">
        <f>+'FY-10, FEB-10 - JAN-11'!IC35</f>
        <v>0</v>
      </c>
      <c r="ID35" s="4">
        <f>+'FY-10, FEB-10 - JAN-11'!ID35</f>
        <v>0</v>
      </c>
      <c r="IE35" s="4">
        <f>+'FY-10, FEB-10 - JAN-11'!IE35</f>
        <v>0</v>
      </c>
      <c r="IF35" s="4">
        <f>+'FY-10, FEB-10 - JAN-11'!IF35</f>
        <v>0</v>
      </c>
      <c r="IG35" s="5">
        <f>+'FY-10, FEB-10 - JAN-11'!IG35</f>
        <v>1725.48</v>
      </c>
      <c r="IH35" s="4">
        <f>+'FY-10, FEB-10 - JAN-11'!IH35</f>
        <v>0</v>
      </c>
      <c r="II35" s="4">
        <f>+'FY-10, FEB-10 - JAN-11'!II35</f>
        <v>0</v>
      </c>
      <c r="IJ35" s="4">
        <f>+'FY-10, FEB-10 - JAN-11'!IJ35</f>
        <v>0</v>
      </c>
      <c r="IK35" s="4">
        <f>+'FY-10, FEB-10 - JAN-11'!IK35</f>
        <v>1750</v>
      </c>
      <c r="IL35" s="189">
        <f>+'FY-10, FEB-10 - JAN-11'!IL35</f>
        <v>0</v>
      </c>
      <c r="IM35" s="4">
        <f>+'FY-10, FEB-10 - JAN-11'!IM35</f>
        <v>0</v>
      </c>
      <c r="IN35" s="4">
        <f>+'FY-10, FEB-10 - JAN-11'!IN35</f>
        <v>0</v>
      </c>
      <c r="IO35" s="4">
        <f>+'FY-10, FEB-10 - JAN-11'!IO35</f>
        <v>0</v>
      </c>
      <c r="IP35" s="5">
        <f>+'FY-10, FEB-10 - JAN-11'!IP35</f>
        <v>0</v>
      </c>
      <c r="IQ35" s="4">
        <f>+'FY-10, FEB-10 - JAN-11'!IQ35</f>
        <v>0</v>
      </c>
      <c r="IR35" s="4">
        <f>+'FY-10, FEB-10 - JAN-11'!IR35</f>
        <v>0</v>
      </c>
      <c r="IS35" s="4">
        <f>+'FY-10, FEB-10 - JAN-11'!IS35</f>
        <v>0</v>
      </c>
      <c r="IT35" s="4">
        <f>+'FY-10, FEB-10 - JAN-11'!IT35</f>
        <v>0</v>
      </c>
      <c r="IU35" s="4">
        <f>+'FY-10, FEB-10 - JAN-11'!IU35</f>
        <v>0</v>
      </c>
      <c r="IV35" s="4">
        <f>+'FY-10, FEB-10 - JAN-11'!IV35</f>
        <v>0</v>
      </c>
      <c r="IW35" s="682"/>
      <c r="IX35" s="4">
        <f>+D35*$EJ$77</f>
        <v>0</v>
      </c>
      <c r="IY35" s="4">
        <f t="shared" si="40"/>
        <v>0</v>
      </c>
      <c r="IZ35" s="4">
        <f t="shared" si="41"/>
        <v>0</v>
      </c>
      <c r="JA35" s="4">
        <f t="shared" si="42"/>
        <v>0</v>
      </c>
      <c r="JB35" s="5">
        <f t="shared" si="43"/>
        <v>0</v>
      </c>
      <c r="JC35" s="4">
        <f t="shared" si="44"/>
        <v>1159.51</v>
      </c>
      <c r="JD35" s="4">
        <f t="shared" si="45"/>
        <v>0</v>
      </c>
      <c r="JE35" s="4">
        <f t="shared" ref="JE35:JE48" si="52">+K35</f>
        <v>0</v>
      </c>
      <c r="JF35" s="4">
        <f t="shared" ref="JF35:JG48" si="53">+L35</f>
        <v>0</v>
      </c>
      <c r="JG35" s="4">
        <f t="shared" si="53"/>
        <v>0</v>
      </c>
      <c r="JH35" s="5">
        <f>+N35*$EJ$77</f>
        <v>0</v>
      </c>
      <c r="JI35" s="4">
        <f t="shared" si="49"/>
        <v>300464.03000000003</v>
      </c>
      <c r="JJ35" s="4"/>
      <c r="JK35" s="4">
        <f t="shared" si="50"/>
        <v>600928.06000000006</v>
      </c>
    </row>
    <row r="36" spans="1:271" ht="14.1" customHeight="1">
      <c r="A36" s="4" t="s">
        <v>10</v>
      </c>
      <c r="B36" s="12"/>
      <c r="C36" s="189">
        <v>2719.27</v>
      </c>
      <c r="D36" s="4"/>
      <c r="E36" s="4"/>
      <c r="F36" s="4"/>
      <c r="G36" s="4"/>
      <c r="H36" s="819">
        <v>372453.87</v>
      </c>
      <c r="I36" s="4"/>
      <c r="J36" s="4">
        <v>2390.6799999999998</v>
      </c>
      <c r="K36" s="4"/>
      <c r="L36" s="4"/>
      <c r="M36" s="4"/>
      <c r="N36" s="831">
        <v>6971</v>
      </c>
      <c r="O36" s="815">
        <v>9587906.8499999996</v>
      </c>
      <c r="P36" s="4"/>
      <c r="Q36" s="4"/>
      <c r="R36" s="815">
        <v>943780.28</v>
      </c>
      <c r="S36" s="4">
        <v>4622.95</v>
      </c>
      <c r="T36" s="4"/>
      <c r="U36" s="4"/>
      <c r="V36" s="4">
        <v>39149.71</v>
      </c>
      <c r="W36" s="4"/>
      <c r="X36" s="4">
        <v>12746.2</v>
      </c>
      <c r="Y36" s="4"/>
      <c r="Z36" s="4"/>
      <c r="AA36" s="815">
        <v>419959.79</v>
      </c>
      <c r="AB36" s="4"/>
      <c r="AC36" s="4"/>
      <c r="AD36" s="4"/>
      <c r="AE36" s="4"/>
      <c r="AF36" s="4">
        <v>5907.09</v>
      </c>
      <c r="AG36" s="332"/>
      <c r="AH36" s="813">
        <v>9470588.4499999993</v>
      </c>
      <c r="AI36" s="4"/>
      <c r="AJ36" s="4"/>
      <c r="AK36" s="815">
        <v>420209.47</v>
      </c>
      <c r="AL36" s="4"/>
      <c r="AM36" s="4">
        <v>4507.7</v>
      </c>
      <c r="AN36" s="4"/>
      <c r="AO36" s="577"/>
      <c r="AP36" s="4">
        <v>3318.03</v>
      </c>
      <c r="AQ36" s="4"/>
      <c r="AR36" s="4"/>
      <c r="AS36" s="4">
        <v>2045.6</v>
      </c>
      <c r="AT36" s="4"/>
      <c r="AU36" s="815">
        <v>294581.53000000003</v>
      </c>
      <c r="AV36" s="4"/>
      <c r="AW36" s="4"/>
      <c r="AX36" s="4"/>
      <c r="AY36" s="4">
        <v>3274.47</v>
      </c>
      <c r="AZ36" s="4"/>
      <c r="BA36" s="4"/>
      <c r="BB36" s="4">
        <v>646.97</v>
      </c>
      <c r="BC36" s="4"/>
      <c r="BD36" s="332"/>
      <c r="BE36" s="813">
        <v>10124601.52</v>
      </c>
      <c r="BF36" s="4"/>
      <c r="BH36" s="4"/>
      <c r="BI36" s="4">
        <v>5237.1899999999996</v>
      </c>
      <c r="BJ36" s="4"/>
      <c r="BK36" s="4"/>
      <c r="BL36" s="4">
        <v>18698.099999999999</v>
      </c>
      <c r="BM36" s="4"/>
      <c r="BN36" s="813">
        <v>470325.09</v>
      </c>
      <c r="BO36" s="4"/>
      <c r="BP36" s="4"/>
      <c r="BQ36" s="4"/>
      <c r="BR36" s="4"/>
      <c r="BS36" s="4">
        <v>4443.22</v>
      </c>
      <c r="BT36" s="4"/>
      <c r="BU36" s="4"/>
      <c r="BV36" s="4">
        <v>1288.3699999999999</v>
      </c>
      <c r="BW36" s="4"/>
      <c r="BX36" s="228">
        <v>37.520000000000003</v>
      </c>
      <c r="BY36" s="903">
        <v>10574116.77</v>
      </c>
      <c r="BZ36" s="4"/>
      <c r="CA36" s="4"/>
      <c r="CB36" s="4"/>
      <c r="CC36" s="4">
        <v>15282.02</v>
      </c>
      <c r="CD36" s="4"/>
      <c r="CE36" s="4"/>
      <c r="CF36" s="4">
        <v>5430.11</v>
      </c>
      <c r="CG36" s="4"/>
      <c r="CH36" s="4">
        <v>2692.09</v>
      </c>
      <c r="CI36" s="815">
        <v>436035.58</v>
      </c>
      <c r="CJ36" s="4"/>
      <c r="CK36" s="4"/>
      <c r="CL36" s="4">
        <v>13810</v>
      </c>
      <c r="CM36" s="4"/>
      <c r="CN36" s="4"/>
      <c r="CO36" s="4">
        <v>105.28</v>
      </c>
      <c r="CP36" s="4"/>
      <c r="CQ36" s="815">
        <v>371495.75</v>
      </c>
      <c r="CR36" s="5"/>
      <c r="CS36" s="5"/>
      <c r="CT36" s="189"/>
      <c r="CU36" s="822">
        <v>9462412.8399999999</v>
      </c>
      <c r="CV36" s="4"/>
      <c r="CW36" s="4"/>
      <c r="CX36" s="4"/>
      <c r="CY36" s="4"/>
      <c r="CZ36" s="4"/>
      <c r="DA36" s="4"/>
      <c r="DB36" s="815">
        <v>296901.51</v>
      </c>
      <c r="DC36" s="4">
        <v>50556.6</v>
      </c>
      <c r="DD36" s="819"/>
      <c r="DE36" s="4"/>
      <c r="DF36" s="4"/>
      <c r="DG36" s="4"/>
      <c r="DH36" s="4"/>
      <c r="DI36" s="4"/>
      <c r="DJ36" s="4"/>
      <c r="DK36" s="815">
        <v>257053.99</v>
      </c>
      <c r="DL36" s="4">
        <v>0</v>
      </c>
      <c r="DM36" s="4">
        <f>+'FY-10, FEB-10 - JAN-11'!DM36</f>
        <v>0</v>
      </c>
      <c r="DN36" s="4">
        <f>+'FY-10, FEB-10 - JAN-11'!DN36</f>
        <v>5259.93</v>
      </c>
      <c r="DO36" s="189">
        <f>+'FY-10, FEB-10 - JAN-11'!DO36</f>
        <v>0</v>
      </c>
      <c r="DP36" s="823">
        <f>DO47*$K$104</f>
        <v>9194005.716688022</v>
      </c>
      <c r="DQ36" s="4">
        <f>+'FY-10, FEB-10 - JAN-11'!DQ36</f>
        <v>20369.91</v>
      </c>
      <c r="DR36" s="4">
        <f>+'FY-10, FEB-10 - JAN-11'!DR36</f>
        <v>0</v>
      </c>
      <c r="DS36" s="4">
        <f>+'FY-10, FEB-10 - JAN-11'!DS36</f>
        <v>16670.72</v>
      </c>
      <c r="DT36" s="4">
        <f>+'FY-10, FEB-10 - JAN-11'!DT36</f>
        <v>0</v>
      </c>
      <c r="DU36" s="815">
        <f>DT47*$K$108</f>
        <v>168480.48417607322</v>
      </c>
      <c r="DV36" s="4">
        <v>0</v>
      </c>
      <c r="DW36" s="4">
        <f>+'FY-10, FEB-10 - JAN-11'!DW36</f>
        <v>0</v>
      </c>
      <c r="DX36" s="4">
        <f>+'FY-10, FEB-10 - JAN-11'!DX36</f>
        <v>9372.5300000000007</v>
      </c>
      <c r="DY36" s="4">
        <f>+'FY-10, FEB-10 - JAN-11'!DY36</f>
        <v>0</v>
      </c>
      <c r="DZ36" s="4">
        <f>+'FY-10, FEB-10 - JAN-11'!DZ36</f>
        <v>0</v>
      </c>
      <c r="EA36" s="4">
        <f>+'FY-10, FEB-10 - JAN-11'!EA36</f>
        <v>33432.11</v>
      </c>
      <c r="EB36" s="4">
        <f>+'FY-10, FEB-10 - JAN-11'!EB36</f>
        <v>0</v>
      </c>
      <c r="EC36" s="4">
        <f>+'FY-10, FEB-10 - JAN-11'!EC36</f>
        <v>7037.56</v>
      </c>
      <c r="ED36" s="4">
        <f>+'FY-10, FEB-10 - JAN-11'!ED36</f>
        <v>0</v>
      </c>
      <c r="EE36" s="815">
        <f>ED47*$K$108</f>
        <v>147601.30018982725</v>
      </c>
      <c r="EF36" s="4">
        <f>+'FY-10, FEB-10 - JAN-11'!EF36</f>
        <v>226738.42</v>
      </c>
      <c r="EG36" s="4">
        <f>+'FY-10, FEB-10 - JAN-11'!EG36</f>
        <v>0</v>
      </c>
      <c r="EH36" s="4">
        <f>+'FY-10, FEB-10 - JAN-11'!EH36</f>
        <v>3927.36</v>
      </c>
      <c r="EI36" s="4">
        <f>+'FY-10, FEB-10 - JAN-11'!EI36</f>
        <v>0</v>
      </c>
      <c r="EJ36" s="189">
        <f>+'FY-10, FEB-10 - JAN-11'!EJ36</f>
        <v>0</v>
      </c>
      <c r="EK36" s="823">
        <f>EJ47*$K$104</f>
        <v>8921499.3008913696</v>
      </c>
      <c r="EL36" s="5">
        <f>+'FY-10, FEB-10 - JAN-11'!EL36</f>
        <v>0</v>
      </c>
      <c r="EM36" s="4">
        <f>+'FY-10, FEB-10 - JAN-11'!EM36</f>
        <v>30643.19</v>
      </c>
      <c r="EN36" s="4">
        <f>+'FY-10, FEB-10 - JAN-11'!EN36</f>
        <v>0</v>
      </c>
      <c r="EO36" s="815">
        <f>EN47*$K$108</f>
        <v>156621.02690133755</v>
      </c>
      <c r="EP36" s="4">
        <v>0</v>
      </c>
      <c r="EQ36" s="4">
        <f>+'FY-10, FEB-10 - JAN-11'!EQ36</f>
        <v>0</v>
      </c>
      <c r="ER36" s="4">
        <f>+'FY-10, FEB-10 - JAN-11'!ER36</f>
        <v>0</v>
      </c>
      <c r="ES36" s="4">
        <v>0</v>
      </c>
      <c r="ET36" s="4">
        <v>0</v>
      </c>
      <c r="EU36" s="4">
        <f>+'FY-10, FEB-10 - JAN-11'!EU36</f>
        <v>0</v>
      </c>
      <c r="EV36" s="4">
        <f>+'FY-10, FEB-10 - JAN-11'!EV36</f>
        <v>0</v>
      </c>
      <c r="EW36" s="4">
        <f>+'FY-10, FEB-10 - JAN-11'!EW36</f>
        <v>19612.93</v>
      </c>
      <c r="EX36" s="4">
        <f>+'FY-10, FEB-10 - JAN-11'!EX36</f>
        <v>0</v>
      </c>
      <c r="EY36" s="819">
        <f>EX47*$K$108</f>
        <v>226625.8682964661</v>
      </c>
      <c r="EZ36" s="4">
        <f>+'FY-10, FEB-10 - JAN-11'!EZ36</f>
        <v>353171.08</v>
      </c>
      <c r="FA36" s="4">
        <f>+'FY-10, FEB-10 - JAN-11'!FA36</f>
        <v>0</v>
      </c>
      <c r="FB36" s="4">
        <f>+'FY-10, FEB-10 - JAN-11'!FB36</f>
        <v>3449.6</v>
      </c>
      <c r="FC36" s="4">
        <f>+'FY-10, FEB-10 - JAN-11'!FC36</f>
        <v>0</v>
      </c>
      <c r="FD36" s="4">
        <f>+'FY-10, FEB-10 - JAN-11'!FD36</f>
        <v>3433.69</v>
      </c>
      <c r="FE36" s="4">
        <f>+'FY-10, FEB-10 - JAN-11'!FE36</f>
        <v>0</v>
      </c>
      <c r="FF36" s="189">
        <v>4673.37</v>
      </c>
      <c r="FG36" s="823">
        <f>FF47*$K$104</f>
        <v>8856509.9464581609</v>
      </c>
      <c r="FH36" s="819">
        <f>FG47*$K$108</f>
        <v>240629.24547823649</v>
      </c>
      <c r="FI36" s="4">
        <v>0</v>
      </c>
      <c r="FJ36" s="4">
        <f>+'FY-10, FEB-10 - JAN-11'!FJ36</f>
        <v>0</v>
      </c>
      <c r="FK36" s="4">
        <f>+'FY-10, FEB-10 - JAN-11'!FK36</f>
        <v>27577.03</v>
      </c>
      <c r="FL36" s="4">
        <f>+'FY-10, FEB-10 - JAN-11'!FL36</f>
        <v>0</v>
      </c>
      <c r="FM36" s="4">
        <f>+'FY-10, FEB-10 - JAN-11'!FM36</f>
        <v>0</v>
      </c>
      <c r="FN36" s="4">
        <f>+'FY-10, FEB-10 - JAN-11'!FN36</f>
        <v>53981.01</v>
      </c>
      <c r="FO36" s="4">
        <f>+'FY-10, FEB-10 - JAN-11'!FO36</f>
        <v>0</v>
      </c>
      <c r="FP36" s="4">
        <f>+'FY-10, FEB-10 - JAN-11'!FP36</f>
        <v>5068.75</v>
      </c>
      <c r="FQ36" s="4">
        <f>+'FY-10, FEB-10 - JAN-11'!FQ36</f>
        <v>0</v>
      </c>
      <c r="FR36" s="815">
        <f>FQ47*$K$108</f>
        <v>257579.06022511612</v>
      </c>
      <c r="FS36" s="4">
        <v>0</v>
      </c>
      <c r="FT36" s="4">
        <f>+'FY-10, FEB-10 - JAN-11'!FT36</f>
        <v>0</v>
      </c>
      <c r="FU36" s="4">
        <f>+'FY-10, FEB-10 - JAN-11'!FU36</f>
        <v>4650.3</v>
      </c>
      <c r="FV36" s="4">
        <f>+'FY-10, FEB-10 - JAN-11'!FV36</f>
        <v>0</v>
      </c>
      <c r="FW36" s="4">
        <f>+'FY-10, FEB-10 - JAN-11'!FW36</f>
        <v>0</v>
      </c>
      <c r="FX36" s="4">
        <f>+'FY-10, FEB-10 - JAN-11'!FX36</f>
        <v>1892.37</v>
      </c>
      <c r="FY36" s="4">
        <f>+'FY-10, FEB-10 - JAN-11'!FY36</f>
        <v>0</v>
      </c>
      <c r="FZ36" s="189">
        <v>13920.39</v>
      </c>
      <c r="GA36" s="823">
        <f>+FZ47*K104</f>
        <v>9495019.3143134788</v>
      </c>
      <c r="GB36" s="4">
        <v>0</v>
      </c>
      <c r="GC36" s="4">
        <f>+'FY-10, FEB-10 - JAN-11'!GC36</f>
        <v>826.86</v>
      </c>
      <c r="GD36" s="4">
        <f>+'FY-10, FEB-10 - JAN-11'!GD36</f>
        <v>21414.45</v>
      </c>
      <c r="GE36" s="4">
        <f>+'FY-10, FEB-10 - JAN-11'!GE36</f>
        <v>0</v>
      </c>
      <c r="GF36" s="4">
        <f>+'FY-10, FEB-10 - JAN-11'!GF36</f>
        <v>0</v>
      </c>
      <c r="GG36" s="4">
        <f>+'FY-10, FEB-10 - JAN-11'!GG36</f>
        <v>2699.43</v>
      </c>
      <c r="GH36" s="4">
        <f>+'FY-10, FEB-10 - JAN-11'!GH36</f>
        <v>0</v>
      </c>
      <c r="GI36" s="4">
        <f>+'FY-10, FEB-10 - JAN-11'!GI36</f>
        <v>0</v>
      </c>
      <c r="GJ36" s="4">
        <f>+'FY-10, FEB-10 - JAN-11'!GJ36</f>
        <v>0</v>
      </c>
      <c r="GK36" s="819">
        <f>GJ47*$K$108</f>
        <v>291667.2668852295</v>
      </c>
      <c r="GL36" s="4">
        <f>+'FY-10, FEB-10 - JAN-11'!GL36</f>
        <v>379293.67</v>
      </c>
      <c r="GM36" s="4">
        <f>+'FY-10, FEB-10 - JAN-11'!GM36</f>
        <v>0</v>
      </c>
      <c r="GN36" s="4">
        <f>+'FY-10, FEB-10 - JAN-11'!GN36</f>
        <v>0</v>
      </c>
      <c r="GO36" s="4">
        <f>+'FY-10, FEB-10 - JAN-11'!GO36</f>
        <v>0</v>
      </c>
      <c r="GP36" s="4">
        <f>+'FY-10, FEB-10 - JAN-11'!GP36</f>
        <v>0</v>
      </c>
      <c r="GQ36" s="4">
        <f>+'FY-10, FEB-10 - JAN-11'!GQ36</f>
        <v>5740.81</v>
      </c>
      <c r="GR36" s="4">
        <f>+'FY-10, FEB-10 - JAN-11'!GR36</f>
        <v>0</v>
      </c>
      <c r="GS36" s="4">
        <f>+'FY-10, FEB-10 - JAN-11'!GS36</f>
        <v>0</v>
      </c>
      <c r="GT36" s="894">
        <f>GS47*$K$108</f>
        <v>267000.48905963352</v>
      </c>
      <c r="GU36" s="189">
        <v>0</v>
      </c>
      <c r="GV36" s="823">
        <f>GU47*$K$104</f>
        <v>8946155.582655821</v>
      </c>
      <c r="GW36" s="5">
        <f>+'FY-10, FEB-10 - JAN-11'!GW36</f>
        <v>13526.53</v>
      </c>
      <c r="GX36" s="5">
        <f>+'FY-10, FEB-10 - JAN-11'!GX36</f>
        <v>0</v>
      </c>
      <c r="GY36" s="5">
        <f>+'FY-10, FEB-10 - JAN-11'!GY36</f>
        <v>0</v>
      </c>
      <c r="GZ36" s="5">
        <f>+'FY-10, FEB-10 - JAN-11'!GZ36</f>
        <v>21716.32</v>
      </c>
      <c r="HA36" s="5">
        <f>+'FY-10, FEB-10 - JAN-11'!HA36</f>
        <v>0</v>
      </c>
      <c r="HB36" s="5">
        <f>+'FY-10, FEB-10 - JAN-11'!HB36</f>
        <v>10135.99</v>
      </c>
      <c r="HC36" s="4">
        <f>+'FY-10, FEB-10 - JAN-11'!HC36</f>
        <v>0</v>
      </c>
      <c r="HD36" s="815">
        <f>HC47*$K$108</f>
        <v>276280.40679103782</v>
      </c>
      <c r="HE36" s="5">
        <f>+'FY-10, FEB-10 - JAN-11'!HE36</f>
        <v>0</v>
      </c>
      <c r="HF36" s="5">
        <f>+'FY-10, FEB-10 - JAN-11'!HF36</f>
        <v>6323.47</v>
      </c>
      <c r="HG36" s="5">
        <f>+'FY-10, FEB-10 - JAN-11'!HG36</f>
        <v>0</v>
      </c>
      <c r="HH36" s="5">
        <f>+'FY-10, FEB-10 - JAN-11'!HH36</f>
        <v>0</v>
      </c>
      <c r="HI36" s="4">
        <f>+'FY-10, FEB-10 - JAN-11'!HI36</f>
        <v>0</v>
      </c>
      <c r="HJ36" s="4">
        <f>+'FY-10, FEB-10 - JAN-11'!HJ36</f>
        <v>0</v>
      </c>
      <c r="HK36" s="4">
        <f>+'FY-10, FEB-10 - JAN-11'!HK36</f>
        <v>0</v>
      </c>
      <c r="HL36" s="4">
        <f>+'FY-10, FEB-10 - JAN-11'!HL36</f>
        <v>0</v>
      </c>
      <c r="HM36" s="4">
        <f>+'FY-10, FEB-10 - JAN-11'!HM36</f>
        <v>0</v>
      </c>
      <c r="HN36" s="819">
        <f>HM47*$K$108</f>
        <v>206729.8608347855</v>
      </c>
      <c r="HO36" s="4">
        <f>+'FY-10, FEB-10 - JAN-11'!HO36</f>
        <v>0</v>
      </c>
      <c r="HP36" s="829">
        <v>3156.49</v>
      </c>
      <c r="HQ36" s="823">
        <f>HP47*$K$104</f>
        <v>9507524.76165279</v>
      </c>
      <c r="HR36" s="4">
        <f>+'FY-10, FEB-10 - JAN-11'!HR36</f>
        <v>0</v>
      </c>
      <c r="HS36" s="819">
        <f>+'FY-10, FEB-10 - JAN-11'!HS36</f>
        <v>688992.42</v>
      </c>
      <c r="HT36" s="4">
        <f>+'FY-10, FEB-10 - JAN-11'!HT36</f>
        <v>0</v>
      </c>
      <c r="HU36" s="4">
        <f>+'FY-10, FEB-10 - JAN-11'!HU36</f>
        <v>0</v>
      </c>
      <c r="HV36" s="4">
        <f>+'FY-10, FEB-10 - JAN-11'!HV36</f>
        <v>20103.46</v>
      </c>
      <c r="HW36" s="815">
        <f>(+HU47+HX36)*$K$108</f>
        <v>189136.63870131626</v>
      </c>
      <c r="HX36" s="4">
        <v>0</v>
      </c>
      <c r="HY36" s="4">
        <f>+'FY-10, FEB-10 - JAN-11'!HY36</f>
        <v>0</v>
      </c>
      <c r="HZ36" s="4">
        <f>+'FY-10, FEB-10 - JAN-11'!HZ36</f>
        <v>0</v>
      </c>
      <c r="IA36" s="4">
        <f>+'FY-10, FEB-10 - JAN-11'!IA36</f>
        <v>0</v>
      </c>
      <c r="IB36" s="4">
        <f>+'FY-10, FEB-10 - JAN-11'!IB36</f>
        <v>0</v>
      </c>
      <c r="IC36" s="4">
        <f>+'FY-10, FEB-10 - JAN-11'!IC36</f>
        <v>0</v>
      </c>
      <c r="ID36" s="4">
        <f>+'FY-10, FEB-10 - JAN-11'!ID36</f>
        <v>0</v>
      </c>
      <c r="IE36" s="4">
        <f>+'FY-10, FEB-10 - JAN-11'!IE36</f>
        <v>0</v>
      </c>
      <c r="IF36" s="4">
        <f>+'FY-10, FEB-10 - JAN-11'!IF36</f>
        <v>0</v>
      </c>
      <c r="IG36" s="815">
        <f>IF47*$K$108*0.95</f>
        <v>143330.66057955674</v>
      </c>
      <c r="IH36" s="4">
        <v>0</v>
      </c>
      <c r="II36" s="4">
        <f>+'FY-10, FEB-10 - JAN-11'!II36</f>
        <v>0</v>
      </c>
      <c r="IJ36" s="4">
        <f>+'FY-10, FEB-10 - JAN-11'!IJ36</f>
        <v>0</v>
      </c>
      <c r="IK36" s="4">
        <f>+'FY-10, FEB-10 - JAN-11'!IK36</f>
        <v>0</v>
      </c>
      <c r="IL36" s="189"/>
      <c r="IM36" s="823">
        <f>IL47*$K$104</f>
        <v>8604666.9826374203</v>
      </c>
      <c r="IN36" s="4">
        <v>23195.18</v>
      </c>
      <c r="IO36" s="4">
        <f>+'FY-10, FEB-10 - JAN-11'!IO36</f>
        <v>0</v>
      </c>
      <c r="IP36" s="815">
        <f>IO47*$K$108</f>
        <v>258124.7767583598</v>
      </c>
      <c r="IQ36" s="4">
        <v>0</v>
      </c>
      <c r="IR36" s="4">
        <f>+'FY-10, FEB-10 - JAN-11'!IR36</f>
        <v>0</v>
      </c>
      <c r="IS36" s="4">
        <f>+'FY-10, FEB-10 - JAN-11'!IS36</f>
        <v>5236.88</v>
      </c>
      <c r="IT36" s="4">
        <f>+'FY-10, FEB-10 - JAN-11'!IT36</f>
        <v>32065.53</v>
      </c>
      <c r="IU36" s="4">
        <f>+'FY-10, FEB-10 - JAN-11'!IU36</f>
        <v>0</v>
      </c>
      <c r="IV36" s="4">
        <f>+'FY-10, FEB-10 - JAN-11'!IV36</f>
        <v>2719.27</v>
      </c>
      <c r="IW36" s="682"/>
      <c r="IX36" s="4">
        <f>+D36*$EJ$77</f>
        <v>0</v>
      </c>
      <c r="IY36" s="4">
        <f t="shared" si="40"/>
        <v>0</v>
      </c>
      <c r="IZ36" s="4">
        <f t="shared" si="41"/>
        <v>0</v>
      </c>
      <c r="JA36" s="4">
        <f t="shared" si="42"/>
        <v>0</v>
      </c>
      <c r="JB36" s="815">
        <f>JA47*$K$108</f>
        <v>244096.25954908249</v>
      </c>
      <c r="JC36" s="4">
        <f t="shared" si="44"/>
        <v>0</v>
      </c>
      <c r="JD36" s="4">
        <f t="shared" si="45"/>
        <v>2390.6799999999998</v>
      </c>
      <c r="JE36" s="4">
        <f t="shared" si="52"/>
        <v>0</v>
      </c>
      <c r="JF36" s="4">
        <f t="shared" si="53"/>
        <v>0</v>
      </c>
      <c r="JG36" s="4">
        <f t="shared" si="53"/>
        <v>0</v>
      </c>
      <c r="JH36" s="834">
        <f>+IM36</f>
        <v>8604666.9826374203</v>
      </c>
      <c r="JI36" s="4">
        <f t="shared" si="49"/>
        <v>130993955.81236053</v>
      </c>
      <c r="JJ36" s="4"/>
      <c r="JK36" s="4">
        <f t="shared" si="50"/>
        <v>261990630.89472106</v>
      </c>
    </row>
    <row r="37" spans="1:271" s="38" customFormat="1" ht="14.1" customHeight="1">
      <c r="A37" s="32" t="s">
        <v>25</v>
      </c>
      <c r="B37" s="173"/>
      <c r="C37" s="123"/>
      <c r="D37" s="32">
        <v>49000000</v>
      </c>
      <c r="E37" s="32"/>
      <c r="F37" s="32"/>
      <c r="G37" s="32">
        <v>40000000</v>
      </c>
      <c r="H37" s="437">
        <v>217775.89</v>
      </c>
      <c r="I37" s="32"/>
      <c r="J37" s="32"/>
      <c r="K37" s="32"/>
      <c r="L37" s="32"/>
      <c r="M37" s="32"/>
      <c r="N37" s="123">
        <v>311294.64</v>
      </c>
      <c r="O37" s="35"/>
      <c r="P37" s="32"/>
      <c r="Q37" s="32"/>
      <c r="R37" s="35">
        <v>2178090.9700000002</v>
      </c>
      <c r="S37" s="32"/>
      <c r="T37" s="32"/>
      <c r="U37" s="32"/>
      <c r="V37" s="32"/>
      <c r="W37" s="406">
        <f>1387702.83+11474188.1+487297.64</f>
        <v>13349188.57</v>
      </c>
      <c r="X37" s="32"/>
      <c r="Y37" s="32"/>
      <c r="Z37" s="32"/>
      <c r="AA37" s="437">
        <f>1747571.7+35160.17</f>
        <v>1782731.8699999999</v>
      </c>
      <c r="AB37" s="32"/>
      <c r="AC37" s="32"/>
      <c r="AD37" s="32"/>
      <c r="AE37" s="32"/>
      <c r="AF37" s="32"/>
      <c r="AG37" s="123"/>
      <c r="AH37" s="35"/>
      <c r="AI37" s="32"/>
      <c r="AJ37" s="32"/>
      <c r="AK37" s="35">
        <f>8802.67+144581.76</f>
        <v>153384.43000000002</v>
      </c>
      <c r="AL37" s="32"/>
      <c r="AM37" s="32"/>
      <c r="AN37" s="32"/>
      <c r="AO37" s="570"/>
      <c r="AP37" s="32">
        <f>1362750+9182702.83</f>
        <v>10545452.83</v>
      </c>
      <c r="AQ37" s="32"/>
      <c r="AR37" s="32"/>
      <c r="AS37" s="32"/>
      <c r="AT37" s="32"/>
      <c r="AU37" s="437">
        <f>1416520.47+3085666.99+3215070.68</f>
        <v>7717258.1400000006</v>
      </c>
      <c r="AV37" s="32"/>
      <c r="AW37" s="32"/>
      <c r="AX37" s="32"/>
      <c r="AY37" s="32"/>
      <c r="AZ37" s="406">
        <f>2352381.15+304444.51</f>
        <v>2656825.66</v>
      </c>
      <c r="BA37" s="32"/>
      <c r="BB37" s="32"/>
      <c r="BC37" s="32"/>
      <c r="BD37" s="123"/>
      <c r="BE37" s="35"/>
      <c r="BF37" s="32"/>
      <c r="BG37" s="32"/>
      <c r="BH37" s="32"/>
      <c r="BI37" s="32"/>
      <c r="BJ37" s="32"/>
      <c r="BK37" s="32"/>
      <c r="BL37" s="32"/>
      <c r="BM37" s="32"/>
      <c r="BN37" s="32"/>
      <c r="BO37" s="35"/>
      <c r="BP37" s="32"/>
      <c r="BQ37" s="32"/>
      <c r="BR37" s="32"/>
      <c r="BS37" s="32"/>
      <c r="BT37" s="32"/>
      <c r="BU37" s="32"/>
      <c r="BV37" s="32"/>
      <c r="BW37" s="32"/>
      <c r="BX37" s="241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5"/>
      <c r="CJ37" s="406">
        <v>199694.65</v>
      </c>
      <c r="CK37" s="32">
        <v>10000000</v>
      </c>
      <c r="CL37" s="32"/>
      <c r="CM37" s="32"/>
      <c r="CN37" s="32"/>
      <c r="CO37" s="32"/>
      <c r="CP37" s="32"/>
      <c r="CQ37" s="32"/>
      <c r="CR37" s="35"/>
      <c r="CS37" s="32"/>
      <c r="CT37" s="123"/>
      <c r="CU37" s="35"/>
      <c r="CV37" s="32"/>
      <c r="CW37" s="32"/>
      <c r="CX37" s="32"/>
      <c r="CY37" s="32"/>
      <c r="CZ37" s="32">
        <v>2010989.27</v>
      </c>
      <c r="DA37" s="32"/>
      <c r="DB37" s="35"/>
      <c r="DC37" s="32"/>
      <c r="DD37" s="35"/>
      <c r="DE37" s="32"/>
      <c r="DF37" s="32"/>
      <c r="DG37" s="32"/>
      <c r="DH37" s="32"/>
      <c r="DI37" s="32"/>
      <c r="DJ37" s="32"/>
      <c r="DK37" s="35"/>
      <c r="DL37" s="32">
        <v>0</v>
      </c>
      <c r="DM37" s="32">
        <v>0</v>
      </c>
      <c r="DN37" s="32">
        <v>0</v>
      </c>
      <c r="DO37" s="123">
        <v>0</v>
      </c>
      <c r="DP37" s="35">
        <v>0</v>
      </c>
      <c r="DQ37" s="32">
        <v>0</v>
      </c>
      <c r="DR37" s="32">
        <v>0</v>
      </c>
      <c r="DS37" s="32">
        <v>0</v>
      </c>
      <c r="DT37" s="32">
        <v>0</v>
      </c>
      <c r="DU37" s="35">
        <v>0</v>
      </c>
      <c r="DV37" s="32">
        <v>0</v>
      </c>
      <c r="DW37" s="32">
        <v>0</v>
      </c>
      <c r="DX37" s="32">
        <v>0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5">
        <v>0</v>
      </c>
      <c r="EF37" s="32">
        <v>0</v>
      </c>
      <c r="EG37" s="32">
        <v>0</v>
      </c>
      <c r="EH37" s="32">
        <v>0</v>
      </c>
      <c r="EI37" s="32">
        <v>0</v>
      </c>
      <c r="EJ37" s="123">
        <v>0</v>
      </c>
      <c r="EK37" s="35">
        <v>0</v>
      </c>
      <c r="EL37" s="32">
        <v>0</v>
      </c>
      <c r="EM37" s="32">
        <v>0</v>
      </c>
      <c r="EN37" s="32">
        <v>0</v>
      </c>
      <c r="EO37" s="35">
        <v>0</v>
      </c>
      <c r="EP37" s="32">
        <v>0</v>
      </c>
      <c r="EQ37" s="32">
        <v>0</v>
      </c>
      <c r="ER37" s="32">
        <v>0</v>
      </c>
      <c r="ES37" s="32">
        <v>0</v>
      </c>
      <c r="ET37" s="32">
        <v>0</v>
      </c>
      <c r="EU37" s="32">
        <v>0</v>
      </c>
      <c r="EV37" s="32">
        <v>0</v>
      </c>
      <c r="EW37" s="32">
        <v>0</v>
      </c>
      <c r="EX37" s="32">
        <v>0</v>
      </c>
      <c r="EY37" s="35">
        <v>0</v>
      </c>
      <c r="EZ37" s="32">
        <v>0</v>
      </c>
      <c r="FA37" s="32">
        <v>0</v>
      </c>
      <c r="FB37" s="32">
        <v>0</v>
      </c>
      <c r="FC37" s="32">
        <v>0</v>
      </c>
      <c r="FD37" s="32">
        <v>0</v>
      </c>
      <c r="FE37" s="32">
        <v>0</v>
      </c>
      <c r="FF37" s="123">
        <v>0</v>
      </c>
      <c r="FG37" s="35">
        <v>0</v>
      </c>
      <c r="FH37" s="35">
        <v>0</v>
      </c>
      <c r="FI37" s="32">
        <v>0</v>
      </c>
      <c r="FJ37" s="32">
        <v>0</v>
      </c>
      <c r="FK37" s="32">
        <v>0</v>
      </c>
      <c r="FL37" s="32">
        <v>0</v>
      </c>
      <c r="FM37" s="32">
        <v>0</v>
      </c>
      <c r="FN37" s="32">
        <v>0</v>
      </c>
      <c r="FO37" s="32">
        <v>0</v>
      </c>
      <c r="FP37" s="32">
        <v>0</v>
      </c>
      <c r="FQ37" s="32">
        <v>0</v>
      </c>
      <c r="FR37" s="35">
        <v>0</v>
      </c>
      <c r="FS37" s="32">
        <v>0</v>
      </c>
      <c r="FT37" s="32">
        <v>0</v>
      </c>
      <c r="FU37" s="32">
        <v>0</v>
      </c>
      <c r="FV37" s="32">
        <v>0</v>
      </c>
      <c r="FW37" s="32">
        <v>0</v>
      </c>
      <c r="FX37" s="32">
        <v>0</v>
      </c>
      <c r="FY37" s="32">
        <v>0</v>
      </c>
      <c r="FZ37" s="123">
        <v>0</v>
      </c>
      <c r="GA37" s="35">
        <v>0</v>
      </c>
      <c r="GB37" s="32">
        <v>0</v>
      </c>
      <c r="GC37" s="32">
        <v>0</v>
      </c>
      <c r="GD37" s="32">
        <v>0</v>
      </c>
      <c r="GE37" s="32">
        <v>0</v>
      </c>
      <c r="GF37" s="32">
        <v>0</v>
      </c>
      <c r="GG37" s="32">
        <v>0</v>
      </c>
      <c r="GH37" s="32">
        <v>0</v>
      </c>
      <c r="GI37" s="32">
        <v>0</v>
      </c>
      <c r="GJ37" s="32">
        <v>0</v>
      </c>
      <c r="GK37" s="35">
        <v>0</v>
      </c>
      <c r="GL37" s="32">
        <v>0</v>
      </c>
      <c r="GM37" s="32">
        <v>0</v>
      </c>
      <c r="GN37" s="32">
        <v>0</v>
      </c>
      <c r="GO37" s="32">
        <v>0</v>
      </c>
      <c r="GP37" s="32">
        <v>0</v>
      </c>
      <c r="GQ37" s="32">
        <v>0</v>
      </c>
      <c r="GR37" s="32">
        <v>0</v>
      </c>
      <c r="GS37" s="32">
        <v>0</v>
      </c>
      <c r="GT37" s="35">
        <v>0</v>
      </c>
      <c r="GU37" s="123">
        <v>0</v>
      </c>
      <c r="GV37" s="35">
        <v>0</v>
      </c>
      <c r="GW37" s="32">
        <v>0</v>
      </c>
      <c r="GX37" s="32">
        <v>0</v>
      </c>
      <c r="GY37" s="32">
        <v>0</v>
      </c>
      <c r="GZ37" s="32">
        <v>0</v>
      </c>
      <c r="HA37" s="32">
        <v>0</v>
      </c>
      <c r="HB37" s="32">
        <v>0</v>
      </c>
      <c r="HC37" s="32">
        <v>0</v>
      </c>
      <c r="HD37" s="35">
        <v>0</v>
      </c>
      <c r="HE37" s="32">
        <v>0</v>
      </c>
      <c r="HF37" s="32">
        <v>0</v>
      </c>
      <c r="HG37" s="32">
        <v>0</v>
      </c>
      <c r="HH37" s="32">
        <v>0</v>
      </c>
      <c r="HI37" s="32">
        <v>0</v>
      </c>
      <c r="HJ37" s="32">
        <v>0</v>
      </c>
      <c r="HK37" s="32">
        <v>0</v>
      </c>
      <c r="HL37" s="32">
        <v>0</v>
      </c>
      <c r="HM37" s="32">
        <v>0</v>
      </c>
      <c r="HN37" s="35">
        <v>0</v>
      </c>
      <c r="HO37" s="32">
        <v>0</v>
      </c>
      <c r="HP37" s="241">
        <v>0</v>
      </c>
      <c r="HQ37" s="35">
        <v>0</v>
      </c>
      <c r="HR37" s="32">
        <v>0</v>
      </c>
      <c r="HS37" s="35">
        <v>0</v>
      </c>
      <c r="HT37" s="32">
        <v>0</v>
      </c>
      <c r="HU37" s="32">
        <v>0</v>
      </c>
      <c r="HV37" s="32">
        <v>0</v>
      </c>
      <c r="HW37" s="35">
        <v>0</v>
      </c>
      <c r="HX37" s="32">
        <v>0</v>
      </c>
      <c r="HY37" s="32">
        <v>0</v>
      </c>
      <c r="HZ37" s="32">
        <v>0</v>
      </c>
      <c r="IA37" s="32">
        <v>0</v>
      </c>
      <c r="IB37" s="32">
        <v>0</v>
      </c>
      <c r="IC37" s="32">
        <v>0</v>
      </c>
      <c r="ID37" s="32">
        <v>0</v>
      </c>
      <c r="IE37" s="32">
        <v>0</v>
      </c>
      <c r="IF37" s="32">
        <v>0</v>
      </c>
      <c r="IG37" s="35">
        <v>0</v>
      </c>
      <c r="IH37" s="32">
        <v>0</v>
      </c>
      <c r="II37" s="32">
        <v>0</v>
      </c>
      <c r="IJ37" s="32">
        <v>0</v>
      </c>
      <c r="IK37" s="32">
        <v>0</v>
      </c>
      <c r="IL37" s="123">
        <v>0</v>
      </c>
      <c r="IM37" s="35">
        <v>0</v>
      </c>
      <c r="IN37" s="32">
        <v>0</v>
      </c>
      <c r="IO37" s="32">
        <v>0</v>
      </c>
      <c r="IP37" s="35">
        <v>0</v>
      </c>
      <c r="IQ37" s="32">
        <v>0</v>
      </c>
      <c r="IR37" s="32">
        <v>0</v>
      </c>
      <c r="IS37" s="32">
        <v>0</v>
      </c>
      <c r="IT37" s="32">
        <v>0</v>
      </c>
      <c r="IU37" s="32">
        <v>0</v>
      </c>
      <c r="IV37" s="32">
        <v>0</v>
      </c>
      <c r="IW37" s="682"/>
      <c r="IX37" s="32">
        <v>0</v>
      </c>
      <c r="IY37" s="406">
        <f t="shared" si="40"/>
        <v>0</v>
      </c>
      <c r="IZ37" s="406">
        <f t="shared" si="41"/>
        <v>0</v>
      </c>
      <c r="JA37" s="406">
        <v>0</v>
      </c>
      <c r="JB37" s="437">
        <v>0</v>
      </c>
      <c r="JC37" s="406">
        <f t="shared" si="44"/>
        <v>0</v>
      </c>
      <c r="JD37" s="406">
        <f t="shared" si="45"/>
        <v>0</v>
      </c>
      <c r="JE37" s="406">
        <f t="shared" si="52"/>
        <v>0</v>
      </c>
      <c r="JF37" s="406">
        <f t="shared" si="53"/>
        <v>0</v>
      </c>
      <c r="JG37" s="406">
        <f t="shared" si="53"/>
        <v>0</v>
      </c>
      <c r="JH37" s="35">
        <v>0</v>
      </c>
      <c r="JI37" s="4">
        <f t="shared" si="49"/>
        <v>140122686.92000002</v>
      </c>
      <c r="JJ37" s="32"/>
      <c r="JK37" s="32">
        <f t="shared" si="50"/>
        <v>280245373.84000003</v>
      </c>
    </row>
    <row r="38" spans="1:271" s="38" customFormat="1" ht="14.1" hidden="1" customHeight="1">
      <c r="A38" s="32" t="s">
        <v>86</v>
      </c>
      <c r="B38" s="173"/>
      <c r="C38" s="123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12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123"/>
      <c r="AH38" s="32"/>
      <c r="AI38" s="32"/>
      <c r="AJ38" s="32"/>
      <c r="AK38" s="32"/>
      <c r="AL38" s="32"/>
      <c r="AM38" s="32"/>
      <c r="AN38" s="32"/>
      <c r="AO38" s="570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123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123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123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123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123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123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123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123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123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123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682"/>
      <c r="IX38" s="32"/>
      <c r="IY38" s="406">
        <f t="shared" si="40"/>
        <v>0</v>
      </c>
      <c r="IZ38" s="406">
        <f t="shared" si="41"/>
        <v>0</v>
      </c>
      <c r="JA38" s="406">
        <f t="shared" si="42"/>
        <v>0</v>
      </c>
      <c r="JB38" s="406">
        <f t="shared" si="43"/>
        <v>0</v>
      </c>
      <c r="JC38" s="406">
        <f t="shared" si="44"/>
        <v>0</v>
      </c>
      <c r="JD38" s="406">
        <f t="shared" si="45"/>
        <v>0</v>
      </c>
      <c r="JE38" s="406">
        <f t="shared" si="52"/>
        <v>0</v>
      </c>
      <c r="JF38" s="406">
        <f t="shared" si="53"/>
        <v>0</v>
      </c>
      <c r="JG38" s="406">
        <f t="shared" si="53"/>
        <v>0</v>
      </c>
      <c r="JH38" s="32"/>
      <c r="JI38" s="4">
        <f t="shared" si="49"/>
        <v>0</v>
      </c>
      <c r="JJ38" s="32"/>
      <c r="JK38" s="32">
        <f t="shared" si="50"/>
        <v>0</v>
      </c>
    </row>
    <row r="39" spans="1:271" s="38" customFormat="1" ht="14.1" hidden="1" customHeight="1">
      <c r="A39" s="32" t="s">
        <v>87</v>
      </c>
      <c r="B39" s="32"/>
      <c r="C39" s="123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12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123"/>
      <c r="AH39" s="32"/>
      <c r="AI39" s="32"/>
      <c r="AJ39" s="32"/>
      <c r="AK39" s="32"/>
      <c r="AL39" s="32"/>
      <c r="AM39" s="32"/>
      <c r="AN39" s="32"/>
      <c r="AO39" s="570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123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123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123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123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123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123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123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123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123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123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682"/>
      <c r="IX39" s="32"/>
      <c r="IY39" s="406">
        <f t="shared" si="40"/>
        <v>0</v>
      </c>
      <c r="IZ39" s="406">
        <f t="shared" si="41"/>
        <v>0</v>
      </c>
      <c r="JA39" s="406">
        <f t="shared" si="42"/>
        <v>0</v>
      </c>
      <c r="JB39" s="406">
        <f t="shared" si="43"/>
        <v>0</v>
      </c>
      <c r="JC39" s="406">
        <f t="shared" si="44"/>
        <v>0</v>
      </c>
      <c r="JD39" s="406">
        <f t="shared" si="45"/>
        <v>0</v>
      </c>
      <c r="JE39" s="406">
        <f t="shared" si="52"/>
        <v>0</v>
      </c>
      <c r="JF39" s="406">
        <f t="shared" si="53"/>
        <v>0</v>
      </c>
      <c r="JG39" s="406">
        <f t="shared" si="53"/>
        <v>0</v>
      </c>
      <c r="JH39" s="32"/>
      <c r="JI39" s="4">
        <f t="shared" si="49"/>
        <v>0</v>
      </c>
      <c r="JJ39" s="32"/>
      <c r="JK39" s="32">
        <f t="shared" si="50"/>
        <v>0</v>
      </c>
    </row>
    <row r="40" spans="1:271" s="38" customFormat="1" ht="14.1" customHeight="1">
      <c r="A40" s="32" t="s">
        <v>55</v>
      </c>
      <c r="B40" s="32"/>
      <c r="C40" s="123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123"/>
      <c r="O40" s="32"/>
      <c r="P40" s="32"/>
      <c r="Q40" s="32"/>
      <c r="R40" s="32">
        <v>1677.54</v>
      </c>
      <c r="S40" s="32"/>
      <c r="T40" s="32"/>
      <c r="U40" s="32">
        <v>3</v>
      </c>
      <c r="V40" s="32"/>
      <c r="W40" s="32"/>
      <c r="X40" s="32"/>
      <c r="Y40" s="32"/>
      <c r="Z40" s="32"/>
      <c r="AA40" s="32">
        <v>3256</v>
      </c>
      <c r="AB40" s="32">
        <v>1032.82</v>
      </c>
      <c r="AC40" s="32"/>
      <c r="AD40" s="32"/>
      <c r="AE40" s="32"/>
      <c r="AF40" s="32"/>
      <c r="AG40" s="123"/>
      <c r="AH40" s="32"/>
      <c r="AI40" s="32"/>
      <c r="AJ40" s="32"/>
      <c r="AK40" s="32"/>
      <c r="AL40" s="32"/>
      <c r="AM40" s="32"/>
      <c r="AN40" s="32"/>
      <c r="AO40" s="570"/>
      <c r="AP40" s="32"/>
      <c r="AQ40" s="32"/>
      <c r="AR40" s="32">
        <v>6</v>
      </c>
      <c r="AS40" s="32"/>
      <c r="AT40" s="32"/>
      <c r="AU40" s="32"/>
      <c r="AV40" s="32"/>
      <c r="AW40" s="32"/>
      <c r="AX40" s="32">
        <v>1677.54</v>
      </c>
      <c r="AY40" s="32"/>
      <c r="AZ40" s="32"/>
      <c r="BA40" s="32">
        <v>16931.66</v>
      </c>
      <c r="BB40" s="32"/>
      <c r="BC40" s="32"/>
      <c r="BD40" s="123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>
        <v>26.9</v>
      </c>
      <c r="BQ40" s="32"/>
      <c r="BR40" s="32"/>
      <c r="BS40" s="32"/>
      <c r="BT40" s="32"/>
      <c r="BU40" s="32">
        <v>3</v>
      </c>
      <c r="BV40" s="32"/>
      <c r="BW40" s="32"/>
      <c r="BX40" s="123"/>
      <c r="BY40" s="32"/>
      <c r="BZ40" s="32"/>
      <c r="CA40" s="32"/>
      <c r="CB40" s="32">
        <v>50</v>
      </c>
      <c r="CC40" s="32">
        <v>9</v>
      </c>
      <c r="CD40" s="32"/>
      <c r="CE40" s="32">
        <v>1245.8</v>
      </c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123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>
        <v>0</v>
      </c>
      <c r="DM40" s="32">
        <v>0</v>
      </c>
      <c r="DN40" s="32">
        <v>0</v>
      </c>
      <c r="DO40" s="123">
        <v>0</v>
      </c>
      <c r="DP40" s="32">
        <v>0</v>
      </c>
      <c r="DQ40" s="32">
        <v>0</v>
      </c>
      <c r="DR40" s="32">
        <v>0</v>
      </c>
      <c r="DS40" s="32">
        <v>0</v>
      </c>
      <c r="DT40" s="32">
        <v>0</v>
      </c>
      <c r="DU40" s="32">
        <v>0</v>
      </c>
      <c r="DV40" s="32">
        <v>0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  <c r="EB40" s="32">
        <v>0</v>
      </c>
      <c r="EC40" s="32">
        <v>0</v>
      </c>
      <c r="ED40" s="32">
        <v>0</v>
      </c>
      <c r="EE40" s="32">
        <v>0</v>
      </c>
      <c r="EF40" s="32">
        <v>0</v>
      </c>
      <c r="EG40" s="32">
        <v>0</v>
      </c>
      <c r="EH40" s="32">
        <v>0</v>
      </c>
      <c r="EI40" s="32">
        <v>0</v>
      </c>
      <c r="EJ40" s="123">
        <v>0</v>
      </c>
      <c r="EK40" s="32">
        <v>0</v>
      </c>
      <c r="EL40" s="32">
        <v>0</v>
      </c>
      <c r="EM40" s="32">
        <v>0</v>
      </c>
      <c r="EN40" s="32">
        <v>0</v>
      </c>
      <c r="EO40" s="32">
        <v>0</v>
      </c>
      <c r="EP40" s="32">
        <v>0</v>
      </c>
      <c r="EQ40" s="32">
        <v>0</v>
      </c>
      <c r="ER40" s="32">
        <v>0</v>
      </c>
      <c r="ES40" s="32">
        <v>0</v>
      </c>
      <c r="ET40" s="32">
        <v>0</v>
      </c>
      <c r="EU40" s="32">
        <v>0</v>
      </c>
      <c r="EV40" s="32">
        <v>0</v>
      </c>
      <c r="EW40" s="32">
        <v>0</v>
      </c>
      <c r="EX40" s="32">
        <v>0</v>
      </c>
      <c r="EY40" s="32">
        <v>0</v>
      </c>
      <c r="EZ40" s="32">
        <v>0</v>
      </c>
      <c r="FA40" s="32">
        <v>0</v>
      </c>
      <c r="FB40" s="32">
        <v>0</v>
      </c>
      <c r="FC40" s="32">
        <v>0</v>
      </c>
      <c r="FD40" s="32">
        <v>0</v>
      </c>
      <c r="FE40" s="32">
        <v>0</v>
      </c>
      <c r="FF40" s="123">
        <v>0</v>
      </c>
      <c r="FG40" s="32">
        <v>0</v>
      </c>
      <c r="FH40" s="32">
        <v>0</v>
      </c>
      <c r="FI40" s="32">
        <v>0</v>
      </c>
      <c r="FJ40" s="32">
        <v>0</v>
      </c>
      <c r="FK40" s="32">
        <v>0</v>
      </c>
      <c r="FL40" s="32">
        <v>0</v>
      </c>
      <c r="FM40" s="32">
        <v>0</v>
      </c>
      <c r="FN40" s="32">
        <v>0</v>
      </c>
      <c r="FO40" s="32">
        <v>0</v>
      </c>
      <c r="FP40" s="32">
        <v>0</v>
      </c>
      <c r="FQ40" s="32">
        <v>0</v>
      </c>
      <c r="FR40" s="32">
        <v>0</v>
      </c>
      <c r="FS40" s="32">
        <v>0</v>
      </c>
      <c r="FT40" s="32">
        <v>0</v>
      </c>
      <c r="FU40" s="32">
        <v>0</v>
      </c>
      <c r="FV40" s="32">
        <v>0</v>
      </c>
      <c r="FW40" s="32">
        <v>0</v>
      </c>
      <c r="FX40" s="32">
        <v>0</v>
      </c>
      <c r="FY40" s="32">
        <v>0</v>
      </c>
      <c r="FZ40" s="123">
        <v>0</v>
      </c>
      <c r="GA40" s="32">
        <v>0</v>
      </c>
      <c r="GB40" s="32">
        <v>0</v>
      </c>
      <c r="GC40" s="32">
        <v>0</v>
      </c>
      <c r="GD40" s="32">
        <v>0</v>
      </c>
      <c r="GE40" s="32">
        <v>0</v>
      </c>
      <c r="GF40" s="32">
        <v>0</v>
      </c>
      <c r="GG40" s="32">
        <v>0</v>
      </c>
      <c r="GH40" s="32">
        <v>0</v>
      </c>
      <c r="GI40" s="32">
        <v>0</v>
      </c>
      <c r="GJ40" s="32">
        <v>0</v>
      </c>
      <c r="GK40" s="32">
        <v>0</v>
      </c>
      <c r="GL40" s="32">
        <v>0</v>
      </c>
      <c r="GM40" s="32">
        <v>0</v>
      </c>
      <c r="GN40" s="32">
        <v>0</v>
      </c>
      <c r="GO40" s="32">
        <v>0</v>
      </c>
      <c r="GP40" s="32">
        <v>0</v>
      </c>
      <c r="GQ40" s="32">
        <v>0</v>
      </c>
      <c r="GR40" s="32">
        <v>0</v>
      </c>
      <c r="GS40" s="32">
        <v>0</v>
      </c>
      <c r="GT40" s="32">
        <v>0</v>
      </c>
      <c r="GU40" s="123">
        <v>0</v>
      </c>
      <c r="GV40" s="32">
        <v>0</v>
      </c>
      <c r="GW40" s="32">
        <v>0</v>
      </c>
      <c r="GX40" s="32">
        <v>0</v>
      </c>
      <c r="GY40" s="32">
        <v>0</v>
      </c>
      <c r="GZ40" s="32">
        <v>0</v>
      </c>
      <c r="HA40" s="32">
        <v>0</v>
      </c>
      <c r="HB40" s="32">
        <v>0</v>
      </c>
      <c r="HC40" s="32">
        <v>0</v>
      </c>
      <c r="HD40" s="32">
        <v>0</v>
      </c>
      <c r="HE40" s="32">
        <v>0</v>
      </c>
      <c r="HF40" s="32">
        <v>0</v>
      </c>
      <c r="HG40" s="32">
        <v>0</v>
      </c>
      <c r="HH40" s="32">
        <v>0</v>
      </c>
      <c r="HI40" s="32">
        <v>0</v>
      </c>
      <c r="HJ40" s="32">
        <v>0</v>
      </c>
      <c r="HK40" s="32">
        <v>0</v>
      </c>
      <c r="HL40" s="32">
        <v>0</v>
      </c>
      <c r="HM40" s="32">
        <v>0</v>
      </c>
      <c r="HN40" s="32">
        <v>0</v>
      </c>
      <c r="HO40" s="32">
        <v>0</v>
      </c>
      <c r="HP40" s="123">
        <v>0</v>
      </c>
      <c r="HQ40" s="32">
        <v>0</v>
      </c>
      <c r="HR40" s="32">
        <v>0</v>
      </c>
      <c r="HS40" s="32">
        <v>0</v>
      </c>
      <c r="HT40" s="32">
        <v>0</v>
      </c>
      <c r="HU40" s="32">
        <v>0</v>
      </c>
      <c r="HV40" s="32">
        <v>0</v>
      </c>
      <c r="HW40" s="32">
        <v>0</v>
      </c>
      <c r="HX40" s="32">
        <v>0</v>
      </c>
      <c r="HY40" s="32">
        <v>0</v>
      </c>
      <c r="HZ40" s="32">
        <v>0</v>
      </c>
      <c r="IA40" s="32">
        <v>0</v>
      </c>
      <c r="IB40" s="32">
        <v>0</v>
      </c>
      <c r="IC40" s="32">
        <v>0</v>
      </c>
      <c r="ID40" s="32">
        <v>0</v>
      </c>
      <c r="IE40" s="32">
        <v>0</v>
      </c>
      <c r="IF40" s="32">
        <v>0</v>
      </c>
      <c r="IG40" s="32">
        <v>0</v>
      </c>
      <c r="IH40" s="32">
        <v>0</v>
      </c>
      <c r="II40" s="32">
        <v>0</v>
      </c>
      <c r="IJ40" s="32">
        <v>0</v>
      </c>
      <c r="IK40" s="32">
        <v>0</v>
      </c>
      <c r="IL40" s="123">
        <v>0</v>
      </c>
      <c r="IM40" s="32">
        <v>0</v>
      </c>
      <c r="IN40" s="32">
        <v>0</v>
      </c>
      <c r="IO40" s="32">
        <v>0</v>
      </c>
      <c r="IP40" s="32">
        <v>0</v>
      </c>
      <c r="IQ40" s="32">
        <v>0</v>
      </c>
      <c r="IR40" s="32">
        <v>0</v>
      </c>
      <c r="IS40" s="32">
        <v>0</v>
      </c>
      <c r="IT40" s="32">
        <v>0</v>
      </c>
      <c r="IU40" s="32">
        <v>0</v>
      </c>
      <c r="IV40" s="32">
        <v>0</v>
      </c>
      <c r="IW40" s="682"/>
      <c r="IX40" s="32">
        <v>0</v>
      </c>
      <c r="IY40" s="406">
        <f t="shared" si="40"/>
        <v>0</v>
      </c>
      <c r="IZ40" s="406">
        <f t="shared" si="41"/>
        <v>0</v>
      </c>
      <c r="JA40" s="406">
        <f t="shared" si="42"/>
        <v>0</v>
      </c>
      <c r="JB40" s="406">
        <f t="shared" si="43"/>
        <v>0</v>
      </c>
      <c r="JC40" s="406">
        <f t="shared" si="44"/>
        <v>0</v>
      </c>
      <c r="JD40" s="406">
        <f t="shared" si="45"/>
        <v>0</v>
      </c>
      <c r="JE40" s="406">
        <f t="shared" si="52"/>
        <v>0</v>
      </c>
      <c r="JF40" s="406">
        <f t="shared" si="53"/>
        <v>0</v>
      </c>
      <c r="JG40" s="406">
        <f t="shared" si="53"/>
        <v>0</v>
      </c>
      <c r="JH40" s="32">
        <v>0</v>
      </c>
      <c r="JI40" s="4">
        <f t="shared" si="49"/>
        <v>25919.26</v>
      </c>
      <c r="JJ40" s="32"/>
      <c r="JK40" s="32">
        <f t="shared" si="50"/>
        <v>51838.52</v>
      </c>
    </row>
    <row r="41" spans="1:271" ht="14.1" customHeight="1">
      <c r="A41" s="4" t="s">
        <v>11</v>
      </c>
      <c r="B41" s="4"/>
      <c r="C41" s="189">
        <v>300156.58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189"/>
      <c r="O41" s="4"/>
      <c r="P41" s="4"/>
      <c r="Q41" s="4"/>
      <c r="R41" s="4"/>
      <c r="S41" s="4"/>
      <c r="T41" s="4"/>
      <c r="U41" s="4"/>
      <c r="V41" s="4"/>
      <c r="W41" s="4"/>
      <c r="X41" s="4"/>
      <c r="Y41" s="58">
        <v>301046.46000000002</v>
      </c>
      <c r="Z41" s="4"/>
      <c r="AA41" s="4"/>
      <c r="AB41" s="4"/>
      <c r="AC41" s="4"/>
      <c r="AD41" s="4"/>
      <c r="AE41" s="4"/>
      <c r="AF41" s="4"/>
      <c r="AG41" s="189"/>
      <c r="AH41" s="4"/>
      <c r="AI41" s="4"/>
      <c r="AJ41" s="4"/>
      <c r="AK41" s="4"/>
      <c r="AL41" s="4"/>
      <c r="AM41" s="4"/>
      <c r="AN41" s="4"/>
      <c r="AO41" s="577"/>
      <c r="AP41" s="4"/>
      <c r="AQ41" s="4"/>
      <c r="AR41" s="4"/>
      <c r="AS41" s="4"/>
      <c r="AT41" s="4"/>
      <c r="AU41" s="58">
        <v>300409.15000000002</v>
      </c>
      <c r="AV41" s="4"/>
      <c r="AW41" s="4"/>
      <c r="AX41" s="4"/>
      <c r="AY41" s="4"/>
      <c r="AZ41" s="4"/>
      <c r="BA41" s="4"/>
      <c r="BB41" s="4"/>
      <c r="BC41" s="4"/>
      <c r="BD41" s="189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>
        <v>303980.06</v>
      </c>
      <c r="BR41" s="4"/>
      <c r="BS41" s="4"/>
      <c r="BT41" s="4"/>
      <c r="BU41" s="4"/>
      <c r="BV41" s="4"/>
      <c r="BW41" s="4"/>
      <c r="BX41" s="189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>
        <v>298929</v>
      </c>
      <c r="CN41" s="4"/>
      <c r="CO41" s="4"/>
      <c r="CP41" s="4"/>
      <c r="CQ41" s="4"/>
      <c r="CR41" s="4"/>
      <c r="CS41" s="4"/>
      <c r="CT41" s="189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>
        <f>+'FY-10, FEB-10 - JAN-11'!DL41</f>
        <v>0</v>
      </c>
      <c r="DM41" s="4">
        <f>+'FY-10, FEB-10 - JAN-11'!DM41</f>
        <v>0</v>
      </c>
      <c r="DN41" s="4">
        <f>+'FY-10, FEB-10 - JAN-11'!DN41</f>
        <v>0</v>
      </c>
      <c r="DO41" s="189">
        <f>+'FY-10, FEB-10 - JAN-11'!DO41</f>
        <v>0</v>
      </c>
      <c r="DP41" s="4">
        <f>+'FY-10, FEB-10 - JAN-11'!DP41</f>
        <v>0</v>
      </c>
      <c r="DQ41" s="4">
        <f>+'FY-10, FEB-10 - JAN-11'!DQ41</f>
        <v>0</v>
      </c>
      <c r="DR41" s="4">
        <f>+'FY-10, FEB-10 - JAN-11'!DR41</f>
        <v>0</v>
      </c>
      <c r="DS41" s="4">
        <f>+'FY-10, FEB-10 - JAN-11'!DS41</f>
        <v>0</v>
      </c>
      <c r="DT41" s="4">
        <f>+'FY-10, FEB-10 - JAN-11'!DT41</f>
        <v>0</v>
      </c>
      <c r="DU41" s="4">
        <f>+'FY-10, FEB-10 - JAN-11'!DU41</f>
        <v>0</v>
      </c>
      <c r="DV41" s="4">
        <f>+'FY-10, FEB-10 - JAN-11'!DV41</f>
        <v>0</v>
      </c>
      <c r="DW41" s="4">
        <f>+'FY-10, FEB-10 - JAN-11'!DW41</f>
        <v>0</v>
      </c>
      <c r="DX41" s="4">
        <f>+'FY-10, FEB-10 - JAN-11'!DX41</f>
        <v>0</v>
      </c>
      <c r="DY41" s="4">
        <f>+'FY-10, FEB-10 - JAN-11'!DY41</f>
        <v>0</v>
      </c>
      <c r="DZ41" s="4">
        <f>+'FY-10, FEB-10 - JAN-11'!DZ41</f>
        <v>0</v>
      </c>
      <c r="EA41" s="4">
        <f>+'FY-10, FEB-10 - JAN-11'!EA41</f>
        <v>0</v>
      </c>
      <c r="EB41" s="4">
        <f>+'FY-10, FEB-10 - JAN-11'!EB41</f>
        <v>523387.19</v>
      </c>
      <c r="EC41" s="4">
        <f>+'FY-10, FEB-10 - JAN-11'!EC41</f>
        <v>0</v>
      </c>
      <c r="ED41" s="4">
        <f>+'FY-10, FEB-10 - JAN-11'!ED41</f>
        <v>0</v>
      </c>
      <c r="EE41" s="4">
        <f>+'FY-10, FEB-10 - JAN-11'!EE41</f>
        <v>0</v>
      </c>
      <c r="EF41" s="4">
        <f>+'FY-10, FEB-10 - JAN-11'!EF41</f>
        <v>0</v>
      </c>
      <c r="EG41" s="4">
        <f>+'FY-10, FEB-10 - JAN-11'!EG41</f>
        <v>0</v>
      </c>
      <c r="EH41" s="4">
        <f>+'FY-10, FEB-10 - JAN-11'!EH41</f>
        <v>0</v>
      </c>
      <c r="EI41" s="4">
        <f>+'FY-10, FEB-10 - JAN-11'!EI41</f>
        <v>0</v>
      </c>
      <c r="EJ41" s="189">
        <f>+'FY-10, FEB-10 - JAN-11'!EJ41</f>
        <v>0</v>
      </c>
      <c r="EK41" s="4">
        <f>+'FY-10, FEB-10 - JAN-11'!EK41</f>
        <v>0</v>
      </c>
      <c r="EL41" s="4">
        <f>+'FY-10, FEB-10 - JAN-11'!EL41</f>
        <v>0</v>
      </c>
      <c r="EM41" s="4">
        <f>+'FY-10, FEB-10 - JAN-11'!EM41</f>
        <v>0</v>
      </c>
      <c r="EN41" s="4">
        <f>+'FY-10, FEB-10 - JAN-11'!EN41</f>
        <v>0</v>
      </c>
      <c r="EO41" s="4">
        <f>+'FY-10, FEB-10 - JAN-11'!EO41</f>
        <v>0</v>
      </c>
      <c r="EP41" s="4">
        <f>+'FY-10, FEB-10 - JAN-11'!EP41</f>
        <v>0</v>
      </c>
      <c r="EQ41" s="4">
        <f>+'FY-10, FEB-10 - JAN-11'!EQ41</f>
        <v>0</v>
      </c>
      <c r="ER41" s="4">
        <f>+'FY-10, FEB-10 - JAN-11'!ER41</f>
        <v>0</v>
      </c>
      <c r="ES41" s="4">
        <f>+'FY-10, FEB-10 - JAN-11'!ES41</f>
        <v>0</v>
      </c>
      <c r="ET41" s="4">
        <f>+'FY-10, FEB-10 - JAN-11'!ET41</f>
        <v>0</v>
      </c>
      <c r="EU41" s="4">
        <f>+'FY-10, FEB-10 - JAN-11'!EU41</f>
        <v>0</v>
      </c>
      <c r="EV41" s="4">
        <f>+'FY-10, FEB-10 - JAN-11'!EV41</f>
        <v>0</v>
      </c>
      <c r="EW41" s="4">
        <f>+'FY-10, FEB-10 - JAN-11'!EW41</f>
        <v>0</v>
      </c>
      <c r="EX41" s="4">
        <f>+'FY-10, FEB-10 - JAN-11'!EX41</f>
        <v>0</v>
      </c>
      <c r="EY41" s="4">
        <f>+'FY-10, FEB-10 - JAN-11'!EY41</f>
        <v>0</v>
      </c>
      <c r="EZ41" s="4">
        <f>+'FY-10, FEB-10 - JAN-11'!EZ41</f>
        <v>259989.82</v>
      </c>
      <c r="FA41" s="4">
        <f>+'FY-10, FEB-10 - JAN-11'!FA41</f>
        <v>0</v>
      </c>
      <c r="FB41" s="4">
        <f>+'FY-10, FEB-10 - JAN-11'!FB41</f>
        <v>0</v>
      </c>
      <c r="FC41" s="4">
        <f>+'FY-10, FEB-10 - JAN-11'!FC41</f>
        <v>0</v>
      </c>
      <c r="FD41" s="4">
        <f>+'FY-10, FEB-10 - JAN-11'!FD41</f>
        <v>0</v>
      </c>
      <c r="FE41" s="4">
        <f>+'FY-10, FEB-10 - JAN-11'!FE41</f>
        <v>0</v>
      </c>
      <c r="FF41" s="189">
        <f>+'FY-10, FEB-10 - JAN-11'!FF41</f>
        <v>0</v>
      </c>
      <c r="FG41" s="4">
        <f>+'FY-10, FEB-10 - JAN-11'!FG41</f>
        <v>0</v>
      </c>
      <c r="FH41" s="4">
        <f>+'FY-10, FEB-10 - JAN-11'!FH41</f>
        <v>0</v>
      </c>
      <c r="FI41" s="4">
        <f>+'FY-10, FEB-10 - JAN-11'!FI41</f>
        <v>0</v>
      </c>
      <c r="FJ41" s="4">
        <f>+'FY-10, FEB-10 - JAN-11'!FJ41</f>
        <v>0</v>
      </c>
      <c r="FK41" s="4">
        <f>+'FY-10, FEB-10 - JAN-11'!FK41</f>
        <v>0</v>
      </c>
      <c r="FL41" s="4">
        <f>+'FY-10, FEB-10 - JAN-11'!FL41</f>
        <v>0</v>
      </c>
      <c r="FM41" s="4">
        <f>+'FY-10, FEB-10 - JAN-11'!FM41</f>
        <v>0</v>
      </c>
      <c r="FN41" s="4">
        <f>+'FY-10, FEB-10 - JAN-11'!FN41</f>
        <v>0</v>
      </c>
      <c r="FO41" s="4">
        <f>+'FY-10, FEB-10 - JAN-11'!FO41</f>
        <v>0</v>
      </c>
      <c r="FP41" s="4">
        <f>+'FY-10, FEB-10 - JAN-11'!FP41</f>
        <v>0</v>
      </c>
      <c r="FQ41" s="4">
        <f>+'FY-10, FEB-10 - JAN-11'!FQ41</f>
        <v>0</v>
      </c>
      <c r="FR41" s="4">
        <f>+'FY-10, FEB-10 - JAN-11'!FR41</f>
        <v>283943.82</v>
      </c>
      <c r="FS41" s="4">
        <f>+'FY-10, FEB-10 - JAN-11'!FS41</f>
        <v>0</v>
      </c>
      <c r="FT41" s="4">
        <f>+'FY-10, FEB-10 - JAN-11'!FT41</f>
        <v>0</v>
      </c>
      <c r="FU41" s="4">
        <f>+'FY-10, FEB-10 - JAN-11'!FU41</f>
        <v>0</v>
      </c>
      <c r="FV41" s="4">
        <f>+'FY-10, FEB-10 - JAN-11'!FV41</f>
        <v>0</v>
      </c>
      <c r="FW41" s="4">
        <f>+'FY-10, FEB-10 - JAN-11'!FW41</f>
        <v>0</v>
      </c>
      <c r="FX41" s="4">
        <f>+'FY-10, FEB-10 - JAN-11'!FX41</f>
        <v>0</v>
      </c>
      <c r="FY41" s="4">
        <f>+'FY-10, FEB-10 - JAN-11'!FY41</f>
        <v>0</v>
      </c>
      <c r="FZ41" s="189">
        <f>+'FY-10, FEB-10 - JAN-11'!FZ41</f>
        <v>0</v>
      </c>
      <c r="GA41" s="4">
        <f>+'FY-10, FEB-10 - JAN-11'!GA41</f>
        <v>0</v>
      </c>
      <c r="GB41" s="4">
        <f>+'FY-10, FEB-10 - JAN-11'!GB41</f>
        <v>0</v>
      </c>
      <c r="GC41" s="4">
        <f>+'FY-10, FEB-10 - JAN-11'!GC41</f>
        <v>0</v>
      </c>
      <c r="GD41" s="4">
        <f>+'FY-10, FEB-10 - JAN-11'!GD41</f>
        <v>0</v>
      </c>
      <c r="GE41" s="4">
        <f>+'FY-10, FEB-10 - JAN-11'!GE41</f>
        <v>0</v>
      </c>
      <c r="GF41" s="4">
        <f>+'FY-10, FEB-10 - JAN-11'!GF41</f>
        <v>0</v>
      </c>
      <c r="GG41" s="4">
        <f>+'FY-10, FEB-10 - JAN-11'!GG41</f>
        <v>0</v>
      </c>
      <c r="GH41" s="4">
        <f>+'FY-10, FEB-10 - JAN-11'!GH41</f>
        <v>0</v>
      </c>
      <c r="GI41" s="4">
        <f>+'FY-10, FEB-10 - JAN-11'!GI41</f>
        <v>0</v>
      </c>
      <c r="GJ41" s="4">
        <f>+'FY-10, FEB-10 - JAN-11'!GJ41</f>
        <v>0</v>
      </c>
      <c r="GK41" s="4">
        <f>+'FY-10, FEB-10 - JAN-11'!GK41</f>
        <v>0</v>
      </c>
      <c r="GL41" s="4">
        <f>+'FY-10, FEB-10 - JAN-11'!GL41</f>
        <v>0</v>
      </c>
      <c r="GM41" s="4">
        <f>+'FY-10, FEB-10 - JAN-11'!GM41</f>
        <v>0</v>
      </c>
      <c r="GN41" s="4">
        <f>+'FY-10, FEB-10 - JAN-11'!GN41</f>
        <v>0</v>
      </c>
      <c r="GO41" s="4">
        <f>+'FY-10, FEB-10 - JAN-11'!GO41</f>
        <v>0</v>
      </c>
      <c r="GP41" s="4">
        <f>+'FY-10, FEB-10 - JAN-11'!GP41</f>
        <v>0</v>
      </c>
      <c r="GQ41" s="4">
        <f>+'FY-10, FEB-10 - JAN-11'!GQ41</f>
        <v>298152.88</v>
      </c>
      <c r="GR41" s="4">
        <f>+'FY-10, FEB-10 - JAN-11'!GR41</f>
        <v>0</v>
      </c>
      <c r="GS41" s="4">
        <f>+'FY-10, FEB-10 - JAN-11'!GS41</f>
        <v>0</v>
      </c>
      <c r="GT41" s="4">
        <f>+'FY-10, FEB-10 - JAN-11'!GT41</f>
        <v>0</v>
      </c>
      <c r="GU41" s="189">
        <f>+'FY-10, FEB-10 - JAN-11'!GU41</f>
        <v>0</v>
      </c>
      <c r="GV41" s="4">
        <f>+'FY-10, FEB-10 - JAN-11'!GV41</f>
        <v>0</v>
      </c>
      <c r="GW41" s="4">
        <f>+'FY-10, FEB-10 - JAN-11'!GW41</f>
        <v>0</v>
      </c>
      <c r="GX41" s="4">
        <f>+'FY-10, FEB-10 - JAN-11'!GX41</f>
        <v>0</v>
      </c>
      <c r="GY41" s="4">
        <f>+'FY-10, FEB-10 - JAN-11'!GY41</f>
        <v>0</v>
      </c>
      <c r="GZ41" s="4">
        <f>+'FY-10, FEB-10 - JAN-11'!GZ41</f>
        <v>0</v>
      </c>
      <c r="HA41" s="4">
        <f>+'FY-10, FEB-10 - JAN-11'!HA41</f>
        <v>0</v>
      </c>
      <c r="HB41" s="4">
        <f>+'FY-10, FEB-10 - JAN-11'!HB41</f>
        <v>0</v>
      </c>
      <c r="HC41" s="4">
        <f>+'FY-10, FEB-10 - JAN-11'!HC41</f>
        <v>0</v>
      </c>
      <c r="HD41" s="4">
        <f>+'FY-10, FEB-10 - JAN-11'!HD41</f>
        <v>0</v>
      </c>
      <c r="HE41" s="4">
        <f>+'FY-10, FEB-10 - JAN-11'!HE41</f>
        <v>0</v>
      </c>
      <c r="HF41" s="4">
        <f>+'FY-10, FEB-10 - JAN-11'!HF41</f>
        <v>0</v>
      </c>
      <c r="HG41" s="4">
        <f>+'FY-10, FEB-10 - JAN-11'!HG41</f>
        <v>298030.21000000002</v>
      </c>
      <c r="HH41" s="4">
        <f>+'FY-10, FEB-10 - JAN-11'!HH41</f>
        <v>0</v>
      </c>
      <c r="HI41" s="4">
        <f>+'FY-10, FEB-10 - JAN-11'!HI41</f>
        <v>0</v>
      </c>
      <c r="HJ41" s="4">
        <f>+'FY-10, FEB-10 - JAN-11'!HJ41</f>
        <v>0</v>
      </c>
      <c r="HK41" s="4">
        <f>+'FY-10, FEB-10 - JAN-11'!HK41</f>
        <v>0</v>
      </c>
      <c r="HL41" s="4">
        <f>+'FY-10, FEB-10 - JAN-11'!HL41</f>
        <v>0</v>
      </c>
      <c r="HM41" s="4">
        <f>+'FY-10, FEB-10 - JAN-11'!HM41</f>
        <v>0</v>
      </c>
      <c r="HN41" s="4">
        <f>+'FY-10, FEB-10 - JAN-11'!HN41</f>
        <v>0</v>
      </c>
      <c r="HO41" s="4">
        <f>+'FY-10, FEB-10 - JAN-11'!HO41</f>
        <v>0</v>
      </c>
      <c r="HP41" s="189">
        <f>+'FY-10, FEB-10 - JAN-11'!HP41</f>
        <v>0</v>
      </c>
      <c r="HQ41" s="4">
        <f>+'FY-10, FEB-10 - JAN-11'!HQ41</f>
        <v>0</v>
      </c>
      <c r="HR41" s="4">
        <f>+'FY-10, FEB-10 - JAN-11'!HR41</f>
        <v>0</v>
      </c>
      <c r="HS41" s="4">
        <f>+'FY-10, FEB-10 - JAN-11'!HS41</f>
        <v>0</v>
      </c>
      <c r="HT41" s="4">
        <f>+'FY-10, FEB-10 - JAN-11'!HT41</f>
        <v>0</v>
      </c>
      <c r="HU41" s="4">
        <f>+'FY-10, FEB-10 - JAN-11'!HU41</f>
        <v>0</v>
      </c>
      <c r="HV41" s="4">
        <f>+'FY-10, FEB-10 - JAN-11'!HV41</f>
        <v>0</v>
      </c>
      <c r="HW41" s="4">
        <f>+'FY-10, FEB-10 - JAN-11'!HW41</f>
        <v>0</v>
      </c>
      <c r="HX41" s="4">
        <f>+'FY-10, FEB-10 - JAN-11'!HX41</f>
        <v>0</v>
      </c>
      <c r="HY41" s="4">
        <f>+'FY-10, FEB-10 - JAN-11'!HY41</f>
        <v>0</v>
      </c>
      <c r="HZ41" s="4">
        <f>+'FY-10, FEB-10 - JAN-11'!HZ41</f>
        <v>0</v>
      </c>
      <c r="IA41" s="4">
        <f>+'FY-10, FEB-10 - JAN-11'!IA41</f>
        <v>0</v>
      </c>
      <c r="IB41" s="4">
        <f>+'FY-10, FEB-10 - JAN-11'!IB41</f>
        <v>0</v>
      </c>
      <c r="IC41" s="4">
        <f>+'FY-10, FEB-10 - JAN-11'!IC41</f>
        <v>0</v>
      </c>
      <c r="ID41" s="4">
        <f>+'FY-10, FEB-10 - JAN-11'!ID41</f>
        <v>0</v>
      </c>
      <c r="IE41" s="4">
        <f>+'FY-10, FEB-10 - JAN-11'!IE41</f>
        <v>0</v>
      </c>
      <c r="IF41" s="4">
        <f>+'FY-10, FEB-10 - JAN-11'!IF41</f>
        <v>0</v>
      </c>
      <c r="IG41" s="4">
        <f>+'FY-10, FEB-10 - JAN-11'!IG41</f>
        <v>299120.89</v>
      </c>
      <c r="IH41" s="4">
        <f>+'FY-10, FEB-10 - JAN-11'!IH41</f>
        <v>0</v>
      </c>
      <c r="II41" s="4">
        <f>+'FY-10, FEB-10 - JAN-11'!II41</f>
        <v>0</v>
      </c>
      <c r="IJ41" s="4">
        <f>+'FY-10, FEB-10 - JAN-11'!IJ41</f>
        <v>0</v>
      </c>
      <c r="IK41" s="4">
        <f>+'FY-10, FEB-10 - JAN-11'!IK41</f>
        <v>0</v>
      </c>
      <c r="IL41" s="189">
        <f>+'FY-10, FEB-10 - JAN-11'!IL41</f>
        <v>0</v>
      </c>
      <c r="IM41" s="4">
        <f>+'FY-10, FEB-10 - JAN-11'!IM41</f>
        <v>0</v>
      </c>
      <c r="IN41" s="4">
        <f>+'FY-10, FEB-10 - JAN-11'!IN41</f>
        <v>0</v>
      </c>
      <c r="IO41" s="4">
        <f>+'FY-10, FEB-10 - JAN-11'!IO41</f>
        <v>0</v>
      </c>
      <c r="IP41" s="4">
        <f>+'FY-10, FEB-10 - JAN-11'!IP41</f>
        <v>0</v>
      </c>
      <c r="IQ41" s="4">
        <f>+'FY-10, FEB-10 - JAN-11'!IQ41</f>
        <v>0</v>
      </c>
      <c r="IR41" s="4">
        <f>+'FY-10, FEB-10 - JAN-11'!IR41</f>
        <v>0</v>
      </c>
      <c r="IS41" s="4">
        <f>+'FY-10, FEB-10 - JAN-11'!IS41</f>
        <v>0</v>
      </c>
      <c r="IT41" s="4">
        <f>+'FY-10, FEB-10 - JAN-11'!IT41</f>
        <v>0</v>
      </c>
      <c r="IU41" s="4">
        <f>+'FY-10, FEB-10 - JAN-11'!IU41</f>
        <v>0</v>
      </c>
      <c r="IV41" s="4">
        <f>+'FY-10, FEB-10 - JAN-11'!IV41</f>
        <v>300156.58</v>
      </c>
      <c r="IW41" s="682"/>
      <c r="IX41" s="4">
        <f t="shared" ref="IX41:IX44" si="54">+D41*$EJ$77</f>
        <v>0</v>
      </c>
      <c r="IY41" s="4">
        <f t="shared" si="40"/>
        <v>0</v>
      </c>
      <c r="IZ41" s="4">
        <f t="shared" si="41"/>
        <v>0</v>
      </c>
      <c r="JA41" s="4">
        <f t="shared" si="42"/>
        <v>0</v>
      </c>
      <c r="JB41" s="4">
        <f t="shared" si="43"/>
        <v>0</v>
      </c>
      <c r="JC41" s="4">
        <f t="shared" si="44"/>
        <v>0</v>
      </c>
      <c r="JD41" s="4">
        <f t="shared" si="45"/>
        <v>0</v>
      </c>
      <c r="JE41" s="4">
        <f t="shared" si="52"/>
        <v>0</v>
      </c>
      <c r="JF41" s="4">
        <f t="shared" si="53"/>
        <v>0</v>
      </c>
      <c r="JG41" s="4">
        <f t="shared" si="53"/>
        <v>0</v>
      </c>
      <c r="JH41" s="4">
        <f t="shared" ref="JH41:JH44" si="55">+N41</f>
        <v>0</v>
      </c>
      <c r="JI41" s="4">
        <f t="shared" si="49"/>
        <v>3467146.06</v>
      </c>
      <c r="JJ41" s="4"/>
      <c r="JK41" s="4">
        <f t="shared" si="50"/>
        <v>7234448.6999999993</v>
      </c>
    </row>
    <row r="42" spans="1:271" ht="14.1" customHeight="1">
      <c r="A42" s="4" t="s">
        <v>52</v>
      </c>
      <c r="B42" s="4"/>
      <c r="C42" s="189">
        <v>212.14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189"/>
      <c r="O42" s="4"/>
      <c r="P42" s="4"/>
      <c r="Q42" s="4"/>
      <c r="R42" s="4"/>
      <c r="S42" s="4"/>
      <c r="T42" s="4">
        <v>18.420000000000002</v>
      </c>
      <c r="U42" s="4">
        <v>12.78</v>
      </c>
      <c r="V42" s="4"/>
      <c r="W42" s="4"/>
      <c r="X42" s="4"/>
      <c r="Y42" s="4"/>
      <c r="Z42" s="4"/>
      <c r="AA42" s="4"/>
      <c r="AB42" s="4">
        <v>170</v>
      </c>
      <c r="AC42" s="4"/>
      <c r="AD42" s="4"/>
      <c r="AE42" s="4"/>
      <c r="AF42" s="4"/>
      <c r="AG42" s="189"/>
      <c r="AH42" s="4"/>
      <c r="AI42" s="4"/>
      <c r="AJ42" s="4"/>
      <c r="AK42" s="4"/>
      <c r="AL42" s="4">
        <v>7.8</v>
      </c>
      <c r="AM42" s="4">
        <v>2847.4</v>
      </c>
      <c r="AN42" s="4"/>
      <c r="AO42" s="577"/>
      <c r="AP42" s="4"/>
      <c r="AQ42" s="4"/>
      <c r="AR42" s="4">
        <v>945.56</v>
      </c>
      <c r="AS42" s="4"/>
      <c r="AT42" s="4"/>
      <c r="AU42" s="4"/>
      <c r="AV42" s="4"/>
      <c r="AW42" s="4"/>
      <c r="AX42" s="4"/>
      <c r="AY42" s="4"/>
      <c r="AZ42" s="4">
        <v>680.3</v>
      </c>
      <c r="BA42" s="4"/>
      <c r="BB42" s="4">
        <v>217</v>
      </c>
      <c r="BC42" s="4">
        <v>1988</v>
      </c>
      <c r="BD42" s="189"/>
      <c r="BE42" s="4"/>
      <c r="BF42" s="4"/>
      <c r="BG42" s="4">
        <v>266</v>
      </c>
      <c r="BH42" s="4"/>
      <c r="BI42" s="4"/>
      <c r="BJ42" s="4"/>
      <c r="BK42" s="4"/>
      <c r="BL42" s="4">
        <v>1172.48</v>
      </c>
      <c r="BM42" s="4"/>
      <c r="BN42" s="4"/>
      <c r="BO42" s="4"/>
      <c r="BP42" s="4"/>
      <c r="BQ42" s="4"/>
      <c r="BR42" s="4">
        <v>1463.84</v>
      </c>
      <c r="BS42" s="4"/>
      <c r="BT42" s="4"/>
      <c r="BU42" s="4"/>
      <c r="BV42" s="4"/>
      <c r="BW42" s="4"/>
      <c r="BX42" s="189"/>
      <c r="BY42" s="4"/>
      <c r="BZ42" s="4"/>
      <c r="CA42" s="4"/>
      <c r="CB42" s="4"/>
      <c r="CC42" s="4"/>
      <c r="CD42" s="4"/>
      <c r="CE42" s="4"/>
      <c r="CF42" s="4">
        <v>92.81</v>
      </c>
      <c r="CG42" s="4"/>
      <c r="CH42" s="4"/>
      <c r="CI42" s="4"/>
      <c r="CJ42" s="4"/>
      <c r="CK42" s="4"/>
      <c r="CL42" s="4"/>
      <c r="CM42" s="4">
        <v>13.3</v>
      </c>
      <c r="CN42" s="4"/>
      <c r="CO42" s="4"/>
      <c r="CP42" s="4"/>
      <c r="CQ42" s="4"/>
      <c r="CR42" s="4"/>
      <c r="CS42" s="4"/>
      <c r="CT42" s="189"/>
      <c r="CU42" s="4">
        <v>68.88</v>
      </c>
      <c r="CV42" s="4"/>
      <c r="CW42" s="4"/>
      <c r="CX42" s="4"/>
      <c r="CY42" s="4">
        <v>26</v>
      </c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>
        <f>+'FY-10, FEB-10 - JAN-11'!DL42</f>
        <v>0</v>
      </c>
      <c r="DM42" s="4">
        <f>+'FY-10, FEB-10 - JAN-11'!DM42</f>
        <v>0</v>
      </c>
      <c r="DN42" s="4">
        <f>+'FY-10, FEB-10 - JAN-11'!DN42</f>
        <v>14099.69</v>
      </c>
      <c r="DO42" s="189">
        <f>+'FY-10, FEB-10 - JAN-11'!DO42</f>
        <v>0</v>
      </c>
      <c r="DP42" s="4">
        <f>+'FY-10, FEB-10 - JAN-11'!DP42</f>
        <v>0</v>
      </c>
      <c r="DQ42" s="4">
        <f>+'FY-10, FEB-10 - JAN-11'!DQ42</f>
        <v>0.3</v>
      </c>
      <c r="DR42" s="4">
        <f>+'FY-10, FEB-10 - JAN-11'!DR42</f>
        <v>152781.38</v>
      </c>
      <c r="DS42" s="4">
        <f>+'FY-10, FEB-10 - JAN-11'!DS42</f>
        <v>0</v>
      </c>
      <c r="DT42" s="4">
        <f>+'FY-10, FEB-10 - JAN-11'!DT42</f>
        <v>1124.8900000000001</v>
      </c>
      <c r="DU42" s="4">
        <f>+'FY-10, FEB-10 - JAN-11'!DU42</f>
        <v>102681.03</v>
      </c>
      <c r="DV42" s="4">
        <f>+'FY-10, FEB-10 - JAN-11'!DV42</f>
        <v>0</v>
      </c>
      <c r="DW42" s="4">
        <f>+'FY-10, FEB-10 - JAN-11'!DW42</f>
        <v>2798.07</v>
      </c>
      <c r="DX42" s="4">
        <f>+'FY-10, FEB-10 - JAN-11'!DX42</f>
        <v>197.5</v>
      </c>
      <c r="DY42" s="4">
        <f>+'FY-10, FEB-10 - JAN-11'!DY42</f>
        <v>0</v>
      </c>
      <c r="DZ42" s="4">
        <f>+'FY-10, FEB-10 - JAN-11'!DZ42</f>
        <v>0</v>
      </c>
      <c r="EA42" s="4">
        <f>+'FY-10, FEB-10 - JAN-11'!EA42</f>
        <v>0</v>
      </c>
      <c r="EB42" s="4">
        <f>+'FY-10, FEB-10 - JAN-11'!EB42</f>
        <v>674.1</v>
      </c>
      <c r="EC42" s="4">
        <f>+'FY-10, FEB-10 - JAN-11'!EC42</f>
        <v>0</v>
      </c>
      <c r="ED42" s="4">
        <f>+'FY-10, FEB-10 - JAN-11'!ED42</f>
        <v>0</v>
      </c>
      <c r="EE42" s="4">
        <f>+'FY-10, FEB-10 - JAN-11'!EE42</f>
        <v>0</v>
      </c>
      <c r="EF42" s="4">
        <f>+'FY-10, FEB-10 - JAN-11'!EF42</f>
        <v>0</v>
      </c>
      <c r="EG42" s="4">
        <f>+'FY-10, FEB-10 - JAN-11'!EG42</f>
        <v>0</v>
      </c>
      <c r="EH42" s="4">
        <f>+'FY-10, FEB-10 - JAN-11'!EH42</f>
        <v>0</v>
      </c>
      <c r="EI42" s="4">
        <f>+'FY-10, FEB-10 - JAN-11'!EI42</f>
        <v>0</v>
      </c>
      <c r="EJ42" s="189">
        <f>+'FY-10, FEB-10 - JAN-11'!EJ42</f>
        <v>0</v>
      </c>
      <c r="EK42" s="4">
        <f>+'FY-10, FEB-10 - JAN-11'!EK42</f>
        <v>0</v>
      </c>
      <c r="EL42" s="4">
        <f>+'FY-10, FEB-10 - JAN-11'!EL42</f>
        <v>0</v>
      </c>
      <c r="EM42" s="4">
        <f>+'FY-10, FEB-10 - JAN-11'!EM42</f>
        <v>0</v>
      </c>
      <c r="EN42" s="4">
        <f>+'FY-10, FEB-10 - JAN-11'!EN42</f>
        <v>0</v>
      </c>
      <c r="EO42" s="4">
        <f>+'FY-10, FEB-10 - JAN-11'!EO42</f>
        <v>344.71</v>
      </c>
      <c r="EP42" s="4">
        <f>+'FY-10, FEB-10 - JAN-11'!EP42</f>
        <v>0</v>
      </c>
      <c r="EQ42" s="4">
        <f>+'FY-10, FEB-10 - JAN-11'!EQ42</f>
        <v>0</v>
      </c>
      <c r="ER42" s="4">
        <f>+'FY-10, FEB-10 - JAN-11'!ER42</f>
        <v>651991.97</v>
      </c>
      <c r="ES42" s="4">
        <f>+'FY-10, FEB-10 - JAN-11'!ES42</f>
        <v>1250</v>
      </c>
      <c r="ET42" s="4">
        <f>+'FY-10, FEB-10 - JAN-11'!ET42</f>
        <v>0</v>
      </c>
      <c r="EU42" s="4">
        <f>+'FY-10, FEB-10 - JAN-11'!EU42</f>
        <v>453</v>
      </c>
      <c r="EV42" s="4">
        <f>+'FY-10, FEB-10 - JAN-11'!EV42</f>
        <v>531</v>
      </c>
      <c r="EW42" s="4">
        <f>+'FY-10, FEB-10 - JAN-11'!EW42</f>
        <v>0</v>
      </c>
      <c r="EX42" s="4">
        <f>+'FY-10, FEB-10 - JAN-11'!EX42</f>
        <v>0</v>
      </c>
      <c r="EY42" s="4">
        <f>+'FY-10, FEB-10 - JAN-11'!EY42</f>
        <v>0</v>
      </c>
      <c r="EZ42" s="4">
        <f>+'FY-10, FEB-10 - JAN-11'!EZ42</f>
        <v>0</v>
      </c>
      <c r="FA42" s="4">
        <f>+'FY-10, FEB-10 - JAN-11'!FA42</f>
        <v>0</v>
      </c>
      <c r="FB42" s="4">
        <f>+'FY-10, FEB-10 - JAN-11'!FB42</f>
        <v>1056.3599999999999</v>
      </c>
      <c r="FC42" s="4">
        <f>+'FY-10, FEB-10 - JAN-11'!FC42</f>
        <v>0</v>
      </c>
      <c r="FD42" s="4">
        <f>+'FY-10, FEB-10 - JAN-11'!FD42</f>
        <v>0</v>
      </c>
      <c r="FE42" s="4">
        <f>+'FY-10, FEB-10 - JAN-11'!FE42</f>
        <v>0</v>
      </c>
      <c r="FF42" s="189">
        <f>+'FY-10, FEB-10 - JAN-11'!FF42</f>
        <v>743.15</v>
      </c>
      <c r="FG42" s="4">
        <f>+'FY-10, FEB-10 - JAN-11'!FG42</f>
        <v>2988.15</v>
      </c>
      <c r="FH42" s="4">
        <f>+'FY-10, FEB-10 - JAN-11'!FH42</f>
        <v>0</v>
      </c>
      <c r="FI42" s="4">
        <f>+'FY-10, FEB-10 - JAN-11'!FI42</f>
        <v>2749.55</v>
      </c>
      <c r="FJ42" s="4">
        <f>+'FY-10, FEB-10 - JAN-11'!FJ42</f>
        <v>0</v>
      </c>
      <c r="FK42" s="4">
        <f>+'FY-10, FEB-10 - JAN-11'!FK42</f>
        <v>132.02000000000001</v>
      </c>
      <c r="FL42" s="4">
        <f>+'FY-10, FEB-10 - JAN-11'!FL42</f>
        <v>0</v>
      </c>
      <c r="FM42" s="4">
        <f>+'FY-10, FEB-10 - JAN-11'!FM42</f>
        <v>8015.61</v>
      </c>
      <c r="FN42" s="4">
        <f>+'FY-10, FEB-10 - JAN-11'!FN42</f>
        <v>0</v>
      </c>
      <c r="FO42" s="4">
        <f>+'FY-10, FEB-10 - JAN-11'!FO42</f>
        <v>0</v>
      </c>
      <c r="FP42" s="4">
        <f>+'FY-10, FEB-10 - JAN-11'!FP42</f>
        <v>0</v>
      </c>
      <c r="FQ42" s="4">
        <f>+'FY-10, FEB-10 - JAN-11'!FQ42</f>
        <v>565.20000000000005</v>
      </c>
      <c r="FR42" s="4">
        <f>+'FY-10, FEB-10 - JAN-11'!FR42</f>
        <v>0</v>
      </c>
      <c r="FS42" s="4">
        <f>+'FY-10, FEB-10 - JAN-11'!FS42</f>
        <v>0</v>
      </c>
      <c r="FT42" s="4">
        <f>+'FY-10, FEB-10 - JAN-11'!FT42</f>
        <v>0</v>
      </c>
      <c r="FU42" s="4">
        <f>+'FY-10, FEB-10 - JAN-11'!FU42</f>
        <v>0</v>
      </c>
      <c r="FV42" s="4">
        <f>+'FY-10, FEB-10 - JAN-11'!FV42</f>
        <v>1561.91</v>
      </c>
      <c r="FW42" s="4">
        <f>+'FY-10, FEB-10 - JAN-11'!FW42</f>
        <v>4133.1499999999996</v>
      </c>
      <c r="FX42" s="4">
        <f>+'FY-10, FEB-10 - JAN-11'!FX42</f>
        <v>0</v>
      </c>
      <c r="FY42" s="4">
        <f>+'FY-10, FEB-10 - JAN-11'!FY42</f>
        <v>0</v>
      </c>
      <c r="FZ42" s="189">
        <f>+'FY-10, FEB-10 - JAN-11'!FZ42</f>
        <v>21.2</v>
      </c>
      <c r="GA42" s="4">
        <f>+'FY-10, FEB-10 - JAN-11'!GA42</f>
        <v>0</v>
      </c>
      <c r="GB42" s="4">
        <f>+'FY-10, FEB-10 - JAN-11'!GB42</f>
        <v>0</v>
      </c>
      <c r="GC42" s="4">
        <f>+'FY-10, FEB-10 - JAN-11'!GC42</f>
        <v>0</v>
      </c>
      <c r="GD42" s="4">
        <f>+'FY-10, FEB-10 - JAN-11'!GD42</f>
        <v>0</v>
      </c>
      <c r="GE42" s="4">
        <f>+'FY-10, FEB-10 - JAN-11'!GE42</f>
        <v>47.34</v>
      </c>
      <c r="GF42" s="4">
        <f>+'FY-10, FEB-10 - JAN-11'!GF42</f>
        <v>0</v>
      </c>
      <c r="GG42" s="4">
        <f>+'FY-10, FEB-10 - JAN-11'!GG42</f>
        <v>0</v>
      </c>
      <c r="GH42" s="4">
        <f>+'FY-10, FEB-10 - JAN-11'!GH42</f>
        <v>2784.28</v>
      </c>
      <c r="GI42" s="4">
        <f>+'FY-10, FEB-10 - JAN-11'!GI42</f>
        <v>784.02</v>
      </c>
      <c r="GJ42" s="4">
        <f>+'FY-10, FEB-10 - JAN-11'!GJ42</f>
        <v>0</v>
      </c>
      <c r="GK42" s="4">
        <f>+'FY-10, FEB-10 - JAN-11'!GK42</f>
        <v>26.89</v>
      </c>
      <c r="GL42" s="4">
        <f>+'FY-10, FEB-10 - JAN-11'!GL42</f>
        <v>0</v>
      </c>
      <c r="GM42" s="4">
        <f>+'FY-10, FEB-10 - JAN-11'!GM42</f>
        <v>0</v>
      </c>
      <c r="GN42" s="4">
        <f>+'FY-10, FEB-10 - JAN-11'!GN42</f>
        <v>0</v>
      </c>
      <c r="GO42" s="4">
        <f>+'FY-10, FEB-10 - JAN-11'!GO42</f>
        <v>0</v>
      </c>
      <c r="GP42" s="4">
        <f>+'FY-10, FEB-10 - JAN-11'!GP42</f>
        <v>0</v>
      </c>
      <c r="GQ42" s="4">
        <f>+'FY-10, FEB-10 - JAN-11'!GQ42</f>
        <v>0</v>
      </c>
      <c r="GR42" s="4">
        <f>+'FY-10, FEB-10 - JAN-11'!GR42</f>
        <v>10486</v>
      </c>
      <c r="GS42" s="4">
        <f>+'FY-10, FEB-10 - JAN-11'!GS42</f>
        <v>0</v>
      </c>
      <c r="GT42" s="4">
        <f>+'FY-10, FEB-10 - JAN-11'!GT42</f>
        <v>0</v>
      </c>
      <c r="GU42" s="189">
        <f>+'FY-10, FEB-10 - JAN-11'!GU42</f>
        <v>2668.69</v>
      </c>
      <c r="GV42" s="4">
        <f>+'FY-10, FEB-10 - JAN-11'!GV42</f>
        <v>38.799999999999997</v>
      </c>
      <c r="GW42" s="4">
        <f>+'FY-10, FEB-10 - JAN-11'!GW42</f>
        <v>0</v>
      </c>
      <c r="GX42" s="4">
        <f>+'FY-10, FEB-10 - JAN-11'!GX42</f>
        <v>49.2</v>
      </c>
      <c r="GY42" s="4">
        <f>+'FY-10, FEB-10 - JAN-11'!GY42</f>
        <v>0</v>
      </c>
      <c r="GZ42" s="4">
        <f>+'FY-10, FEB-10 - JAN-11'!GZ42</f>
        <v>0</v>
      </c>
      <c r="HA42" s="4">
        <f>+'FY-10, FEB-10 - JAN-11'!HA42</f>
        <v>0</v>
      </c>
      <c r="HB42" s="4">
        <f>+'FY-10, FEB-10 - JAN-11'!HB42</f>
        <v>0</v>
      </c>
      <c r="HC42" s="4">
        <f>+'FY-10, FEB-10 - JAN-11'!HC42</f>
        <v>0</v>
      </c>
      <c r="HD42" s="4">
        <f>+'FY-10, FEB-10 - JAN-11'!HD42</f>
        <v>0</v>
      </c>
      <c r="HE42" s="4">
        <f>+'FY-10, FEB-10 - JAN-11'!HE42</f>
        <v>0</v>
      </c>
      <c r="HF42" s="4">
        <f>+'FY-10, FEB-10 - JAN-11'!HF42</f>
        <v>0</v>
      </c>
      <c r="HG42" s="4">
        <f>+'FY-10, FEB-10 - JAN-11'!HG42</f>
        <v>0</v>
      </c>
      <c r="HH42" s="4">
        <f>+'FY-10, FEB-10 - JAN-11'!HH42</f>
        <v>0</v>
      </c>
      <c r="HI42" s="4">
        <f>+'FY-10, FEB-10 - JAN-11'!HI42</f>
        <v>13000</v>
      </c>
      <c r="HJ42" s="4">
        <f>+'FY-10, FEB-10 - JAN-11'!HJ42</f>
        <v>0</v>
      </c>
      <c r="HK42" s="4">
        <f>+'FY-10, FEB-10 - JAN-11'!HK42</f>
        <v>57.6</v>
      </c>
      <c r="HL42" s="4">
        <f>+'FY-10, FEB-10 - JAN-11'!HL42</f>
        <v>0</v>
      </c>
      <c r="HM42" s="4">
        <f>+'FY-10, FEB-10 - JAN-11'!HM42</f>
        <v>0</v>
      </c>
      <c r="HN42" s="4">
        <f>+'FY-10, FEB-10 - JAN-11'!HN42</f>
        <v>0</v>
      </c>
      <c r="HO42" s="4">
        <f>+'FY-10, FEB-10 - JAN-11'!HO42</f>
        <v>137.29</v>
      </c>
      <c r="HP42" s="189">
        <f>+'FY-10, FEB-10 - JAN-11'!HP42</f>
        <v>0</v>
      </c>
      <c r="HQ42" s="4">
        <f>+'FY-10, FEB-10 - JAN-11'!HQ42</f>
        <v>250.75</v>
      </c>
      <c r="HR42" s="4">
        <f>+'FY-10, FEB-10 - JAN-11'!HR42</f>
        <v>0</v>
      </c>
      <c r="HS42" s="4">
        <f>+'FY-10, FEB-10 - JAN-11'!HS42</f>
        <v>0</v>
      </c>
      <c r="HT42" s="4">
        <f>+'FY-10, FEB-10 - JAN-11'!HT42</f>
        <v>0</v>
      </c>
      <c r="HU42" s="4">
        <f>+'FY-10, FEB-10 - JAN-11'!HU42</f>
        <v>0</v>
      </c>
      <c r="HV42" s="4">
        <f>+'FY-10, FEB-10 - JAN-11'!HV42</f>
        <v>0</v>
      </c>
      <c r="HW42" s="4">
        <f>+'FY-10, FEB-10 - JAN-11'!HW42</f>
        <v>0</v>
      </c>
      <c r="HX42" s="4">
        <f>+'FY-10, FEB-10 - JAN-11'!HX42</f>
        <v>0</v>
      </c>
      <c r="HY42" s="4">
        <f>+'FY-10, FEB-10 - JAN-11'!HY42</f>
        <v>0</v>
      </c>
      <c r="HZ42" s="4">
        <f>+'FY-10, FEB-10 - JAN-11'!HZ42</f>
        <v>0</v>
      </c>
      <c r="IA42" s="4">
        <f>+'FY-10, FEB-10 - JAN-11'!IA42</f>
        <v>0</v>
      </c>
      <c r="IB42" s="4">
        <f>+'FY-10, FEB-10 - JAN-11'!IB42</f>
        <v>0</v>
      </c>
      <c r="IC42" s="4">
        <f>+'FY-10, FEB-10 - JAN-11'!IC42</f>
        <v>0</v>
      </c>
      <c r="ID42" s="4">
        <f>+'FY-10, FEB-10 - JAN-11'!ID42</f>
        <v>0</v>
      </c>
      <c r="IE42" s="4">
        <f>+'FY-10, FEB-10 - JAN-11'!IE42</f>
        <v>2896</v>
      </c>
      <c r="IF42" s="4">
        <f>+'FY-10, FEB-10 - JAN-11'!IF42</f>
        <v>0</v>
      </c>
      <c r="IG42" s="4">
        <f>+'FY-10, FEB-10 - JAN-11'!IG42</f>
        <v>0</v>
      </c>
      <c r="IH42" s="4">
        <f>+'FY-10, FEB-10 - JAN-11'!IH42</f>
        <v>0</v>
      </c>
      <c r="II42" s="4">
        <f>+'FY-10, FEB-10 - JAN-11'!II42</f>
        <v>0</v>
      </c>
      <c r="IJ42" s="4">
        <f>+'FY-10, FEB-10 - JAN-11'!IJ42</f>
        <v>0</v>
      </c>
      <c r="IK42" s="4">
        <f>+'FY-10, FEB-10 - JAN-11'!IK42</f>
        <v>0</v>
      </c>
      <c r="IL42" s="189">
        <f>+'FY-10, FEB-10 - JAN-11'!IL42</f>
        <v>0</v>
      </c>
      <c r="IM42" s="4">
        <f>+'FY-10, FEB-10 - JAN-11'!IM42</f>
        <v>0</v>
      </c>
      <c r="IN42" s="4">
        <f>+'FY-10, FEB-10 - JAN-11'!IN42</f>
        <v>14.5</v>
      </c>
      <c r="IO42" s="4">
        <f>+'FY-10, FEB-10 - JAN-11'!IO42</f>
        <v>112.5</v>
      </c>
      <c r="IP42" s="4">
        <f>+'FY-10, FEB-10 - JAN-11'!IP42</f>
        <v>0</v>
      </c>
      <c r="IQ42" s="4">
        <f>+'FY-10, FEB-10 - JAN-11'!IQ42</f>
        <v>1105.7</v>
      </c>
      <c r="IR42" s="4">
        <f>+'FY-10, FEB-10 - JAN-11'!IR42</f>
        <v>0</v>
      </c>
      <c r="IS42" s="4">
        <f>+'FY-10, FEB-10 - JAN-11'!IS42</f>
        <v>0</v>
      </c>
      <c r="IT42" s="4">
        <f>+'FY-10, FEB-10 - JAN-11'!IT42</f>
        <v>88.85</v>
      </c>
      <c r="IU42" s="4">
        <f>+'FY-10, FEB-10 - JAN-11'!IU42</f>
        <v>0</v>
      </c>
      <c r="IV42" s="4">
        <f>+'FY-10, FEB-10 - JAN-11'!IV42</f>
        <v>212.14</v>
      </c>
      <c r="IW42" s="682"/>
      <c r="IX42" s="4">
        <f t="shared" si="54"/>
        <v>0</v>
      </c>
      <c r="IY42" s="4">
        <f t="shared" si="40"/>
        <v>0</v>
      </c>
      <c r="IZ42" s="4">
        <f t="shared" si="41"/>
        <v>0</v>
      </c>
      <c r="JA42" s="4">
        <f t="shared" si="42"/>
        <v>0</v>
      </c>
      <c r="JB42" s="4">
        <f t="shared" si="43"/>
        <v>0</v>
      </c>
      <c r="JC42" s="4">
        <f t="shared" si="44"/>
        <v>0</v>
      </c>
      <c r="JD42" s="4">
        <f t="shared" si="45"/>
        <v>0</v>
      </c>
      <c r="JE42" s="4">
        <f t="shared" si="52"/>
        <v>0</v>
      </c>
      <c r="JF42" s="4">
        <f t="shared" si="53"/>
        <v>0</v>
      </c>
      <c r="JG42" s="4">
        <f t="shared" si="53"/>
        <v>0</v>
      </c>
      <c r="JH42" s="4">
        <f t="shared" si="55"/>
        <v>0</v>
      </c>
      <c r="JI42" s="4">
        <f t="shared" si="49"/>
        <v>995645.05999999994</v>
      </c>
      <c r="JJ42" s="4"/>
      <c r="JK42" s="4">
        <f t="shared" si="50"/>
        <v>1991502.2599999998</v>
      </c>
    </row>
    <row r="43" spans="1:271" ht="14.1" customHeight="1">
      <c r="A43" s="4" t="s">
        <v>137</v>
      </c>
      <c r="B43" s="4"/>
      <c r="C43" s="189">
        <v>71383.23</v>
      </c>
      <c r="D43" s="4">
        <v>40638.39</v>
      </c>
      <c r="E43" s="4">
        <v>121228.84</v>
      </c>
      <c r="F43" s="4">
        <v>52334.93</v>
      </c>
      <c r="G43" s="4">
        <v>660170.39</v>
      </c>
      <c r="H43" s="4">
        <v>63367.97</v>
      </c>
      <c r="I43" s="4">
        <v>48161.919999999998</v>
      </c>
      <c r="J43" s="4">
        <v>57633.97</v>
      </c>
      <c r="K43" s="4">
        <v>38337.910000000003</v>
      </c>
      <c r="L43" s="4">
        <v>723568.58</v>
      </c>
      <c r="M43" s="4">
        <v>22833.79</v>
      </c>
      <c r="N43" s="189">
        <v>43770.09</v>
      </c>
      <c r="O43" s="4">
        <v>16572.45</v>
      </c>
      <c r="P43" s="4">
        <v>713014.56</v>
      </c>
      <c r="Q43" s="4">
        <v>14496.35</v>
      </c>
      <c r="R43" s="4">
        <v>12488.86</v>
      </c>
      <c r="S43" s="4">
        <v>18214.86</v>
      </c>
      <c r="T43" s="4">
        <v>43930.89</v>
      </c>
      <c r="U43" s="4">
        <v>58106.9</v>
      </c>
      <c r="V43" s="4">
        <v>576573.9</v>
      </c>
      <c r="W43" s="4">
        <v>137049.12</v>
      </c>
      <c r="X43" s="4">
        <v>139505.35</v>
      </c>
      <c r="Y43" s="4">
        <v>108221.99</v>
      </c>
      <c r="Z43" s="4">
        <v>93892.04</v>
      </c>
      <c r="AA43" s="4">
        <v>606503.97</v>
      </c>
      <c r="AB43" s="4">
        <v>41316.58</v>
      </c>
      <c r="AC43" s="4">
        <v>45297.79</v>
      </c>
      <c r="AD43" s="4">
        <v>75309.740000000005</v>
      </c>
      <c r="AE43" s="4">
        <v>41824.57</v>
      </c>
      <c r="AF43" s="4">
        <v>813638.12</v>
      </c>
      <c r="AG43" s="189">
        <v>50126.93</v>
      </c>
      <c r="AH43" s="4">
        <v>37384.379999999997</v>
      </c>
      <c r="AI43" s="4">
        <v>29170.36</v>
      </c>
      <c r="AJ43" s="4">
        <v>735288.65</v>
      </c>
      <c r="AK43" s="4">
        <v>6040.89</v>
      </c>
      <c r="AL43" s="4">
        <v>19993.7</v>
      </c>
      <c r="AM43" s="4">
        <v>6720.54</v>
      </c>
      <c r="AN43" s="4">
        <v>8060.14</v>
      </c>
      <c r="AO43" s="577">
        <v>7411.62</v>
      </c>
      <c r="AP43" s="4">
        <v>550509.13</v>
      </c>
      <c r="AQ43" s="4">
        <v>61158.35</v>
      </c>
      <c r="AR43" s="4">
        <v>55928.87</v>
      </c>
      <c r="AS43" s="4">
        <v>27034.22</v>
      </c>
      <c r="AT43" s="4">
        <v>56974.09</v>
      </c>
      <c r="AU43" s="4">
        <v>721131.69</v>
      </c>
      <c r="AV43" s="4">
        <v>59661.14</v>
      </c>
      <c r="AW43" s="4">
        <v>28638.61</v>
      </c>
      <c r="AX43" s="4">
        <v>28271.61</v>
      </c>
      <c r="AY43" s="4">
        <v>15501.9</v>
      </c>
      <c r="AZ43" s="4">
        <v>732222.06</v>
      </c>
      <c r="BA43" s="4">
        <v>30229.37</v>
      </c>
      <c r="BB43" s="4">
        <v>17492.48</v>
      </c>
      <c r="BC43" s="4">
        <v>13946.44</v>
      </c>
      <c r="BD43" s="189">
        <v>9659.7199999999993</v>
      </c>
      <c r="BE43" s="4">
        <v>751491.23</v>
      </c>
      <c r="BF43" s="4">
        <v>12111.61</v>
      </c>
      <c r="BG43" s="4">
        <v>12357.26</v>
      </c>
      <c r="BH43" s="4">
        <v>4875.6899999999996</v>
      </c>
      <c r="BI43" s="4">
        <v>11869.5</v>
      </c>
      <c r="BJ43" s="4">
        <v>3981.6</v>
      </c>
      <c r="BK43" s="4">
        <v>57726.05</v>
      </c>
      <c r="BL43" s="4">
        <v>477198.34</v>
      </c>
      <c r="BM43" s="4">
        <v>42097.53</v>
      </c>
      <c r="BN43" s="4">
        <v>30980.13</v>
      </c>
      <c r="BO43" s="4">
        <v>4994.83</v>
      </c>
      <c r="BP43" s="4">
        <v>108751.23</v>
      </c>
      <c r="BQ43" s="4">
        <v>638581.99</v>
      </c>
      <c r="BR43" s="4">
        <v>11504.52</v>
      </c>
      <c r="BS43" s="4">
        <v>30757.439999999999</v>
      </c>
      <c r="BT43" s="4">
        <v>1558.67</v>
      </c>
      <c r="BU43" s="4">
        <v>3917.98</v>
      </c>
      <c r="BV43" s="4">
        <v>716740.79</v>
      </c>
      <c r="BW43" s="4">
        <v>46541.91</v>
      </c>
      <c r="BX43" s="189">
        <v>11513.71</v>
      </c>
      <c r="BY43" s="4">
        <v>727619.93</v>
      </c>
      <c r="BZ43" s="4">
        <v>12477.14</v>
      </c>
      <c r="CA43" s="4">
        <v>8080.19</v>
      </c>
      <c r="CB43" s="4">
        <v>3346.44</v>
      </c>
      <c r="CC43" s="4">
        <v>8670.39</v>
      </c>
      <c r="CD43" s="4">
        <v>11207.81</v>
      </c>
      <c r="CE43" s="4">
        <v>12456.53</v>
      </c>
      <c r="CF43" s="4">
        <v>7350.73</v>
      </c>
      <c r="CG43" s="4">
        <v>32432.2</v>
      </c>
      <c r="CH43" s="4">
        <v>520174.87</v>
      </c>
      <c r="CI43" s="4">
        <v>103977.48</v>
      </c>
      <c r="CJ43" s="4">
        <v>65282.080000000002</v>
      </c>
      <c r="CK43" s="4">
        <v>38337.01</v>
      </c>
      <c r="CL43" s="4">
        <v>628651.46</v>
      </c>
      <c r="CM43" s="4">
        <v>32085.77</v>
      </c>
      <c r="CN43" s="4">
        <v>12122.51</v>
      </c>
      <c r="CO43" s="4">
        <v>40935.94</v>
      </c>
      <c r="CP43" s="4">
        <v>26337.43</v>
      </c>
      <c r="CQ43" s="4">
        <v>858751.53</v>
      </c>
      <c r="CR43" s="4">
        <v>7396.53</v>
      </c>
      <c r="CS43" s="4">
        <v>3915.26</v>
      </c>
      <c r="CT43" s="189">
        <v>32872.339999999997</v>
      </c>
      <c r="CU43" s="4">
        <v>883564.63</v>
      </c>
      <c r="CV43" s="4">
        <v>4056.76</v>
      </c>
      <c r="CW43" s="4">
        <v>6560.55</v>
      </c>
      <c r="CX43" s="4">
        <v>2241.5</v>
      </c>
      <c r="CY43" s="4">
        <v>21611.59</v>
      </c>
      <c r="CZ43" s="4">
        <v>3710.26</v>
      </c>
      <c r="DA43" s="4">
        <v>3530.19</v>
      </c>
      <c r="DB43" s="4">
        <v>584225.93999999994</v>
      </c>
      <c r="DC43" s="4">
        <v>141193.01999999999</v>
      </c>
      <c r="DD43" s="4">
        <v>53113.64</v>
      </c>
      <c r="DE43" s="4">
        <v>11682.13</v>
      </c>
      <c r="DF43" s="4">
        <v>55617.09</v>
      </c>
      <c r="DG43" s="4">
        <v>765283.53</v>
      </c>
      <c r="DH43" s="4">
        <v>32176.22</v>
      </c>
      <c r="DI43" s="4">
        <v>31353.1</v>
      </c>
      <c r="DJ43" s="4">
        <v>44087.39</v>
      </c>
      <c r="DK43" s="4">
        <v>851880.06</v>
      </c>
      <c r="DL43" s="4">
        <f>+'FY-10, FEB-10 - JAN-11'!DL43</f>
        <v>819061.78</v>
      </c>
      <c r="DM43" s="4">
        <f>+'FY-10, FEB-10 - JAN-11'!DM43</f>
        <v>9617.83</v>
      </c>
      <c r="DN43" s="4">
        <f>+'FY-10, FEB-10 - JAN-11'!DN43</f>
        <v>5298.22</v>
      </c>
      <c r="DO43" s="189">
        <f>+'FY-10, FEB-10 - JAN-11'!DO43</f>
        <v>2202.9299999999998</v>
      </c>
      <c r="DP43" s="4">
        <f>+'FY-10, FEB-10 - JAN-11'!DP43</f>
        <v>828759.72</v>
      </c>
      <c r="DQ43" s="4">
        <f>+'FY-10, FEB-10 - JAN-11'!DQ43</f>
        <v>281098.88</v>
      </c>
      <c r="DR43" s="4">
        <f>+'FY-10, FEB-10 - JAN-11'!DR43</f>
        <v>1218.81</v>
      </c>
      <c r="DS43" s="4">
        <f>+'FY-10, FEB-10 - JAN-11'!DS43</f>
        <v>13079.15</v>
      </c>
      <c r="DT43" s="4">
        <f>+'FY-10, FEB-10 - JAN-11'!DT43</f>
        <v>8137.63</v>
      </c>
      <c r="DU43" s="4">
        <f>+'FY-10, FEB-10 - JAN-11'!DU43</f>
        <v>6513.22</v>
      </c>
      <c r="DV43" s="4">
        <f>+'FY-10, FEB-10 - JAN-11'!DV43</f>
        <v>611116.57999999996</v>
      </c>
      <c r="DW43" s="4">
        <f>+'FY-10, FEB-10 - JAN-11'!DW43</f>
        <v>25351.38</v>
      </c>
      <c r="DX43" s="4">
        <f>+'FY-10, FEB-10 - JAN-11'!DX43</f>
        <v>66813.33</v>
      </c>
      <c r="DY43" s="4">
        <f>+'FY-10, FEB-10 - JAN-11'!DY43</f>
        <v>41307.5</v>
      </c>
      <c r="DZ43" s="4">
        <f>+'FY-10, FEB-10 - JAN-11'!DZ43</f>
        <v>58494.47</v>
      </c>
      <c r="EA43" s="4">
        <f>+'FY-10, FEB-10 - JAN-11'!EA43</f>
        <v>32369</v>
      </c>
      <c r="EB43" s="4">
        <f>+'FY-10, FEB-10 - JAN-11'!EB43</f>
        <v>11825.69</v>
      </c>
      <c r="EC43" s="4">
        <f>+'FY-10, FEB-10 - JAN-11'!EC43</f>
        <v>57084.81</v>
      </c>
      <c r="ED43" s="4">
        <f>+'FY-10, FEB-10 - JAN-11'!ED43</f>
        <v>785457.37</v>
      </c>
      <c r="EE43" s="4">
        <f>+'FY-10, FEB-10 - JAN-11'!EE43</f>
        <v>10721.15</v>
      </c>
      <c r="EF43" s="4">
        <f>+'FY-10, FEB-10 - JAN-11'!EF43</f>
        <v>26696.47</v>
      </c>
      <c r="EG43" s="4">
        <f>+'FY-10, FEB-10 - JAN-11'!EG43</f>
        <v>85275.37</v>
      </c>
      <c r="EH43" s="4">
        <f>+'FY-10, FEB-10 - JAN-11'!EH43</f>
        <v>958655.93</v>
      </c>
      <c r="EI43" s="4">
        <f>+'FY-10, FEB-10 - JAN-11'!EI43</f>
        <v>7040.93</v>
      </c>
      <c r="EJ43" s="189">
        <f>+'FY-10, FEB-10 - JAN-11'!EJ43</f>
        <v>20396.45</v>
      </c>
      <c r="EK43" s="4">
        <f>+'FY-10, FEB-10 - JAN-11'!EK43</f>
        <v>4310.07</v>
      </c>
      <c r="EL43" s="4">
        <f>+'FY-10, FEB-10 - JAN-11'!EL43</f>
        <v>7429.29</v>
      </c>
      <c r="EM43" s="4">
        <f>+'FY-10, FEB-10 - JAN-11'!EM43</f>
        <v>1079879.79</v>
      </c>
      <c r="EN43" s="4">
        <f>+'FY-10, FEB-10 - JAN-11'!EN43</f>
        <v>13145.87</v>
      </c>
      <c r="EO43" s="4">
        <f>+'FY-10, FEB-10 - JAN-11'!EO43</f>
        <v>12412.38</v>
      </c>
      <c r="EP43" s="4">
        <f>+'FY-10, FEB-10 - JAN-11'!EP43</f>
        <v>4198.18</v>
      </c>
      <c r="EQ43" s="4">
        <f>+'FY-10, FEB-10 - JAN-11'!EQ43</f>
        <v>87618.53</v>
      </c>
      <c r="ER43" s="4">
        <f>+'FY-10, FEB-10 - JAN-11'!ER43</f>
        <v>62022</v>
      </c>
      <c r="ES43" s="4">
        <f>+'FY-10, FEB-10 - JAN-11'!ES43</f>
        <v>572583.81999999995</v>
      </c>
      <c r="ET43" s="4">
        <f>+'FY-10, FEB-10 - JAN-11'!ET43</f>
        <v>10421.67</v>
      </c>
      <c r="EU43" s="4">
        <f>+'FY-10, FEB-10 - JAN-11'!EU43</f>
        <v>34430.480000000003</v>
      </c>
      <c r="EV43" s="4">
        <f>+'FY-10, FEB-10 - JAN-11'!EV43</f>
        <v>28871.06</v>
      </c>
      <c r="EW43" s="4">
        <f>+'FY-10, FEB-10 - JAN-11'!EW43</f>
        <v>6165.45</v>
      </c>
      <c r="EX43" s="4">
        <f>+'FY-10, FEB-10 - JAN-11'!EX43</f>
        <v>728992.28</v>
      </c>
      <c r="EY43" s="4">
        <f>+'FY-10, FEB-10 - JAN-11'!EY43</f>
        <v>15829.38</v>
      </c>
      <c r="EZ43" s="4">
        <f>+'FY-10, FEB-10 - JAN-11'!EZ43</f>
        <v>78715.56</v>
      </c>
      <c r="FA43" s="4">
        <f>+'FY-10, FEB-10 - JAN-11'!FA43</f>
        <v>17314.419999999998</v>
      </c>
      <c r="FB43" s="4">
        <f>+'FY-10, FEB-10 - JAN-11'!FB43</f>
        <v>879119.52</v>
      </c>
      <c r="FC43" s="4">
        <f>+'FY-10, FEB-10 - JAN-11'!FC43</f>
        <v>8836.34</v>
      </c>
      <c r="FD43" s="4">
        <f>+'FY-10, FEB-10 - JAN-11'!FD43</f>
        <v>8708.91</v>
      </c>
      <c r="FE43" s="4">
        <f>+'FY-10, FEB-10 - JAN-11'!FE43</f>
        <v>6472.65</v>
      </c>
      <c r="FF43" s="189">
        <f>+'FY-10, FEB-10 - JAN-11'!FF43</f>
        <v>733746.21</v>
      </c>
      <c r="FG43" s="4">
        <f>+'FY-10, FEB-10 - JAN-11'!FG43</f>
        <v>299055.61</v>
      </c>
      <c r="FH43" s="4">
        <f>+'FY-10, FEB-10 - JAN-11'!FH43</f>
        <v>4609.99</v>
      </c>
      <c r="FI43" s="4">
        <f>+'FY-10, FEB-10 - JAN-11'!FI43</f>
        <v>1423.46</v>
      </c>
      <c r="FJ43" s="4">
        <f>+'FY-10, FEB-10 - JAN-11'!FJ43</f>
        <v>2130.42</v>
      </c>
      <c r="FK43" s="4">
        <f>+'FY-10, FEB-10 - JAN-11'!FK43</f>
        <v>717.06</v>
      </c>
      <c r="FL43" s="4">
        <f>+'FY-10, FEB-10 - JAN-11'!FL43</f>
        <v>57103.28</v>
      </c>
      <c r="FM43" s="4">
        <f>+'FY-10, FEB-10 - JAN-11'!FM43</f>
        <v>652369.12</v>
      </c>
      <c r="FN43" s="4">
        <f>+'FY-10, FEB-10 - JAN-11'!FN43</f>
        <v>41837.919999999998</v>
      </c>
      <c r="FO43" s="4">
        <f>+'FY-10, FEB-10 - JAN-11'!FO43</f>
        <v>105133.44</v>
      </c>
      <c r="FP43" s="4">
        <f>+'FY-10, FEB-10 - JAN-11'!FP43</f>
        <v>28978.799999999999</v>
      </c>
      <c r="FQ43" s="4">
        <f>+'FY-10, FEB-10 - JAN-11'!FQ43</f>
        <v>7205.69</v>
      </c>
      <c r="FR43" s="4">
        <f>+'FY-10, FEB-10 - JAN-11'!FR43</f>
        <v>835310.53</v>
      </c>
      <c r="FS43" s="4">
        <f>+'FY-10, FEB-10 - JAN-11'!FS43</f>
        <v>43855.33</v>
      </c>
      <c r="FT43" s="4">
        <f>+'FY-10, FEB-10 - JAN-11'!FT43</f>
        <v>31871.34</v>
      </c>
      <c r="FU43" s="4">
        <f>+'FY-10, FEB-10 - JAN-11'!FU43</f>
        <v>37034.76</v>
      </c>
      <c r="FV43" s="4">
        <f>+'FY-10, FEB-10 - JAN-11'!FV43</f>
        <v>73050.64</v>
      </c>
      <c r="FW43" s="4">
        <f>+'FY-10, FEB-10 - JAN-11'!FW43</f>
        <v>24167.74</v>
      </c>
      <c r="FX43" s="4">
        <f>+'FY-10, FEB-10 - JAN-11'!FX43</f>
        <v>1057808.8400000001</v>
      </c>
      <c r="FY43" s="4">
        <f>+'FY-10, FEB-10 - JAN-11'!FY43</f>
        <v>19147.919999999998</v>
      </c>
      <c r="FZ43" s="189">
        <f>+'FY-10, FEB-10 - JAN-11'!FZ43</f>
        <v>8720.2099999999991</v>
      </c>
      <c r="GA43" s="4">
        <f>+'FY-10, FEB-10 - JAN-11'!GA43</f>
        <v>980312.48</v>
      </c>
      <c r="GB43" s="4">
        <f>+'FY-10, FEB-10 - JAN-11'!GB43</f>
        <v>314996.03999999998</v>
      </c>
      <c r="GC43" s="4">
        <f>+'FY-10, FEB-10 - JAN-11'!GC43</f>
        <v>7790.76</v>
      </c>
      <c r="GD43" s="4">
        <f>+'FY-10, FEB-10 - JAN-11'!GD43</f>
        <v>21024.27</v>
      </c>
      <c r="GE43" s="4">
        <f>+'FY-10, FEB-10 - JAN-11'!GE43</f>
        <v>2122.9699999999998</v>
      </c>
      <c r="GF43" s="4">
        <f>+'FY-10, FEB-10 - JAN-11'!GF43</f>
        <v>22718.41</v>
      </c>
      <c r="GG43" s="4">
        <f>+'FY-10, FEB-10 - JAN-11'!GG43</f>
        <v>797510.8</v>
      </c>
      <c r="GH43" s="4">
        <f>+'FY-10, FEB-10 - JAN-11'!GH43</f>
        <v>61614.25</v>
      </c>
      <c r="GI43" s="4">
        <f>+'FY-10, FEB-10 - JAN-11'!GI43</f>
        <v>64109.440000000002</v>
      </c>
      <c r="GJ43" s="4">
        <f>+'FY-10, FEB-10 - JAN-11'!GJ43</f>
        <v>43885</v>
      </c>
      <c r="GK43" s="4">
        <f>+'FY-10, FEB-10 - JAN-11'!GK43</f>
        <v>14124.26</v>
      </c>
      <c r="GL43" s="4">
        <f>+'FY-10, FEB-10 - JAN-11'!GL43</f>
        <v>1110983.53</v>
      </c>
      <c r="GM43" s="4">
        <f>+'FY-10, FEB-10 - JAN-11'!GM43</f>
        <v>24630.89</v>
      </c>
      <c r="GN43" s="4">
        <f>+'FY-10, FEB-10 - JAN-11'!GN43</f>
        <v>25907.54</v>
      </c>
      <c r="GO43" s="4">
        <f>+'FY-10, FEB-10 - JAN-11'!GO43</f>
        <v>19650.07</v>
      </c>
      <c r="GP43" s="4">
        <f>+'FY-10, FEB-10 - JAN-11'!GP43</f>
        <v>63775.7</v>
      </c>
      <c r="GQ43" s="4">
        <f>+'FY-10, FEB-10 - JAN-11'!GQ43</f>
        <v>1185479.94</v>
      </c>
      <c r="GR43" s="4">
        <f>+'FY-10, FEB-10 - JAN-11'!GR43</f>
        <v>20863.830000000002</v>
      </c>
      <c r="GS43" s="4">
        <f>+'FY-10, FEB-10 - JAN-11'!GS43</f>
        <v>18086.169999999998</v>
      </c>
      <c r="GT43" s="4">
        <f>+'FY-10, FEB-10 - JAN-11'!GT43</f>
        <v>16262.03</v>
      </c>
      <c r="GU43" s="189">
        <f>+'FY-10, FEB-10 - JAN-11'!GU43</f>
        <v>1294143.1499999999</v>
      </c>
      <c r="GV43" s="4">
        <f>+'FY-10, FEB-10 - JAN-11'!GV43</f>
        <v>27686.43</v>
      </c>
      <c r="GW43" s="4">
        <f>+'FY-10, FEB-10 - JAN-11'!GW43</f>
        <v>3157.76</v>
      </c>
      <c r="GX43" s="4">
        <f>+'FY-10, FEB-10 - JAN-11'!GX43</f>
        <v>8450.1299999999992</v>
      </c>
      <c r="GY43" s="4">
        <f>+'FY-10, FEB-10 - JAN-11'!GY43</f>
        <v>14732.48</v>
      </c>
      <c r="GZ43" s="4">
        <f>+'FY-10, FEB-10 - JAN-11'!GZ43</f>
        <v>4523.76</v>
      </c>
      <c r="HA43" s="4">
        <f>+'FY-10, FEB-10 - JAN-11'!HA43</f>
        <v>21717.85</v>
      </c>
      <c r="HB43" s="4">
        <f>+'FY-10, FEB-10 - JAN-11'!HB43</f>
        <v>690466.26</v>
      </c>
      <c r="HC43" s="4">
        <f>+'FY-10, FEB-10 - JAN-11'!HC43</f>
        <v>8229.69</v>
      </c>
      <c r="HD43" s="4">
        <f>+'FY-10, FEB-10 - JAN-11'!HD43</f>
        <v>261332.03</v>
      </c>
      <c r="HE43" s="4">
        <f>+'FY-10, FEB-10 - JAN-11'!HE43</f>
        <v>67229.149999999994</v>
      </c>
      <c r="HF43" s="4">
        <f>+'FY-10, FEB-10 - JAN-11'!HF43</f>
        <v>847672.44</v>
      </c>
      <c r="HG43" s="4">
        <f>+'FY-10, FEB-10 - JAN-11'!HG43</f>
        <v>37615.879999999997</v>
      </c>
      <c r="HH43" s="4">
        <f>+'FY-10, FEB-10 - JAN-11'!HH43</f>
        <v>42862.400000000001</v>
      </c>
      <c r="HI43" s="4">
        <f>+'FY-10, FEB-10 - JAN-11'!HI43</f>
        <v>40002.06</v>
      </c>
      <c r="HJ43" s="4">
        <f>+'FY-10, FEB-10 - JAN-11'!HJ43</f>
        <v>21717.09</v>
      </c>
      <c r="HK43" s="4">
        <f>+'FY-10, FEB-10 - JAN-11'!HK43</f>
        <v>923628.23</v>
      </c>
      <c r="HL43" s="4">
        <f>+'FY-10, FEB-10 - JAN-11'!HL43</f>
        <v>3805.05</v>
      </c>
      <c r="HM43" s="4">
        <f>+'FY-10, FEB-10 - JAN-11'!HM43</f>
        <v>11645.31</v>
      </c>
      <c r="HN43" s="4">
        <f>+'FY-10, FEB-10 - JAN-11'!HN43</f>
        <v>969535</v>
      </c>
      <c r="HO43" s="4">
        <f>+'FY-10, FEB-10 - JAN-11'!HO43</f>
        <v>11903.86</v>
      </c>
      <c r="HP43" s="189">
        <f>+'FY-10, FEB-10 - JAN-11'!HP43</f>
        <v>4911.8999999999996</v>
      </c>
      <c r="HQ43" s="4">
        <f>+'FY-10, FEB-10 - JAN-11'!HQ43</f>
        <v>18166.82</v>
      </c>
      <c r="HR43" s="4">
        <f>+'FY-10, FEB-10 - JAN-11'!HR43</f>
        <v>4578.7700000000004</v>
      </c>
      <c r="HS43" s="4">
        <f>+'FY-10, FEB-10 - JAN-11'!HS43</f>
        <v>11714.5</v>
      </c>
      <c r="HT43" s="4">
        <f>+'FY-10, FEB-10 - JAN-11'!HT43</f>
        <v>10528.66</v>
      </c>
      <c r="HU43" s="4">
        <f>+'FY-10, FEB-10 - JAN-11'!HU43</f>
        <v>21170.74</v>
      </c>
      <c r="HV43" s="4">
        <f>+'FY-10, FEB-10 - JAN-11'!HV43</f>
        <v>26727.46</v>
      </c>
      <c r="HW43" s="4">
        <f>+'FY-10, FEB-10 - JAN-11'!HW43</f>
        <v>0</v>
      </c>
      <c r="HX43" s="4">
        <f>+'FY-10, FEB-10 - JAN-11'!HX43</f>
        <v>636497.47</v>
      </c>
      <c r="HY43" s="4">
        <f>+'FY-10, FEB-10 - JAN-11'!HY43</f>
        <v>41217.71</v>
      </c>
      <c r="HZ43" s="4">
        <f>+'FY-10, FEB-10 - JAN-11'!HZ43</f>
        <v>106186.17</v>
      </c>
      <c r="IA43" s="4">
        <f>+'FY-10, FEB-10 - JAN-11'!IA43</f>
        <v>20501.02</v>
      </c>
      <c r="IB43" s="4">
        <f>+'FY-10, FEB-10 - JAN-11'!IB43</f>
        <v>0</v>
      </c>
      <c r="IC43" s="4">
        <f>+'FY-10, FEB-10 - JAN-11'!IC43</f>
        <v>124834.18</v>
      </c>
      <c r="ID43" s="4">
        <f>+'FY-10, FEB-10 - JAN-11'!ID43</f>
        <v>54646.78</v>
      </c>
      <c r="IE43" s="4">
        <f>+'FY-10, FEB-10 - JAN-11'!IE43</f>
        <v>753265.12</v>
      </c>
      <c r="IF43" s="4">
        <f>+'FY-10, FEB-10 - JAN-11'!IF43</f>
        <v>17096.96</v>
      </c>
      <c r="IG43" s="4">
        <f>+'FY-10, FEB-10 - JAN-11'!IG43</f>
        <v>39304.28</v>
      </c>
      <c r="IH43" s="4">
        <f>+'FY-10, FEB-10 - JAN-11'!IH43</f>
        <v>780312.32</v>
      </c>
      <c r="II43" s="4">
        <f>+'FY-10, FEB-10 - JAN-11'!II43</f>
        <v>16485.34</v>
      </c>
      <c r="IJ43" s="4">
        <f>+'FY-10, FEB-10 - JAN-11'!IJ43</f>
        <v>15583.42</v>
      </c>
      <c r="IK43" s="4">
        <f>+'FY-10, FEB-10 - JAN-11'!IK43</f>
        <v>30995.98</v>
      </c>
      <c r="IL43" s="189">
        <f>+'FY-10, FEB-10 - JAN-11'!IL43</f>
        <v>790421.3</v>
      </c>
      <c r="IM43" s="4">
        <f>+'FY-10, FEB-10 - JAN-11'!IM43</f>
        <v>34585.96</v>
      </c>
      <c r="IN43" s="4">
        <f>+'FY-10, FEB-10 - JAN-11'!IN43</f>
        <v>6679.72</v>
      </c>
      <c r="IO43" s="4">
        <f>+'FY-10, FEB-10 - JAN-11'!IO43</f>
        <v>16995.919999999998</v>
      </c>
      <c r="IP43" s="4">
        <f>+'FY-10, FEB-10 - JAN-11'!IP43</f>
        <v>15793.18</v>
      </c>
      <c r="IQ43" s="4">
        <f>+'FY-10, FEB-10 - JAN-11'!IQ43</f>
        <v>9715.2999999999993</v>
      </c>
      <c r="IR43" s="4">
        <f>+'FY-10, FEB-10 - JAN-11'!IR43</f>
        <v>4525.92</v>
      </c>
      <c r="IS43" s="4">
        <f>+'FY-10, FEB-10 - JAN-11'!IS43</f>
        <v>29994.560000000001</v>
      </c>
      <c r="IT43" s="4">
        <f>+'FY-10, FEB-10 - JAN-11'!IT43</f>
        <v>556383.9</v>
      </c>
      <c r="IU43" s="4">
        <f>+'FY-10, FEB-10 - JAN-11'!IU43</f>
        <v>88362.97</v>
      </c>
      <c r="IV43" s="4">
        <f>+'FY-10, FEB-10 - JAN-11'!IV43</f>
        <v>71383.23</v>
      </c>
      <c r="IW43" s="682"/>
      <c r="IX43" s="4">
        <f t="shared" si="54"/>
        <v>36574.550999999999</v>
      </c>
      <c r="IY43" s="4">
        <f t="shared" si="40"/>
        <v>121228.84</v>
      </c>
      <c r="IZ43" s="4">
        <f t="shared" si="41"/>
        <v>52334.93</v>
      </c>
      <c r="JA43" s="4">
        <f t="shared" si="42"/>
        <v>660170.39</v>
      </c>
      <c r="JB43" s="4">
        <f t="shared" si="43"/>
        <v>63367.97</v>
      </c>
      <c r="JC43" s="4">
        <f t="shared" si="44"/>
        <v>48161.919999999998</v>
      </c>
      <c r="JD43" s="4">
        <f t="shared" si="45"/>
        <v>57633.97</v>
      </c>
      <c r="JE43" s="4">
        <f t="shared" si="52"/>
        <v>38337.910000000003</v>
      </c>
      <c r="JF43" s="4">
        <f t="shared" si="53"/>
        <v>723568.58</v>
      </c>
      <c r="JG43" s="4">
        <f t="shared" si="53"/>
        <v>22833.79</v>
      </c>
      <c r="JH43" s="4">
        <f t="shared" si="55"/>
        <v>43770.09</v>
      </c>
      <c r="JI43" s="4">
        <f t="shared" si="49"/>
        <v>47268288.340999983</v>
      </c>
      <c r="JJ43" s="4"/>
      <c r="JK43" s="4"/>
    </row>
    <row r="44" spans="1:271" ht="14.1" customHeight="1">
      <c r="A44" s="4" t="s">
        <v>12</v>
      </c>
      <c r="B44" s="4"/>
      <c r="C44" s="189"/>
      <c r="D44" s="4"/>
      <c r="E44" s="4"/>
      <c r="F44" s="4"/>
      <c r="G44" s="4"/>
      <c r="H44" s="4"/>
      <c r="I44" s="4"/>
      <c r="J44" s="4"/>
      <c r="K44" s="4"/>
      <c r="L44" s="4"/>
      <c r="M44" s="4"/>
      <c r="N44" s="228"/>
      <c r="O44" s="4"/>
      <c r="P44" s="4"/>
      <c r="Q44" s="4"/>
      <c r="R44" s="4"/>
      <c r="S44" s="4"/>
      <c r="T44" s="4"/>
      <c r="U44" s="4"/>
      <c r="V44" s="58">
        <v>658286.03</v>
      </c>
      <c r="W44" s="4"/>
      <c r="X44" s="4"/>
      <c r="Y44" s="4"/>
      <c r="Z44" s="4"/>
      <c r="AA44" s="4"/>
      <c r="AB44" s="4"/>
      <c r="AC44" s="4"/>
      <c r="AD44" s="4"/>
      <c r="AE44" s="4"/>
      <c r="AF44" s="4"/>
      <c r="AG44" s="189"/>
      <c r="AH44" s="4"/>
      <c r="AI44" s="4"/>
      <c r="AJ44" s="4"/>
      <c r="AK44" s="4"/>
      <c r="AL44" s="4"/>
      <c r="AM44" s="4"/>
      <c r="AN44" s="4"/>
      <c r="AO44" s="577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D44" s="189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189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>
        <v>578168.69999999995</v>
      </c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189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>
        <f>+'FY-10, FEB-10 - JAN-11'!DL44</f>
        <v>0</v>
      </c>
      <c r="DM44" s="4">
        <f>+'FY-10, FEB-10 - JAN-11'!DM44</f>
        <v>0</v>
      </c>
      <c r="DN44" s="4">
        <f>+'FY-10, FEB-10 - JAN-11'!DN44</f>
        <v>0</v>
      </c>
      <c r="DO44" s="189">
        <f>+'FY-10, FEB-10 - JAN-11'!DO44</f>
        <v>0</v>
      </c>
      <c r="DP44" s="4">
        <f>+'FY-10, FEB-10 - JAN-11'!DP44</f>
        <v>0</v>
      </c>
      <c r="DQ44" s="4">
        <f>+'FY-10, FEB-10 - JAN-11'!DQ44</f>
        <v>0</v>
      </c>
      <c r="DR44" s="4">
        <f>+'FY-10, FEB-10 - JAN-11'!DR44</f>
        <v>0</v>
      </c>
      <c r="DS44" s="4">
        <f>+'FY-10, FEB-10 - JAN-11'!DS44</f>
        <v>0</v>
      </c>
      <c r="DT44" s="4">
        <f>+'FY-10, FEB-10 - JAN-11'!DT44</f>
        <v>0</v>
      </c>
      <c r="DU44" s="4">
        <f>+'FY-10, FEB-10 - JAN-11'!DU44</f>
        <v>0</v>
      </c>
      <c r="DV44" s="4">
        <f>+'FY-10, FEB-10 - JAN-11'!DV44</f>
        <v>0</v>
      </c>
      <c r="DW44" s="4">
        <f>+'FY-10, FEB-10 - JAN-11'!DW44</f>
        <v>0</v>
      </c>
      <c r="DX44" s="4">
        <f>+'FY-10, FEB-10 - JAN-11'!DX44</f>
        <v>0</v>
      </c>
      <c r="DY44" s="4">
        <f>+'FY-10, FEB-10 - JAN-11'!DY44</f>
        <v>0</v>
      </c>
      <c r="DZ44" s="4">
        <f>+'FY-10, FEB-10 - JAN-11'!DZ44</f>
        <v>0</v>
      </c>
      <c r="EA44" s="4">
        <f>+'FY-10, FEB-10 - JAN-11'!EA44</f>
        <v>0</v>
      </c>
      <c r="EB44" s="4">
        <f>+'FY-10, FEB-10 - JAN-11'!EB44</f>
        <v>0</v>
      </c>
      <c r="EC44" s="4">
        <f>+'FY-10, FEB-10 - JAN-11'!EC44</f>
        <v>0</v>
      </c>
      <c r="ED44" s="4">
        <f>+'FY-10, FEB-10 - JAN-11'!ED44</f>
        <v>0</v>
      </c>
      <c r="EE44" s="4">
        <f>+'FY-10, FEB-10 - JAN-11'!EE44</f>
        <v>0</v>
      </c>
      <c r="EF44" s="4">
        <f>+'FY-10, FEB-10 - JAN-11'!EF44</f>
        <v>0</v>
      </c>
      <c r="EG44" s="4">
        <f>+'FY-10, FEB-10 - JAN-11'!EG44</f>
        <v>0</v>
      </c>
      <c r="EH44" s="4">
        <f>+'FY-10, FEB-10 - JAN-11'!EH44</f>
        <v>0</v>
      </c>
      <c r="EI44" s="4">
        <f>+'FY-10, FEB-10 - JAN-11'!EI44</f>
        <v>0</v>
      </c>
      <c r="EJ44" s="189">
        <f>+'FY-10, FEB-10 - JAN-11'!EJ44</f>
        <v>0</v>
      </c>
      <c r="EK44" s="4">
        <f>+'FY-10, FEB-10 - JAN-11'!EK44</f>
        <v>0</v>
      </c>
      <c r="EL44" s="4">
        <f>+'FY-10, FEB-10 - JAN-11'!EL44</f>
        <v>0</v>
      </c>
      <c r="EM44" s="4">
        <f>+'FY-10, FEB-10 - JAN-11'!EM44</f>
        <v>0</v>
      </c>
      <c r="EN44" s="4">
        <f>+'FY-10, FEB-10 - JAN-11'!EN44</f>
        <v>0</v>
      </c>
      <c r="EO44" s="4">
        <f>+'FY-10, FEB-10 - JAN-11'!EO44</f>
        <v>0</v>
      </c>
      <c r="EP44" s="4">
        <f>+'FY-10, FEB-10 - JAN-11'!EP44</f>
        <v>0</v>
      </c>
      <c r="EQ44" s="4">
        <f>+'FY-10, FEB-10 - JAN-11'!EQ44</f>
        <v>0</v>
      </c>
      <c r="ER44" s="4">
        <f>+'FY-10, FEB-10 - JAN-11'!ER44</f>
        <v>0</v>
      </c>
      <c r="ES44" s="4">
        <f>+'FY-10, FEB-10 - JAN-11'!ES44</f>
        <v>0</v>
      </c>
      <c r="ET44" s="4">
        <f>+'FY-10, FEB-10 - JAN-11'!ET44</f>
        <v>0</v>
      </c>
      <c r="EU44" s="4">
        <f>+'FY-10, FEB-10 - JAN-11'!EU44</f>
        <v>480420.79</v>
      </c>
      <c r="EV44" s="4">
        <f>+'FY-10, FEB-10 - JAN-11'!EV44</f>
        <v>0</v>
      </c>
      <c r="EW44" s="4">
        <f>+'FY-10, FEB-10 - JAN-11'!EW44</f>
        <v>0</v>
      </c>
      <c r="EX44" s="4">
        <f>+'FY-10, FEB-10 - JAN-11'!EX44</f>
        <v>0</v>
      </c>
      <c r="EY44" s="4">
        <f>+'FY-10, FEB-10 - JAN-11'!EY44</f>
        <v>0</v>
      </c>
      <c r="EZ44" s="4">
        <f>+'FY-10, FEB-10 - JAN-11'!EZ44</f>
        <v>0</v>
      </c>
      <c r="FA44" s="4">
        <f>+'FY-10, FEB-10 - JAN-11'!FA44</f>
        <v>0</v>
      </c>
      <c r="FB44" s="4">
        <f>+'FY-10, FEB-10 - JAN-11'!FB44</f>
        <v>0</v>
      </c>
      <c r="FC44" s="4">
        <f>+'FY-10, FEB-10 - JAN-11'!FC44</f>
        <v>0</v>
      </c>
      <c r="FD44" s="4">
        <f>+'FY-10, FEB-10 - JAN-11'!FD44</f>
        <v>0</v>
      </c>
      <c r="FE44" s="4">
        <f>+'FY-10, FEB-10 - JAN-11'!FE44</f>
        <v>0</v>
      </c>
      <c r="FF44" s="189">
        <f>+'FY-10, FEB-10 - JAN-11'!FF44</f>
        <v>0</v>
      </c>
      <c r="FG44" s="4">
        <f>+'FY-10, FEB-10 - JAN-11'!FG44</f>
        <v>0</v>
      </c>
      <c r="FH44" s="4">
        <f>+'FY-10, FEB-10 - JAN-11'!FH44</f>
        <v>0</v>
      </c>
      <c r="FI44" s="4">
        <f>+'FY-10, FEB-10 - JAN-11'!FI44</f>
        <v>0</v>
      </c>
      <c r="FJ44" s="4">
        <f>+'FY-10, FEB-10 - JAN-11'!FJ44</f>
        <v>0</v>
      </c>
      <c r="FK44" s="4">
        <f>+'FY-10, FEB-10 - JAN-11'!FK44</f>
        <v>0</v>
      </c>
      <c r="FL44" s="4">
        <f>+'FY-10, FEB-10 - JAN-11'!FL44</f>
        <v>0</v>
      </c>
      <c r="FM44" s="4">
        <f>+'FY-10, FEB-10 - JAN-11'!FM44</f>
        <v>0</v>
      </c>
      <c r="FN44" s="4">
        <f>+'FY-10, FEB-10 - JAN-11'!FN44</f>
        <v>0</v>
      </c>
      <c r="FO44" s="4">
        <f>+'FY-10, FEB-10 - JAN-11'!FO44</f>
        <v>0</v>
      </c>
      <c r="FP44" s="4">
        <f>+'FY-10, FEB-10 - JAN-11'!FP44</f>
        <v>0</v>
      </c>
      <c r="FQ44" s="4">
        <f>+'FY-10, FEB-10 - JAN-11'!FQ44</f>
        <v>0</v>
      </c>
      <c r="FR44" s="4">
        <f>+'FY-10, FEB-10 - JAN-11'!FR44</f>
        <v>0</v>
      </c>
      <c r="FS44" s="4">
        <f>+'FY-10, FEB-10 - JAN-11'!FS44</f>
        <v>0</v>
      </c>
      <c r="FT44" s="4">
        <f>+'FY-10, FEB-10 - JAN-11'!FT44</f>
        <v>0</v>
      </c>
      <c r="FU44" s="4">
        <f>+'FY-10, FEB-10 - JAN-11'!FU44</f>
        <v>0</v>
      </c>
      <c r="FV44" s="4">
        <f>+'FY-10, FEB-10 - JAN-11'!FV44</f>
        <v>0</v>
      </c>
      <c r="FW44" s="4">
        <f>+'FY-10, FEB-10 - JAN-11'!FW44</f>
        <v>0</v>
      </c>
      <c r="FX44" s="4">
        <f>+'FY-10, FEB-10 - JAN-11'!FX44</f>
        <v>0</v>
      </c>
      <c r="FY44" s="4">
        <f>+'FY-10, FEB-10 - JAN-11'!FY44</f>
        <v>0</v>
      </c>
      <c r="FZ44" s="189">
        <f>+'FY-10, FEB-10 - JAN-11'!FZ44</f>
        <v>0</v>
      </c>
      <c r="GA44" s="4">
        <f>+'FY-10, FEB-10 - JAN-11'!GA44</f>
        <v>0</v>
      </c>
      <c r="GB44" s="4">
        <f>+'FY-10, FEB-10 - JAN-11'!GB44</f>
        <v>0</v>
      </c>
      <c r="GC44" s="4">
        <f>+'FY-10, FEB-10 - JAN-11'!GC44</f>
        <v>0</v>
      </c>
      <c r="GD44" s="4">
        <f>+'FY-10, FEB-10 - JAN-11'!GD44</f>
        <v>0</v>
      </c>
      <c r="GE44" s="4">
        <f>+'FY-10, FEB-10 - JAN-11'!GE44</f>
        <v>0</v>
      </c>
      <c r="GF44" s="4">
        <f>+'FY-10, FEB-10 - JAN-11'!GF44</f>
        <v>0</v>
      </c>
      <c r="GG44" s="4">
        <f>+'FY-10, FEB-10 - JAN-11'!GG44</f>
        <v>0</v>
      </c>
      <c r="GH44" s="4">
        <f>+'FY-10, FEB-10 - JAN-11'!GH44</f>
        <v>0</v>
      </c>
      <c r="GI44" s="4">
        <f>+'FY-10, FEB-10 - JAN-11'!GI44</f>
        <v>0</v>
      </c>
      <c r="GJ44" s="4">
        <f>+'FY-10, FEB-10 - JAN-11'!GJ44</f>
        <v>0</v>
      </c>
      <c r="GK44" s="4">
        <f>+'FY-10, FEB-10 - JAN-11'!GK44</f>
        <v>0</v>
      </c>
      <c r="GL44" s="4">
        <f>+'FY-10, FEB-10 - JAN-11'!GL44</f>
        <v>0</v>
      </c>
      <c r="GM44" s="4">
        <f>+'FY-10, FEB-10 - JAN-11'!GM44</f>
        <v>0</v>
      </c>
      <c r="GN44" s="4">
        <f>+'FY-10, FEB-10 - JAN-11'!GN44</f>
        <v>0</v>
      </c>
      <c r="GO44" s="4">
        <f>+'FY-10, FEB-10 - JAN-11'!GO44</f>
        <v>0</v>
      </c>
      <c r="GP44" s="4">
        <f>+'FY-10, FEB-10 - JAN-11'!GP44</f>
        <v>0</v>
      </c>
      <c r="GQ44" s="4">
        <f>+'FY-10, FEB-10 - JAN-11'!GQ44</f>
        <v>0</v>
      </c>
      <c r="GR44" s="4">
        <f>+'FY-10, FEB-10 - JAN-11'!GR44</f>
        <v>0</v>
      </c>
      <c r="GS44" s="4">
        <f>+'FY-10, FEB-10 - JAN-11'!GS44</f>
        <v>0</v>
      </c>
      <c r="GT44" s="4">
        <f>+'FY-10, FEB-10 - JAN-11'!GT44</f>
        <v>0</v>
      </c>
      <c r="GU44" s="189">
        <f>+'FY-10, FEB-10 - JAN-11'!GU44</f>
        <v>0</v>
      </c>
      <c r="GV44" s="4">
        <f>+'FY-10, FEB-10 - JAN-11'!GV44</f>
        <v>0</v>
      </c>
      <c r="GW44" s="4">
        <f>+'FY-10, FEB-10 - JAN-11'!GW44</f>
        <v>0</v>
      </c>
      <c r="GX44" s="4">
        <f>+'FY-10, FEB-10 - JAN-11'!GX44</f>
        <v>0</v>
      </c>
      <c r="GY44" s="4">
        <f>+'FY-10, FEB-10 - JAN-11'!GY44</f>
        <v>0</v>
      </c>
      <c r="GZ44" s="4">
        <f>+'FY-10, FEB-10 - JAN-11'!GZ44</f>
        <v>0</v>
      </c>
      <c r="HA44" s="4">
        <f>+'FY-10, FEB-10 - JAN-11'!HA44</f>
        <v>0</v>
      </c>
      <c r="HB44" s="4">
        <f>+'FY-10, FEB-10 - JAN-11'!HB44</f>
        <v>0</v>
      </c>
      <c r="HC44" s="4">
        <f>+'FY-10, FEB-10 - JAN-11'!HC44</f>
        <v>0</v>
      </c>
      <c r="HD44" s="4">
        <f>+'FY-10, FEB-10 - JAN-11'!HD44</f>
        <v>0</v>
      </c>
      <c r="HE44" s="4">
        <f>+'FY-10, FEB-10 - JAN-11'!HE44</f>
        <v>700570.32</v>
      </c>
      <c r="HF44" s="4">
        <f>+'FY-10, FEB-10 - JAN-11'!HF44</f>
        <v>0</v>
      </c>
      <c r="HG44" s="4">
        <f>+'FY-10, FEB-10 - JAN-11'!HG44</f>
        <v>0</v>
      </c>
      <c r="HH44" s="4">
        <f>+'FY-10, FEB-10 - JAN-11'!HH44</f>
        <v>0</v>
      </c>
      <c r="HI44" s="4">
        <f>+'FY-10, FEB-10 - JAN-11'!HI44</f>
        <v>0</v>
      </c>
      <c r="HJ44" s="4">
        <f>+'FY-10, FEB-10 - JAN-11'!HJ44</f>
        <v>0</v>
      </c>
      <c r="HK44" s="4">
        <f>+'FY-10, FEB-10 - JAN-11'!HK44</f>
        <v>0</v>
      </c>
      <c r="HL44" s="4">
        <f>+'FY-10, FEB-10 - JAN-11'!HL44</f>
        <v>0</v>
      </c>
      <c r="HM44" s="4">
        <f>+'FY-10, FEB-10 - JAN-11'!HM44</f>
        <v>0</v>
      </c>
      <c r="HN44" s="4">
        <f>+'FY-10, FEB-10 - JAN-11'!HN44</f>
        <v>0</v>
      </c>
      <c r="HO44" s="4">
        <f>+'FY-10, FEB-10 - JAN-11'!HO44</f>
        <v>0</v>
      </c>
      <c r="HP44" s="189">
        <f>+'FY-10, FEB-10 - JAN-11'!HP44</f>
        <v>0</v>
      </c>
      <c r="HQ44" s="4">
        <f>+'FY-10, FEB-10 - JAN-11'!HQ44</f>
        <v>0</v>
      </c>
      <c r="HR44" s="4">
        <f>+'FY-10, FEB-10 - JAN-11'!HR44</f>
        <v>0</v>
      </c>
      <c r="HS44" s="4">
        <f>+'FY-10, FEB-10 - JAN-11'!HS44</f>
        <v>0</v>
      </c>
      <c r="HT44" s="4">
        <f>+'FY-10, FEB-10 - JAN-11'!HT44</f>
        <v>0</v>
      </c>
      <c r="HU44" s="4">
        <f>+'FY-10, FEB-10 - JAN-11'!HU44</f>
        <v>0</v>
      </c>
      <c r="HV44" s="4">
        <f>+'FY-10, FEB-10 - JAN-11'!HV44</f>
        <v>0</v>
      </c>
      <c r="HW44" s="4">
        <f>+'FY-10, FEB-10 - JAN-11'!HW44</f>
        <v>0</v>
      </c>
      <c r="HX44" s="4">
        <f>+'FY-10, FEB-10 - JAN-11'!HX44</f>
        <v>0</v>
      </c>
      <c r="HY44" s="4">
        <f>+'FY-10, FEB-10 - JAN-11'!HY44</f>
        <v>0</v>
      </c>
      <c r="HZ44" s="4">
        <f>+'FY-10, FEB-10 - JAN-11'!HZ44</f>
        <v>0</v>
      </c>
      <c r="IA44" s="4">
        <f>+'FY-10, FEB-10 - JAN-11'!IA44</f>
        <v>0</v>
      </c>
      <c r="IB44" s="4">
        <f>+'FY-10, FEB-10 - JAN-11'!IB44</f>
        <v>0</v>
      </c>
      <c r="IC44" s="4">
        <f>+'FY-10, FEB-10 - JAN-11'!IC44</f>
        <v>0</v>
      </c>
      <c r="ID44" s="4">
        <f>+'FY-10, FEB-10 - JAN-11'!ID44</f>
        <v>0</v>
      </c>
      <c r="IE44" s="4">
        <f>+'FY-10, FEB-10 - JAN-11'!IE44</f>
        <v>0</v>
      </c>
      <c r="IF44" s="4">
        <f>+'FY-10, FEB-10 - JAN-11'!IF44</f>
        <v>0</v>
      </c>
      <c r="IG44" s="4">
        <f>+'FY-10, FEB-10 - JAN-11'!IG44</f>
        <v>0</v>
      </c>
      <c r="IH44" s="4">
        <f>+'FY-10, FEB-10 - JAN-11'!IH44</f>
        <v>0</v>
      </c>
      <c r="II44" s="4">
        <f>+'FY-10, FEB-10 - JAN-11'!II44</f>
        <v>0</v>
      </c>
      <c r="IJ44" s="4">
        <f>+'FY-10, FEB-10 - JAN-11'!IJ44</f>
        <v>0</v>
      </c>
      <c r="IK44" s="4">
        <f>+'FY-10, FEB-10 - JAN-11'!IK44</f>
        <v>0</v>
      </c>
      <c r="IL44" s="189">
        <f>+'FY-10, FEB-10 - JAN-11'!IL44</f>
        <v>0</v>
      </c>
      <c r="IM44" s="4">
        <f>+'FY-10, FEB-10 - JAN-11'!IM44</f>
        <v>0</v>
      </c>
      <c r="IN44" s="4">
        <f>+'FY-10, FEB-10 - JAN-11'!IN44</f>
        <v>0</v>
      </c>
      <c r="IO44" s="4">
        <f>+'FY-10, FEB-10 - JAN-11'!IO44</f>
        <v>0</v>
      </c>
      <c r="IP44" s="4">
        <f>+'FY-10, FEB-10 - JAN-11'!IP44</f>
        <v>0</v>
      </c>
      <c r="IQ44" s="4">
        <f>+'FY-10, FEB-10 - JAN-11'!IQ44</f>
        <v>0</v>
      </c>
      <c r="IR44" s="4">
        <f>+'FY-10, FEB-10 - JAN-11'!IR44</f>
        <v>0</v>
      </c>
      <c r="IS44" s="4">
        <f>+'FY-10, FEB-10 - JAN-11'!IS44</f>
        <v>0</v>
      </c>
      <c r="IT44" s="4">
        <f>+'FY-10, FEB-10 - JAN-11'!IT44</f>
        <v>0</v>
      </c>
      <c r="IU44" s="4" t="str">
        <f>+'FY-10, FEB-10 - JAN-11'!IU44</f>
        <v>.</v>
      </c>
      <c r="IV44" s="4">
        <f>+'FY-10, FEB-10 - JAN-11'!IV44</f>
        <v>0</v>
      </c>
      <c r="IW44" s="682"/>
      <c r="IX44" s="4">
        <f t="shared" si="54"/>
        <v>0</v>
      </c>
      <c r="IY44" s="4">
        <f t="shared" si="40"/>
        <v>0</v>
      </c>
      <c r="IZ44" s="4">
        <f t="shared" si="41"/>
        <v>0</v>
      </c>
      <c r="JA44" s="4">
        <f t="shared" si="42"/>
        <v>0</v>
      </c>
      <c r="JB44" s="4">
        <f t="shared" si="43"/>
        <v>0</v>
      </c>
      <c r="JC44" s="4">
        <f t="shared" si="44"/>
        <v>0</v>
      </c>
      <c r="JD44" s="4">
        <f t="shared" si="45"/>
        <v>0</v>
      </c>
      <c r="JE44" s="4">
        <f t="shared" si="52"/>
        <v>0</v>
      </c>
      <c r="JF44" s="4">
        <f t="shared" si="53"/>
        <v>0</v>
      </c>
      <c r="JG44" s="4">
        <f t="shared" si="53"/>
        <v>0</v>
      </c>
      <c r="JH44" s="4">
        <f t="shared" si="55"/>
        <v>0</v>
      </c>
      <c r="JI44" s="4">
        <f t="shared" si="49"/>
        <v>2417445.84</v>
      </c>
      <c r="JJ44" s="4"/>
      <c r="JK44" s="4">
        <f>SUM(C44:JJ44)</f>
        <v>4834891.68</v>
      </c>
    </row>
    <row r="45" spans="1:271" s="38" customFormat="1" ht="14.1" customHeight="1">
      <c r="A45" s="32" t="s">
        <v>41</v>
      </c>
      <c r="B45" s="32"/>
      <c r="C45" s="123"/>
      <c r="D45" s="32"/>
      <c r="E45" s="32">
        <v>35</v>
      </c>
      <c r="F45" s="32">
        <v>43.4</v>
      </c>
      <c r="G45" s="32"/>
      <c r="H45" s="32"/>
      <c r="I45" s="32"/>
      <c r="J45" s="32">
        <v>4000</v>
      </c>
      <c r="K45" s="32"/>
      <c r="L45" s="406"/>
      <c r="M45" s="406"/>
      <c r="N45" s="436"/>
      <c r="O45" s="32"/>
      <c r="P45" s="32"/>
      <c r="Q45" s="32"/>
      <c r="R45" s="32"/>
      <c r="S45" s="32"/>
      <c r="T45" s="32"/>
      <c r="U45" s="32">
        <f>95721.87+195180.58+3000</f>
        <v>293902.44999999995</v>
      </c>
      <c r="V45" s="32"/>
      <c r="W45" s="32"/>
      <c r="X45" s="32">
        <f>35+28415.21</f>
        <v>28450.21</v>
      </c>
      <c r="Y45" s="32">
        <v>102.95</v>
      </c>
      <c r="Z45" s="32"/>
      <c r="AA45" s="32"/>
      <c r="AB45" s="32">
        <v>267608.96000000002</v>
      </c>
      <c r="AC45" s="32"/>
      <c r="AD45" s="32">
        <v>13637</v>
      </c>
      <c r="AE45" s="32"/>
      <c r="AF45" s="32"/>
      <c r="AG45" s="123"/>
      <c r="AH45" s="32"/>
      <c r="AI45" s="32">
        <v>1268977.47</v>
      </c>
      <c r="AJ45" s="32"/>
      <c r="AK45" s="32"/>
      <c r="AL45" s="32"/>
      <c r="AM45" s="32"/>
      <c r="AN45" s="32"/>
      <c r="AO45" s="570">
        <v>36597.980000000003</v>
      </c>
      <c r="AP45" s="32">
        <v>523522.95</v>
      </c>
      <c r="AQ45" s="32">
        <v>1000</v>
      </c>
      <c r="AR45" s="32"/>
      <c r="AS45" s="32"/>
      <c r="AT45" s="32">
        <v>95017.17</v>
      </c>
      <c r="AU45" s="32">
        <v>138.78</v>
      </c>
      <c r="AV45" s="32"/>
      <c r="AW45" s="32"/>
      <c r="AX45" s="32">
        <v>44114.28</v>
      </c>
      <c r="AY45" s="32">
        <v>20543.23</v>
      </c>
      <c r="AZ45" s="32"/>
      <c r="BA45" s="32"/>
      <c r="BB45" s="32"/>
      <c r="BC45" s="32"/>
      <c r="BD45" s="123"/>
      <c r="BE45" s="32"/>
      <c r="BF45" s="32">
        <v>6489.3</v>
      </c>
      <c r="BG45" s="32">
        <v>16307</v>
      </c>
      <c r="BH45" s="32">
        <f>50000000+3527.28</f>
        <v>50003527.280000001</v>
      </c>
      <c r="BI45" s="32"/>
      <c r="BJ45" s="32"/>
      <c r="BK45" s="406"/>
      <c r="BL45" s="406"/>
      <c r="BM45" s="406">
        <v>12193.01</v>
      </c>
      <c r="BN45" s="406">
        <v>27583.98</v>
      </c>
      <c r="BO45" s="406">
        <f>90+4000</f>
        <v>4090</v>
      </c>
      <c r="BP45" s="406">
        <v>104.92</v>
      </c>
      <c r="BQ45" s="406"/>
      <c r="BR45" s="406"/>
      <c r="BS45" s="406"/>
      <c r="BT45" s="406"/>
      <c r="BU45" s="406">
        <v>1376.93</v>
      </c>
      <c r="BV45" s="406"/>
      <c r="BW45" s="406"/>
      <c r="BX45" s="436"/>
      <c r="BY45" s="406">
        <v>10050.969999999999</v>
      </c>
      <c r="BZ45" s="406"/>
      <c r="CA45" s="406"/>
      <c r="CB45" s="406">
        <v>169098.87</v>
      </c>
      <c r="CC45" s="406"/>
      <c r="CD45" s="406"/>
      <c r="CE45" s="406"/>
      <c r="CF45" s="406"/>
      <c r="CG45" s="406">
        <v>38665.360000000001</v>
      </c>
      <c r="CH45" s="406"/>
      <c r="CI45" s="406"/>
      <c r="CJ45" s="406"/>
      <c r="CK45" s="406">
        <v>107.45</v>
      </c>
      <c r="CL45" s="406">
        <v>43.4</v>
      </c>
      <c r="CM45" s="406">
        <v>1000</v>
      </c>
      <c r="CN45" s="406">
        <v>0</v>
      </c>
      <c r="CO45" s="406">
        <v>1402.2</v>
      </c>
      <c r="CP45" s="406"/>
      <c r="CQ45" s="406"/>
      <c r="CR45" s="406">
        <f>1486991.32+10161.38</f>
        <v>1497152.7</v>
      </c>
      <c r="CS45" s="406"/>
      <c r="CT45" s="436"/>
      <c r="CU45" s="406">
        <v>500000</v>
      </c>
      <c r="CV45" s="406"/>
      <c r="CW45" s="406"/>
      <c r="CX45" s="406">
        <v>13089.53</v>
      </c>
      <c r="CY45" s="406">
        <v>106732.28</v>
      </c>
      <c r="CZ45" s="406"/>
      <c r="DA45" s="406"/>
      <c r="DB45" s="406"/>
      <c r="DC45" s="406">
        <v>2455.37</v>
      </c>
      <c r="DD45" s="406"/>
      <c r="DE45" s="406"/>
      <c r="DF45" s="406">
        <f>224192.08+1287</f>
        <v>225479.08</v>
      </c>
      <c r="DG45" s="406">
        <v>78.400000000000006</v>
      </c>
      <c r="DH45" s="406"/>
      <c r="DI45" s="406"/>
      <c r="DJ45" s="406"/>
      <c r="DK45" s="406"/>
      <c r="DL45" s="406">
        <v>0</v>
      </c>
      <c r="DM45" s="406">
        <v>0</v>
      </c>
      <c r="DN45" s="406">
        <v>0</v>
      </c>
      <c r="DO45" s="436">
        <v>0</v>
      </c>
      <c r="DP45" s="406">
        <v>0</v>
      </c>
      <c r="DQ45" s="406">
        <v>0</v>
      </c>
      <c r="DR45" s="406">
        <v>0</v>
      </c>
      <c r="DS45" s="406">
        <v>0</v>
      </c>
      <c r="DT45" s="406">
        <v>0</v>
      </c>
      <c r="DU45" s="406">
        <v>0</v>
      </c>
      <c r="DV45" s="406">
        <v>0</v>
      </c>
      <c r="DW45" s="406">
        <v>0</v>
      </c>
      <c r="DX45" s="406">
        <v>0</v>
      </c>
      <c r="DY45" s="406">
        <v>0</v>
      </c>
      <c r="DZ45" s="406">
        <v>0</v>
      </c>
      <c r="EA45" s="406">
        <v>0</v>
      </c>
      <c r="EB45" s="406">
        <v>0</v>
      </c>
      <c r="EC45" s="406">
        <v>0</v>
      </c>
      <c r="ED45" s="406">
        <v>0</v>
      </c>
      <c r="EE45" s="406">
        <v>0</v>
      </c>
      <c r="EF45" s="406">
        <v>0</v>
      </c>
      <c r="EG45" s="406">
        <v>0</v>
      </c>
      <c r="EH45" s="406">
        <v>0</v>
      </c>
      <c r="EI45" s="406">
        <v>0</v>
      </c>
      <c r="EJ45" s="436">
        <v>0</v>
      </c>
      <c r="EK45" s="406">
        <v>0</v>
      </c>
      <c r="EL45" s="406">
        <v>0</v>
      </c>
      <c r="EM45" s="406">
        <v>0</v>
      </c>
      <c r="EN45" s="406">
        <v>0</v>
      </c>
      <c r="EO45" s="406">
        <v>0</v>
      </c>
      <c r="EP45" s="406">
        <v>0</v>
      </c>
      <c r="EQ45" s="406">
        <v>0</v>
      </c>
      <c r="ER45" s="406">
        <v>0</v>
      </c>
      <c r="ES45" s="406">
        <v>0</v>
      </c>
      <c r="ET45" s="406">
        <v>0</v>
      </c>
      <c r="EU45" s="406">
        <v>0</v>
      </c>
      <c r="EV45" s="406">
        <v>0</v>
      </c>
      <c r="EW45" s="406">
        <v>0</v>
      </c>
      <c r="EX45" s="406">
        <v>0</v>
      </c>
      <c r="EY45" s="406">
        <v>0</v>
      </c>
      <c r="EZ45" s="406">
        <v>0</v>
      </c>
      <c r="FA45" s="406">
        <v>0</v>
      </c>
      <c r="FB45" s="406">
        <v>0</v>
      </c>
      <c r="FC45" s="406">
        <v>0</v>
      </c>
      <c r="FD45" s="406">
        <v>0</v>
      </c>
      <c r="FE45" s="406">
        <v>0</v>
      </c>
      <c r="FF45" s="436">
        <v>0</v>
      </c>
      <c r="FG45" s="406">
        <v>0</v>
      </c>
      <c r="FH45" s="406">
        <v>0</v>
      </c>
      <c r="FI45" s="406">
        <v>0</v>
      </c>
      <c r="FJ45" s="406">
        <v>0</v>
      </c>
      <c r="FK45" s="406">
        <v>0</v>
      </c>
      <c r="FL45" s="406">
        <v>0</v>
      </c>
      <c r="FM45" s="406">
        <v>0</v>
      </c>
      <c r="FN45" s="406">
        <v>0</v>
      </c>
      <c r="FO45" s="406">
        <v>0</v>
      </c>
      <c r="FP45" s="406">
        <v>0</v>
      </c>
      <c r="FQ45" s="406">
        <v>0</v>
      </c>
      <c r="FR45" s="406">
        <v>0</v>
      </c>
      <c r="FS45" s="406">
        <v>0</v>
      </c>
      <c r="FT45" s="406">
        <v>0</v>
      </c>
      <c r="FU45" s="406">
        <v>0</v>
      </c>
      <c r="FV45" s="406">
        <v>0</v>
      </c>
      <c r="FW45" s="406">
        <v>0</v>
      </c>
      <c r="FX45" s="406">
        <v>0</v>
      </c>
      <c r="FY45" s="406">
        <v>0</v>
      </c>
      <c r="FZ45" s="436">
        <v>0</v>
      </c>
      <c r="GA45" s="406">
        <v>0</v>
      </c>
      <c r="GB45" s="406">
        <v>0</v>
      </c>
      <c r="GC45" s="406">
        <v>0</v>
      </c>
      <c r="GD45" s="406">
        <v>0</v>
      </c>
      <c r="GE45" s="406">
        <v>0</v>
      </c>
      <c r="GF45" s="406">
        <v>0</v>
      </c>
      <c r="GG45" s="406">
        <v>0</v>
      </c>
      <c r="GH45" s="406">
        <v>0</v>
      </c>
      <c r="GI45" s="406">
        <v>0</v>
      </c>
      <c r="GJ45" s="406">
        <v>0</v>
      </c>
      <c r="GK45" s="406">
        <v>0</v>
      </c>
      <c r="GL45" s="406">
        <v>0</v>
      </c>
      <c r="GM45" s="406">
        <v>0</v>
      </c>
      <c r="GN45" s="406">
        <v>0</v>
      </c>
      <c r="GO45" s="406">
        <v>0</v>
      </c>
      <c r="GP45" s="406">
        <v>0</v>
      </c>
      <c r="GQ45" s="406">
        <v>0</v>
      </c>
      <c r="GR45" s="406">
        <v>0</v>
      </c>
      <c r="GS45" s="406">
        <v>0</v>
      </c>
      <c r="GT45" s="406">
        <v>0</v>
      </c>
      <c r="GU45" s="436">
        <v>0</v>
      </c>
      <c r="GV45" s="406">
        <v>0</v>
      </c>
      <c r="GW45" s="406">
        <v>0</v>
      </c>
      <c r="GX45" s="406">
        <v>0</v>
      </c>
      <c r="GY45" s="406">
        <v>0</v>
      </c>
      <c r="GZ45" s="406">
        <v>0</v>
      </c>
      <c r="HA45" s="406">
        <v>0</v>
      </c>
      <c r="HB45" s="406">
        <v>0</v>
      </c>
      <c r="HC45" s="406">
        <v>0</v>
      </c>
      <c r="HD45" s="406">
        <v>0</v>
      </c>
      <c r="HE45" s="406">
        <v>0</v>
      </c>
      <c r="HF45" s="406">
        <v>0</v>
      </c>
      <c r="HG45" s="406">
        <v>0</v>
      </c>
      <c r="HH45" s="406">
        <v>0</v>
      </c>
      <c r="HI45" s="406">
        <v>0</v>
      </c>
      <c r="HJ45" s="406">
        <v>0</v>
      </c>
      <c r="HK45" s="406">
        <v>0</v>
      </c>
      <c r="HL45" s="406">
        <v>0</v>
      </c>
      <c r="HM45" s="406">
        <v>0</v>
      </c>
      <c r="HN45" s="406">
        <v>0</v>
      </c>
      <c r="HO45" s="406">
        <v>0</v>
      </c>
      <c r="HP45" s="436">
        <v>0</v>
      </c>
      <c r="HQ45" s="406">
        <v>0</v>
      </c>
      <c r="HR45" s="406">
        <v>0</v>
      </c>
      <c r="HS45" s="406">
        <v>0</v>
      </c>
      <c r="HT45" s="406">
        <v>0</v>
      </c>
      <c r="HU45" s="406">
        <v>0</v>
      </c>
      <c r="HV45" s="406">
        <v>0</v>
      </c>
      <c r="HW45" s="406">
        <v>0</v>
      </c>
      <c r="HX45" s="406">
        <v>0</v>
      </c>
      <c r="HY45" s="406">
        <v>0</v>
      </c>
      <c r="HZ45" s="406">
        <v>0</v>
      </c>
      <c r="IA45" s="406">
        <v>0</v>
      </c>
      <c r="IB45" s="406">
        <v>0</v>
      </c>
      <c r="IC45" s="406">
        <v>0</v>
      </c>
      <c r="ID45" s="406">
        <v>0</v>
      </c>
      <c r="IE45" s="406">
        <v>0</v>
      </c>
      <c r="IF45" s="406">
        <v>0</v>
      </c>
      <c r="IG45" s="406">
        <v>0</v>
      </c>
      <c r="IH45" s="406">
        <v>0</v>
      </c>
      <c r="II45" s="406">
        <v>0</v>
      </c>
      <c r="IJ45" s="406">
        <v>0</v>
      </c>
      <c r="IK45" s="406">
        <v>0</v>
      </c>
      <c r="IL45" s="436">
        <v>0</v>
      </c>
      <c r="IM45" s="406">
        <v>0</v>
      </c>
      <c r="IN45" s="406">
        <v>0</v>
      </c>
      <c r="IO45" s="406">
        <v>0</v>
      </c>
      <c r="IP45" s="406">
        <v>0</v>
      </c>
      <c r="IQ45" s="406">
        <v>0</v>
      </c>
      <c r="IR45" s="406">
        <v>0</v>
      </c>
      <c r="IS45" s="406">
        <v>0</v>
      </c>
      <c r="IT45" s="406">
        <v>0</v>
      </c>
      <c r="IU45" s="406">
        <v>0</v>
      </c>
      <c r="IV45" s="406">
        <v>0</v>
      </c>
      <c r="IW45" s="682"/>
      <c r="IX45" s="406">
        <f>+D45*$EJ$77</f>
        <v>0</v>
      </c>
      <c r="IY45" s="406">
        <f t="shared" si="40"/>
        <v>35</v>
      </c>
      <c r="IZ45" s="406">
        <f t="shared" si="41"/>
        <v>43.4</v>
      </c>
      <c r="JA45" s="406">
        <f t="shared" si="42"/>
        <v>0</v>
      </c>
      <c r="JB45" s="406">
        <f t="shared" si="43"/>
        <v>0</v>
      </c>
      <c r="JC45" s="406">
        <f t="shared" si="44"/>
        <v>0</v>
      </c>
      <c r="JD45" s="406">
        <f t="shared" si="45"/>
        <v>4000</v>
      </c>
      <c r="JE45" s="406">
        <f t="shared" si="52"/>
        <v>0</v>
      </c>
      <c r="JF45" s="406">
        <f t="shared" si="53"/>
        <v>0</v>
      </c>
      <c r="JG45" s="406">
        <f t="shared" si="53"/>
        <v>0</v>
      </c>
      <c r="JH45" s="406">
        <f t="shared" ref="JH45" si="56">+N45*$EJ$77</f>
        <v>0</v>
      </c>
      <c r="JI45" s="4">
        <f t="shared" si="49"/>
        <v>55238798.259999998</v>
      </c>
      <c r="JJ45" s="32"/>
      <c r="JK45" s="32">
        <f>SUM(C45:JJ45)</f>
        <v>110477596.52</v>
      </c>
    </row>
    <row r="46" spans="1:271" s="57" customFormat="1" ht="14.1" customHeight="1" thickBot="1">
      <c r="A46" s="58" t="s">
        <v>44</v>
      </c>
      <c r="B46" s="58"/>
      <c r="C46" s="225">
        <v>5355250.4799999995</v>
      </c>
      <c r="D46" s="58">
        <v>2109997.2999999998</v>
      </c>
      <c r="E46" s="58">
        <v>134985.46</v>
      </c>
      <c r="F46" s="58">
        <v>297404.42</v>
      </c>
      <c r="G46" s="59">
        <v>323401.14</v>
      </c>
      <c r="H46" s="58">
        <f>270081.86+233146.24</f>
        <v>503228.1</v>
      </c>
      <c r="I46" s="58">
        <v>3511688.02</v>
      </c>
      <c r="J46" s="58">
        <v>1399838.89</v>
      </c>
      <c r="K46" s="58">
        <v>1114591.6599999999</v>
      </c>
      <c r="L46" s="407">
        <v>673764.49</v>
      </c>
      <c r="M46" s="407">
        <v>3732957.94</v>
      </c>
      <c r="N46" s="400">
        <v>712870.83</v>
      </c>
      <c r="O46" s="58">
        <v>6954311.9499999993</v>
      </c>
      <c r="P46" s="58">
        <v>226251.99</v>
      </c>
      <c r="Q46" s="59">
        <v>450193.38</v>
      </c>
      <c r="R46" s="58">
        <v>5285948</v>
      </c>
      <c r="S46" s="58">
        <v>7312688.1100000003</v>
      </c>
      <c r="T46" s="58">
        <v>3400740.76</v>
      </c>
      <c r="U46" s="58">
        <v>1159979.4099999999</v>
      </c>
      <c r="V46" s="58">
        <v>4854202.26</v>
      </c>
      <c r="W46" s="58">
        <v>437997.22000000003</v>
      </c>
      <c r="X46" s="58">
        <v>3760344.0300000003</v>
      </c>
      <c r="Y46" s="58">
        <v>793246.31</v>
      </c>
      <c r="Z46" s="59">
        <v>613953.07999999996</v>
      </c>
      <c r="AA46" s="58">
        <v>5292099.3699999992</v>
      </c>
      <c r="AB46" s="58">
        <v>858111.77999999991</v>
      </c>
      <c r="AC46" s="58">
        <v>4879279.76</v>
      </c>
      <c r="AD46" s="58">
        <v>432153.22</v>
      </c>
      <c r="AE46" s="58">
        <f>797472.27+3058.19</f>
        <v>800530.46</v>
      </c>
      <c r="AF46" s="58">
        <v>5031198.0199999996</v>
      </c>
      <c r="AG46" s="255">
        <v>1669513.98</v>
      </c>
      <c r="AH46" s="58">
        <v>1895120.83</v>
      </c>
      <c r="AI46" s="58">
        <v>712274.22</v>
      </c>
      <c r="AJ46" s="59">
        <v>1981207.44</v>
      </c>
      <c r="AK46" s="58">
        <v>786413.16</v>
      </c>
      <c r="AL46" s="58">
        <v>4962373.6900000004</v>
      </c>
      <c r="AM46" s="58">
        <v>417449.88</v>
      </c>
      <c r="AN46" s="58">
        <v>4385519.34</v>
      </c>
      <c r="AO46" s="569">
        <v>535378.97</v>
      </c>
      <c r="AP46" s="58">
        <v>4689668.7699999996</v>
      </c>
      <c r="AQ46" s="58">
        <v>1577565.51</v>
      </c>
      <c r="AR46" s="58">
        <v>1620508.34</v>
      </c>
      <c r="AS46" s="58">
        <v>580069.15</v>
      </c>
      <c r="AT46" s="59">
        <v>556042.09</v>
      </c>
      <c r="AU46" s="58">
        <v>9901223.8900000006</v>
      </c>
      <c r="AV46" s="58">
        <v>1900728.44</v>
      </c>
      <c r="AW46" s="58">
        <v>2141139.7200000002</v>
      </c>
      <c r="AX46" s="58">
        <v>629028.54</v>
      </c>
      <c r="AY46" s="58">
        <v>592980.24</v>
      </c>
      <c r="AZ46" s="58">
        <v>2921368.97</v>
      </c>
      <c r="BA46" s="58">
        <v>973245.71</v>
      </c>
      <c r="BB46" s="58">
        <v>4304177.2</v>
      </c>
      <c r="BC46" s="58">
        <v>743659.97</v>
      </c>
      <c r="BD46" s="255">
        <v>601354.08000000007</v>
      </c>
      <c r="BE46" s="58">
        <v>8342222.5800000001</v>
      </c>
      <c r="BF46" s="58">
        <v>896200.77999999991</v>
      </c>
      <c r="BG46" s="58">
        <v>7057789.7700000005</v>
      </c>
      <c r="BH46" s="58">
        <v>1821833.69</v>
      </c>
      <c r="BI46" s="58">
        <v>370339.46</v>
      </c>
      <c r="BJ46" s="58">
        <v>11085398.060000001</v>
      </c>
      <c r="BK46" s="407">
        <v>560174.52</v>
      </c>
      <c r="BL46" s="407">
        <v>3965301.96</v>
      </c>
      <c r="BM46" s="407">
        <v>784434.38</v>
      </c>
      <c r="BN46" s="431">
        <v>886830</v>
      </c>
      <c r="BO46" s="431">
        <v>5981030.7699999996</v>
      </c>
      <c r="BP46" s="431">
        <v>1593277.77</v>
      </c>
      <c r="BQ46" s="431">
        <v>2347773.58</v>
      </c>
      <c r="BR46" s="431">
        <v>262119.14</v>
      </c>
      <c r="BS46" s="431">
        <v>611923.72</v>
      </c>
      <c r="BT46" s="431">
        <v>4918994.84</v>
      </c>
      <c r="BU46" s="431">
        <v>890397.51</v>
      </c>
      <c r="BV46" s="431">
        <v>8146497.4900000002</v>
      </c>
      <c r="BW46" s="431">
        <v>511028.75</v>
      </c>
      <c r="BX46" s="888">
        <v>899780.98</v>
      </c>
      <c r="BY46" s="431">
        <v>9590031.7699999996</v>
      </c>
      <c r="BZ46" s="431">
        <v>4143661.04</v>
      </c>
      <c r="CA46" s="431">
        <v>6071786.8399999999</v>
      </c>
      <c r="CB46" s="431">
        <v>236909.55000000002</v>
      </c>
      <c r="CC46" s="431">
        <v>1097837.17</v>
      </c>
      <c r="CD46" s="431">
        <v>13850753.050000001</v>
      </c>
      <c r="CE46" s="431">
        <v>585115.56999999995</v>
      </c>
      <c r="CF46" s="431">
        <v>5184159.01</v>
      </c>
      <c r="CG46" s="431">
        <v>256255.68</v>
      </c>
      <c r="CH46" s="431">
        <v>840963.72</v>
      </c>
      <c r="CI46" s="431">
        <v>5810735.9700000007</v>
      </c>
      <c r="CJ46" s="431">
        <v>897013.4</v>
      </c>
      <c r="CK46" s="431">
        <f>284659.85+265431.66</f>
        <v>550091.51</v>
      </c>
      <c r="CL46" s="431">
        <v>2430514.5100000002</v>
      </c>
      <c r="CM46" s="431">
        <v>4213778.9499999993</v>
      </c>
      <c r="CN46" s="431">
        <v>1417052.98</v>
      </c>
      <c r="CO46" s="431">
        <v>1578946.01</v>
      </c>
      <c r="CP46" s="431">
        <v>1035937.24</v>
      </c>
      <c r="CQ46" s="431">
        <v>3474346.65</v>
      </c>
      <c r="CR46" s="431">
        <v>1880750.0800000001</v>
      </c>
      <c r="CS46" s="431">
        <v>1799481.78</v>
      </c>
      <c r="CT46" s="888">
        <v>8401648.6900000013</v>
      </c>
      <c r="CU46" s="431">
        <v>1964325.74</v>
      </c>
      <c r="CV46" s="431">
        <v>13608308.82</v>
      </c>
      <c r="CW46" s="431">
        <v>2021499.7999999998</v>
      </c>
      <c r="CX46" s="431">
        <v>1050505.3400000001</v>
      </c>
      <c r="CY46" s="431">
        <v>10027161.640000001</v>
      </c>
      <c r="CZ46" s="431">
        <v>917725.57</v>
      </c>
      <c r="DA46" s="431">
        <v>3176167.68</v>
      </c>
      <c r="DB46" s="431">
        <v>5658646.3099999996</v>
      </c>
      <c r="DC46" s="431">
        <v>1127102.73</v>
      </c>
      <c r="DD46" s="431">
        <v>2860209.18</v>
      </c>
      <c r="DE46" s="431">
        <v>2547260.87</v>
      </c>
      <c r="DF46" s="431">
        <v>1007628.39</v>
      </c>
      <c r="DG46" s="431">
        <v>387322.36</v>
      </c>
      <c r="DH46" s="431">
        <f>673414.89+12064.99</f>
        <v>685479.88</v>
      </c>
      <c r="DI46" s="431">
        <v>794167.61</v>
      </c>
      <c r="DJ46" s="431">
        <v>44758.53</v>
      </c>
      <c r="DK46" s="431">
        <v>15593.62</v>
      </c>
      <c r="DL46" s="431">
        <f>+'FY-10, FEB-10 - JAN-11'!DL46*$EJ$79</f>
        <v>47112.832000000002</v>
      </c>
      <c r="DM46" s="431">
        <f>+'FY-10, FEB-10 - JAN-11'!DM46*$EJ$79</f>
        <v>120096.16000000002</v>
      </c>
      <c r="DN46" s="431">
        <f>+'FY-10, FEB-10 - JAN-11'!DN46*$EJ$79</f>
        <v>1012478.176</v>
      </c>
      <c r="DO46" s="888">
        <f>+'FY-10, FEB-10 - JAN-11'!DO46*$EJ$79</f>
        <v>4563093.2560000001</v>
      </c>
      <c r="DP46" s="431">
        <f>+'FY-10, FEB-10 - JAN-11'!DP46*$EJ$79</f>
        <v>14797406.344000001</v>
      </c>
      <c r="DQ46" s="431">
        <f>+'FY-10, FEB-10 - JAN-11'!DQ46*$EJ$79</f>
        <v>940094.44800000009</v>
      </c>
      <c r="DR46" s="431">
        <f>+'FY-10, FEB-10 - JAN-11'!DR46*$EJ$79</f>
        <v>465762.20800000004</v>
      </c>
      <c r="DS46" s="431">
        <f>+'FY-10, FEB-10 - JAN-11'!DS46*$EJ$79</f>
        <v>3129601.1680000001</v>
      </c>
      <c r="DT46" s="431">
        <f>+'FY-10, FEB-10 - JAN-11'!DT46*$EJ$79</f>
        <v>987683.00800000003</v>
      </c>
      <c r="DU46" s="431">
        <f>+'FY-10, FEB-10 - JAN-11'!DU46*$EJ$79</f>
        <v>5210903.9680000003</v>
      </c>
      <c r="DV46" s="431">
        <f>+'FY-10, FEB-10 - JAN-11'!DV46*$EJ$79</f>
        <v>5507009.04</v>
      </c>
      <c r="DW46" s="431">
        <f>+'FY-10, FEB-10 - JAN-11'!DW46*$EJ$79</f>
        <v>904379.85600000015</v>
      </c>
      <c r="DX46" s="431">
        <f>+'FY-10, FEB-10 - JAN-11'!DX46*$EJ$79</f>
        <v>3110983.4880000004</v>
      </c>
      <c r="DY46" s="431">
        <f>+'FY-10, FEB-10 - JAN-11'!DY46*$EJ$79</f>
        <v>748026.57600000012</v>
      </c>
      <c r="DZ46" s="431">
        <f>+'FY-10, FEB-10 - JAN-11'!DZ46*$EJ$79</f>
        <v>2718264.4079999998</v>
      </c>
      <c r="EA46" s="431">
        <f>+'FY-10, FEB-10 - JAN-11'!EA46*$EJ$79</f>
        <v>1767122.7680000002</v>
      </c>
      <c r="EB46" s="431">
        <f>+'FY-10, FEB-10 - JAN-11'!EB46*$EJ$79</f>
        <v>998671.08</v>
      </c>
      <c r="EC46" s="431">
        <f>+'FY-10, FEB-10 - JAN-11'!EC46*$EJ$79</f>
        <v>515701.35200000007</v>
      </c>
      <c r="ED46" s="431">
        <f>+'FY-10, FEB-10 - JAN-11'!ED46*$EJ$79</f>
        <v>70475.936000000002</v>
      </c>
      <c r="EE46" s="431">
        <f>+'FY-10, FEB-10 - JAN-11'!EE46*$EJ$79</f>
        <v>1958974.6320000002</v>
      </c>
      <c r="EF46" s="431">
        <f>+'FY-10, FEB-10 - JAN-11'!EF46*$EJ$79</f>
        <v>232690.75200000001</v>
      </c>
      <c r="EG46" s="431">
        <f>+'FY-10, FEB-10 - JAN-11'!EG46*$EJ$79</f>
        <v>76158.759999999995</v>
      </c>
      <c r="EH46" s="431">
        <f>+'FY-10, FEB-10 - JAN-11'!EH46*$EJ$79</f>
        <v>1805665.4879999999</v>
      </c>
      <c r="EI46" s="431">
        <f>+'FY-10, FEB-10 - JAN-11'!EI46*$EJ$79</f>
        <v>48455.16</v>
      </c>
      <c r="EJ46" s="888">
        <f>+'FY-10, FEB-10 - JAN-11'!EJ46*$EJ$79</f>
        <v>14881135.568000002</v>
      </c>
      <c r="EK46" s="431">
        <f>+'FY-10, FEB-10 - JAN-11'!EK46*$EJ$79</f>
        <v>769673.23200000008</v>
      </c>
      <c r="EL46" s="431">
        <f>+'FY-10, FEB-10 - JAN-11'!EL46*$EJ$79</f>
        <v>425501.17599999998</v>
      </c>
      <c r="EM46" s="431">
        <f>+'FY-10, FEB-10 - JAN-11'!EM46*$EJ$79</f>
        <v>8804355.4079999998</v>
      </c>
      <c r="EN46" s="431">
        <f>+'FY-10, FEB-10 - JAN-11'!EN46*$EJ$79</f>
        <v>51369.064000000006</v>
      </c>
      <c r="EO46" s="431">
        <f>+'FY-10, FEB-10 - JAN-11'!EO46*$EJ$79</f>
        <v>103947.952</v>
      </c>
      <c r="EP46" s="431">
        <f>+'FY-10, FEB-10 - JAN-11'!EP46*$EJ$79</f>
        <v>10106907.872000001</v>
      </c>
      <c r="EQ46" s="431">
        <f>+'FY-10, FEB-10 - JAN-11'!EQ46*$EJ$79</f>
        <v>2455266.4559999998</v>
      </c>
      <c r="ER46" s="431">
        <f>+'FY-10, FEB-10 - JAN-11'!ER46*$EJ$79</f>
        <v>360299.94400000008</v>
      </c>
      <c r="ES46" s="431">
        <f>+'FY-10, FEB-10 - JAN-11'!ES46*$EJ$79</f>
        <v>1240034.4480000001</v>
      </c>
      <c r="ET46" s="431">
        <f>+'FY-10, FEB-10 - JAN-11'!ET46*$EJ$79</f>
        <v>313828.408</v>
      </c>
      <c r="EU46" s="431">
        <f>+'FY-10, FEB-10 - JAN-11'!EU46*$EJ$79</f>
        <v>3434576.0640000002</v>
      </c>
      <c r="EV46" s="431">
        <f>+'FY-10, FEB-10 - JAN-11'!EV46*$EJ$79</f>
        <v>195624.68799999999</v>
      </c>
      <c r="EW46" s="431">
        <f>+'FY-10, FEB-10 - JAN-11'!EW46*$EJ$79</f>
        <v>2074120.7440000002</v>
      </c>
      <c r="EX46" s="431">
        <f>+'FY-10, FEB-10 - JAN-11'!EX46*$EJ$79</f>
        <v>658318.80000000005</v>
      </c>
      <c r="EY46" s="431">
        <f>+'FY-10, FEB-10 - JAN-11'!EY46*$EJ$79</f>
        <v>289134.712</v>
      </c>
      <c r="EZ46" s="431">
        <f>+'FY-10, FEB-10 - JAN-11'!EZ46*$EJ$79</f>
        <v>2746136.9920000006</v>
      </c>
      <c r="FA46" s="431">
        <f>+'FY-10, FEB-10 - JAN-11'!FA46*$EJ$79</f>
        <v>233272.55999999997</v>
      </c>
      <c r="FB46" s="431">
        <f>+'FY-10, FEB-10 - JAN-11'!FB46*$EJ$79</f>
        <v>2628709.1040000003</v>
      </c>
      <c r="FC46" s="431">
        <f>+'FY-10, FEB-10 - JAN-11'!FC46*$EJ$79</f>
        <v>271765.576</v>
      </c>
      <c r="FD46" s="431">
        <f>+'FY-10, FEB-10 - JAN-11'!FD46*$EJ$79</f>
        <v>4930334.2</v>
      </c>
      <c r="FE46" s="431">
        <f>+'FY-10, FEB-10 - JAN-11'!FE46*$EJ$79</f>
        <v>338410.67200000002</v>
      </c>
      <c r="FF46" s="888">
        <f>+'FY-10, FEB-10 - JAN-11'!FF46*$EJ$79</f>
        <v>4648337.0479999995</v>
      </c>
      <c r="FG46" s="431">
        <f>+'FY-10, FEB-10 - JAN-11'!FG46*$EJ$79</f>
        <v>235715.696</v>
      </c>
      <c r="FH46" s="431">
        <f>+'FY-10, FEB-10 - JAN-11'!FH46*$EJ$79</f>
        <v>95276.983999999997</v>
      </c>
      <c r="FI46" s="431">
        <f>+'FY-10, FEB-10 - JAN-11'!FI46*$EJ$79</f>
        <v>8427976.296000002</v>
      </c>
      <c r="FJ46" s="431">
        <f>+'FY-10, FEB-10 - JAN-11'!FJ46*$EJ$79</f>
        <v>1253634.4800000002</v>
      </c>
      <c r="FK46" s="431">
        <f>+'FY-10, FEB-10 - JAN-11'!FK46*$EJ$79</f>
        <v>7024875.1440000003</v>
      </c>
      <c r="FL46" s="431">
        <f>+'FY-10, FEB-10 - JAN-11'!FL46*$EJ$79</f>
        <v>359232.36800000002</v>
      </c>
      <c r="FM46" s="431">
        <f>+'FY-10, FEB-10 - JAN-11'!FM46*$EJ$79</f>
        <v>245478.40800000002</v>
      </c>
      <c r="FN46" s="431">
        <f>+'FY-10, FEB-10 - JAN-11'!FN46*$EJ$79</f>
        <v>11539833.68</v>
      </c>
      <c r="FO46" s="431">
        <f>+'FY-10, FEB-10 - JAN-11'!FO46*$EJ$79</f>
        <v>615033.44000000006</v>
      </c>
      <c r="FP46" s="431">
        <f>+'FY-10, FEB-10 - JAN-11'!FP46*$EJ$79</f>
        <v>7022949.4880000018</v>
      </c>
      <c r="FQ46" s="431">
        <f>+'FY-10, FEB-10 - JAN-11'!FQ46*$EJ$79</f>
        <v>736942.11200000008</v>
      </c>
      <c r="FR46" s="431">
        <f>+'FY-10, FEB-10 - JAN-11'!FR46*$EJ$79</f>
        <v>1329514.0240000002</v>
      </c>
      <c r="FS46" s="431">
        <f>+'FY-10, FEB-10 - JAN-11'!FS46*$EJ$79</f>
        <v>3208104.6960000005</v>
      </c>
      <c r="FT46" s="431">
        <f>+'FY-10, FEB-10 - JAN-11'!FT46*$EJ$79</f>
        <v>525900.82399999991</v>
      </c>
      <c r="FU46" s="431">
        <f>+'FY-10, FEB-10 - JAN-11'!FU46*$EJ$79</f>
        <v>2765932.6080000005</v>
      </c>
      <c r="FV46" s="431">
        <f>+'FY-10, FEB-10 - JAN-11'!FV46*$EJ$79</f>
        <v>961401.77600000007</v>
      </c>
      <c r="FW46" s="431">
        <f>+'FY-10, FEB-10 - JAN-11'!FW46*$EJ$79</f>
        <v>3827020.4159999997</v>
      </c>
      <c r="FX46" s="431">
        <f>+'FY-10, FEB-10 - JAN-11'!FX46*$EJ$79</f>
        <v>3707537.16</v>
      </c>
      <c r="FY46" s="431">
        <f>+'FY-10, FEB-10 - JAN-11'!FY46*$EJ$79</f>
        <v>1750434.8240000003</v>
      </c>
      <c r="FZ46" s="888">
        <f>+'FY-10, FEB-10 - JAN-11'!FZ46*$EJ$79</f>
        <v>395903.92000000004</v>
      </c>
      <c r="GA46" s="431">
        <f>+'FY-10, FEB-10 - JAN-11'!GA46*$EJ$79</f>
        <v>791502.3280000001</v>
      </c>
      <c r="GB46" s="431">
        <f>+'FY-10, FEB-10 - JAN-11'!GB46*$EJ$79</f>
        <v>8058640.0959999999</v>
      </c>
      <c r="GC46" s="431">
        <f>+'FY-10, FEB-10 - JAN-11'!GC46*$EJ$79</f>
        <v>1367308.9040000001</v>
      </c>
      <c r="GD46" s="431">
        <f>+'FY-10, FEB-10 - JAN-11'!GD46*$EJ$79</f>
        <v>352655.34400000004</v>
      </c>
      <c r="GE46" s="431">
        <f>+'FY-10, FEB-10 - JAN-11'!GE46*$EJ$79</f>
        <v>6082155.1200000001</v>
      </c>
      <c r="GF46" s="431">
        <f>+'FY-10, FEB-10 - JAN-11'!GF46*$EJ$79</f>
        <v>550902.05599999998</v>
      </c>
      <c r="GG46" s="431">
        <f>+'FY-10, FEB-10 - JAN-11'!GG46*$EJ$79</f>
        <v>2921414.4879999999</v>
      </c>
      <c r="GH46" s="431">
        <f>+'FY-10, FEB-10 - JAN-11'!GH46*$EJ$79</f>
        <v>349970.48</v>
      </c>
      <c r="GI46" s="431">
        <f>+'FY-10, FEB-10 - JAN-11'!GI46*$EJ$79</f>
        <v>1563770.6400000001</v>
      </c>
      <c r="GJ46" s="431">
        <f>+'FY-10, FEB-10 - JAN-11'!GJ46*$EJ$79</f>
        <v>664727.64000000013</v>
      </c>
      <c r="GK46" s="431">
        <f>+'FY-10, FEB-10 - JAN-11'!GK46*$EJ$79</f>
        <v>1371239.4880000001</v>
      </c>
      <c r="GL46" s="431">
        <f>+'FY-10, FEB-10 - JAN-11'!GL46*$EJ$79</f>
        <v>4817968.1520000007</v>
      </c>
      <c r="GM46" s="431">
        <f>+'FY-10, FEB-10 - JAN-11'!GM46*$EJ$79</f>
        <v>1036475.6880000001</v>
      </c>
      <c r="GN46" s="431">
        <f>+'FY-10, FEB-10 - JAN-11'!GN46*$EJ$79</f>
        <v>2643916.3680000002</v>
      </c>
      <c r="GO46" s="431">
        <f>+'FY-10, FEB-10 - JAN-11'!GO46*$EJ$79</f>
        <v>264888.09600000002</v>
      </c>
      <c r="GP46" s="431">
        <f>+'FY-10, FEB-10 - JAN-11'!GP46*$EJ$79</f>
        <v>224150.27200000003</v>
      </c>
      <c r="GQ46" s="431">
        <f>+'FY-10, FEB-10 - JAN-11'!GQ46*$EJ$79</f>
        <v>1587233.8720000002</v>
      </c>
      <c r="GR46" s="431">
        <f>+'FY-10, FEB-10 - JAN-11'!GR46*$EJ$79</f>
        <v>4252928.1680000005</v>
      </c>
      <c r="GS46" s="431">
        <f>+'FY-10, FEB-10 - JAN-11'!GS46*$EJ$79</f>
        <v>5434644.1840000004</v>
      </c>
      <c r="GT46" s="431">
        <f>+'FY-10, FEB-10 - JAN-11'!GT46*$EJ$79</f>
        <v>915627.12</v>
      </c>
      <c r="GU46" s="888">
        <f>+'FY-10, FEB-10 - JAN-11'!GU46*$EJ$79</f>
        <v>6956299.8159999996</v>
      </c>
      <c r="GV46" s="431">
        <f>+'FY-10, FEB-10 - JAN-11'!GV46*$EJ$79</f>
        <v>1069400.9439999999</v>
      </c>
      <c r="GW46" s="431">
        <f>+'FY-10, FEB-10 - JAN-11'!GW46*$EJ$79</f>
        <v>4170925.9920000006</v>
      </c>
      <c r="GX46" s="431">
        <f>+'FY-10, FEB-10 - JAN-11'!GX46*$EJ$79</f>
        <v>657399.9040000001</v>
      </c>
      <c r="GY46" s="431">
        <f>+'FY-10, FEB-10 - JAN-11'!GY46*$EJ$79</f>
        <v>341875.60800000001</v>
      </c>
      <c r="GZ46" s="431">
        <f>+'FY-10, FEB-10 - JAN-11'!GZ46*$EJ$79</f>
        <v>10682477.432000002</v>
      </c>
      <c r="HA46" s="431">
        <f>+'FY-10, FEB-10 - JAN-11'!HA46*$EJ$79</f>
        <v>3280813.44</v>
      </c>
      <c r="HB46" s="431">
        <f>+'FY-10, FEB-10 - JAN-11'!HB46*$EJ$79</f>
        <v>258653.61600000004</v>
      </c>
      <c r="HC46" s="431">
        <f>+'FY-10, FEB-10 - JAN-11'!HC46*$EJ$79</f>
        <v>538089.44800000009</v>
      </c>
      <c r="HD46" s="431">
        <f>+'FY-10, FEB-10 - JAN-11'!HD46*$EJ$79</f>
        <v>1657042.2720000001</v>
      </c>
      <c r="HE46" s="431">
        <f>+'FY-10, FEB-10 - JAN-11'!HE46*$EJ$79</f>
        <v>299816.22400000005</v>
      </c>
      <c r="HF46" s="431">
        <f>+'FY-10, FEB-10 - JAN-11'!HF46*$EJ$79</f>
        <v>2909958.9600000004</v>
      </c>
      <c r="HG46" s="431">
        <f>+'FY-10, FEB-10 - JAN-11'!HG46*$EJ$79</f>
        <v>2564638.1120000002</v>
      </c>
      <c r="HH46" s="431">
        <f>+'FY-10, FEB-10 - JAN-11'!HH46*$EJ$79</f>
        <v>501905.04800000007</v>
      </c>
      <c r="HI46" s="431">
        <f>+'FY-10, FEB-10 - JAN-11'!HI46*$EJ$79</f>
        <v>2523646.9440000001</v>
      </c>
      <c r="HJ46" s="431">
        <f>+'FY-10, FEB-10 - JAN-11'!HJ46*$EJ$79</f>
        <v>510272.76000000007</v>
      </c>
      <c r="HK46" s="431">
        <f>+'FY-10, FEB-10 - JAN-11'!HK46*$EJ$79</f>
        <v>3077011.4000000004</v>
      </c>
      <c r="HL46" s="431">
        <f>+'FY-10, FEB-10 - JAN-11'!HL46*$EJ$79</f>
        <v>402273.16000000003</v>
      </c>
      <c r="HM46" s="431">
        <f>+'FY-10, FEB-10 - JAN-11'!HM46*$EJ$79</f>
        <v>286838.44800000003</v>
      </c>
      <c r="HN46" s="431">
        <f>+'FY-10, FEB-10 - JAN-11'!HN46*$EJ$79</f>
        <v>5675171.7280000001</v>
      </c>
      <c r="HO46" s="431">
        <f>+'FY-10, FEB-10 - JAN-11'!HO46*$EJ$79</f>
        <v>972814.91200000001</v>
      </c>
      <c r="HP46" s="888">
        <f>+'FY-10, FEB-10 - JAN-11'!HP46*$EJ$79</f>
        <v>2429295.92</v>
      </c>
      <c r="HQ46" s="431">
        <f>+'FY-10, FEB-10 - JAN-11'!HQ46*$EJ$79</f>
        <v>1006995.4960000002</v>
      </c>
      <c r="HR46" s="431">
        <f>+'FY-10, FEB-10 - JAN-11'!HR46*$EJ$79</f>
        <v>1134588.9920000001</v>
      </c>
      <c r="HS46" s="431">
        <f>+'FY-10, FEB-10 - JAN-11'!HS46*$EJ$79</f>
        <v>17955580.392000001</v>
      </c>
      <c r="HT46" s="431">
        <f>+'FY-10, FEB-10 - JAN-11'!HT46*$EJ$79</f>
        <v>1147021.808</v>
      </c>
      <c r="HU46" s="431">
        <f>+'FY-10, FEB-10 - JAN-11'!HU46*$EJ$79</f>
        <v>831003.4</v>
      </c>
      <c r="HV46" s="431">
        <f>+'FY-10, FEB-10 - JAN-11'!HV46*$EJ$79</f>
        <v>691603.47200000007</v>
      </c>
      <c r="HW46" s="431">
        <f>+'FY-10, FEB-10 - JAN-11'!HW46*$EJ$79</f>
        <v>901880.21600000001</v>
      </c>
      <c r="HX46" s="431">
        <f>+'FY-10, FEB-10 - JAN-11'!HX46*$EJ$79</f>
        <v>303350.02400000003</v>
      </c>
      <c r="HY46" s="431">
        <f>+'FY-10, FEB-10 - JAN-11'!HY46*$EJ$79</f>
        <v>92945.896000000008</v>
      </c>
      <c r="HZ46" s="431">
        <f>+'FY-10, FEB-10 - JAN-11'!HZ46*$EJ$79</f>
        <v>3000111.9120000005</v>
      </c>
      <c r="IA46" s="431">
        <f>+'FY-10, FEB-10 - JAN-11'!IA46*$EJ$79</f>
        <v>224335.2</v>
      </c>
      <c r="IB46" s="431">
        <f>+'FY-10, FEB-10 - JAN-11'!IB46*$EJ$79</f>
        <v>54382.671999999999</v>
      </c>
      <c r="IC46" s="431">
        <f>+'FY-10, FEB-10 - JAN-11'!IC46*$EJ$79</f>
        <v>82652.200000000012</v>
      </c>
      <c r="ID46" s="431">
        <f>+'FY-10, FEB-10 - JAN-11'!ID46*$EJ$79</f>
        <v>755033.88800000004</v>
      </c>
      <c r="IE46" s="431">
        <f>+'FY-10, FEB-10 - JAN-11'!IE46*$EJ$79</f>
        <v>1043509.52</v>
      </c>
      <c r="IF46" s="431">
        <f>+'FY-10, FEB-10 - JAN-11'!IF46*$EJ$79</f>
        <v>69798.224000000002</v>
      </c>
      <c r="IG46" s="431">
        <f>+'FY-10, FEB-10 - JAN-11'!IG46*$EJ$79</f>
        <v>163100.872</v>
      </c>
      <c r="IH46" s="431">
        <f>+'FY-10, FEB-10 - JAN-11'!IH46*$EJ$79</f>
        <v>1550909.7599999998</v>
      </c>
      <c r="II46" s="431">
        <f>+'FY-10, FEB-10 - JAN-11'!II46*$EJ$79</f>
        <v>397437.64</v>
      </c>
      <c r="IJ46" s="431">
        <f>+'FY-10, FEB-10 - JAN-11'!IJ46*$EJ$79</f>
        <v>893489.65600000008</v>
      </c>
      <c r="IK46" s="431">
        <f>+'FY-10, FEB-10 - JAN-11'!IK46*$EJ$79</f>
        <v>744456.4</v>
      </c>
      <c r="IL46" s="888">
        <f>+'FY-10, FEB-10 - JAN-11'!IL46*$EJ$79</f>
        <v>815453.17599999998</v>
      </c>
      <c r="IM46" s="431">
        <f>+'FY-10, FEB-10 - JAN-11'!IM46*$EJ$79</f>
        <v>6777938.608</v>
      </c>
      <c r="IN46" s="431">
        <f>+'FY-10, FEB-10 - JAN-11'!IN46*$EJ$79</f>
        <v>387662.42400000006</v>
      </c>
      <c r="IO46" s="431">
        <f>+'FY-10, FEB-10 - JAN-11'!IO46*$EJ$79</f>
        <v>430102.08799999999</v>
      </c>
      <c r="IP46" s="431">
        <f>+'FY-10, FEB-10 - JAN-11'!IP46*$EJ$79</f>
        <v>596675.79200000002</v>
      </c>
      <c r="IQ46" s="431">
        <f>+'FY-10, FEB-10 - JAN-11'!IQ46*$EJ$79</f>
        <v>6496469.1519999998</v>
      </c>
      <c r="IR46" s="431">
        <f>+'FY-10, FEB-10 - JAN-11'!IR46*$EJ$79</f>
        <v>255140.52800000005</v>
      </c>
      <c r="IS46" s="431">
        <f>+'FY-10, FEB-10 - JAN-11'!IS46*$EJ$79</f>
        <v>1284564.0080000001</v>
      </c>
      <c r="IT46" s="431">
        <f>+'FY-10, FEB-10 - JAN-11'!IT46*$EJ$79</f>
        <v>605174.46400000004</v>
      </c>
      <c r="IU46" s="431">
        <f>+'FY-10, FEB-10 - JAN-11'!IU46*$EJ$79</f>
        <v>753964.56799999997</v>
      </c>
      <c r="IV46" s="431">
        <f>+'FY-10, FEB-10 - JAN-11'!IV46*$EJ$79</f>
        <v>4284200.3839999996</v>
      </c>
      <c r="IW46" s="682"/>
      <c r="IX46" s="407">
        <f>+D46*$EJ$77*$EJ$79</f>
        <v>1519198.0559999999</v>
      </c>
      <c r="IY46" s="407">
        <f t="shared" ref="IY46:JH46" si="57">+E46*$EJ$77*$EJ$79</f>
        <v>97189.531199999998</v>
      </c>
      <c r="IZ46" s="407">
        <f t="shared" si="57"/>
        <v>214131.18240000002</v>
      </c>
      <c r="JA46" s="407">
        <f t="shared" si="57"/>
        <v>232848.82080000002</v>
      </c>
      <c r="JB46" s="407">
        <f t="shared" si="57"/>
        <v>362324.23200000002</v>
      </c>
      <c r="JC46" s="407">
        <f t="shared" si="57"/>
        <v>2528415.3744000001</v>
      </c>
      <c r="JD46" s="407">
        <f t="shared" si="57"/>
        <v>1007884.0008</v>
      </c>
      <c r="JE46" s="407">
        <f t="shared" si="57"/>
        <v>802505.9952</v>
      </c>
      <c r="JF46" s="407">
        <f t="shared" si="57"/>
        <v>485110.43280000001</v>
      </c>
      <c r="JG46" s="407">
        <f t="shared" si="57"/>
        <v>2687729.7168000005</v>
      </c>
      <c r="JH46" s="407">
        <f t="shared" si="57"/>
        <v>513266.9976</v>
      </c>
      <c r="JI46" s="4">
        <f t="shared" si="49"/>
        <v>636238402.13999987</v>
      </c>
      <c r="JJ46" s="58"/>
      <c r="JK46" s="58">
        <f>SUM(C46:JJ46)</f>
        <v>1277832054.7599995</v>
      </c>
    </row>
    <row r="47" spans="1:271" ht="14.1" customHeight="1" thickBot="1">
      <c r="A47" s="4" t="s">
        <v>45</v>
      </c>
      <c r="B47" s="4"/>
      <c r="C47" s="189">
        <v>12587.21</v>
      </c>
      <c r="D47" s="4">
        <v>20768.87</v>
      </c>
      <c r="E47" s="4">
        <v>9746.4</v>
      </c>
      <c r="F47" s="4">
        <v>300.77999999999997</v>
      </c>
      <c r="G47" s="813">
        <v>2761469.42</v>
      </c>
      <c r="H47" s="4">
        <v>3157.3599999999997</v>
      </c>
      <c r="I47" s="4">
        <v>9552.77</v>
      </c>
      <c r="J47" s="4">
        <v>14717.53</v>
      </c>
      <c r="K47" s="4">
        <v>4046.18</v>
      </c>
      <c r="L47" s="4">
        <v>7540.8</v>
      </c>
      <c r="M47" s="4">
        <v>9051.5400000000009</v>
      </c>
      <c r="N47" s="238">
        <v>55377050.289999999</v>
      </c>
      <c r="O47" s="4">
        <v>54915.1</v>
      </c>
      <c r="P47" s="4">
        <v>76467.8</v>
      </c>
      <c r="Q47" s="813">
        <v>2687497.6699999995</v>
      </c>
      <c r="R47" s="4">
        <v>1927576.6</v>
      </c>
      <c r="S47" s="4">
        <v>220796.37</v>
      </c>
      <c r="T47" s="4">
        <v>188780.94</v>
      </c>
      <c r="U47" s="4">
        <v>17609.77</v>
      </c>
      <c r="V47" s="4">
        <v>653.02000000000044</v>
      </c>
      <c r="W47" s="4">
        <v>6235.47</v>
      </c>
      <c r="X47" s="4">
        <v>43736.130000000005</v>
      </c>
      <c r="Y47" s="4">
        <v>1082.8499999999999</v>
      </c>
      <c r="Z47" s="813">
        <v>3062110.89</v>
      </c>
      <c r="AA47" s="4">
        <v>13891.68</v>
      </c>
      <c r="AB47" s="4">
        <v>16299.32</v>
      </c>
      <c r="AC47" s="4">
        <v>28266.54</v>
      </c>
      <c r="AD47" s="4">
        <v>2402.62</v>
      </c>
      <c r="AE47" s="4">
        <v>3922.6</v>
      </c>
      <c r="AF47" s="4">
        <v>19465.45</v>
      </c>
      <c r="AG47" s="833">
        <v>54963461.490000002</v>
      </c>
      <c r="AH47" s="4">
        <v>47518.59</v>
      </c>
      <c r="AI47" s="4">
        <v>52805.79</v>
      </c>
      <c r="AJ47" s="819">
        <v>3236563.77</v>
      </c>
      <c r="AK47" s="4">
        <v>84048.56</v>
      </c>
      <c r="AL47" s="4">
        <v>58221.439999999995</v>
      </c>
      <c r="AM47" s="4">
        <v>36414.92</v>
      </c>
      <c r="AN47" s="4">
        <v>28154.82</v>
      </c>
      <c r="AO47" s="577">
        <v>4212.95</v>
      </c>
      <c r="AP47" s="4">
        <v>5759.66</v>
      </c>
      <c r="AQ47" s="4">
        <v>1531.07</v>
      </c>
      <c r="AR47" s="4">
        <v>18538.070000000003</v>
      </c>
      <c r="AS47" s="4">
        <v>278.89999999999998</v>
      </c>
      <c r="AT47" s="819">
        <v>2258809.0099999998</v>
      </c>
      <c r="AU47" s="4">
        <v>17480.68</v>
      </c>
      <c r="AV47" s="4">
        <v>17187.66</v>
      </c>
      <c r="AW47" s="4">
        <v>13281.31</v>
      </c>
      <c r="AX47" s="4">
        <v>1964.88</v>
      </c>
      <c r="AY47" s="4">
        <v>5231.6499999999996</v>
      </c>
      <c r="AZ47" s="4">
        <v>1203.6300000000001</v>
      </c>
      <c r="BA47" s="4">
        <v>1420.42</v>
      </c>
      <c r="BB47" s="4">
        <v>902.13000000000011</v>
      </c>
      <c r="BC47" s="4">
        <v>1782.39</v>
      </c>
      <c r="BD47" s="813">
        <v>58719956.82</v>
      </c>
      <c r="BE47" s="4">
        <v>74682.81</v>
      </c>
      <c r="BF47" s="4">
        <v>88634.98</v>
      </c>
      <c r="BG47" s="4">
        <v>71144.72</v>
      </c>
      <c r="BH47" s="4">
        <v>168131.99</v>
      </c>
      <c r="BI47" s="4">
        <v>94338.35</v>
      </c>
      <c r="BJ47" s="4">
        <v>17399.190000000002</v>
      </c>
      <c r="BK47" s="4">
        <v>4884.5200000000004</v>
      </c>
      <c r="BL47" s="4">
        <v>12134.51</v>
      </c>
      <c r="BM47" s="4">
        <v>45781.21</v>
      </c>
      <c r="BN47" s="819">
        <v>3326071.3899999997</v>
      </c>
      <c r="BO47" s="4">
        <v>28494.55</v>
      </c>
      <c r="BP47" s="4">
        <v>20690.599999999999</v>
      </c>
      <c r="BQ47" s="4">
        <v>4856.82</v>
      </c>
      <c r="BR47" s="4">
        <v>12069.56</v>
      </c>
      <c r="BS47" s="4">
        <v>7291.96</v>
      </c>
      <c r="BT47" s="4">
        <v>2969.62</v>
      </c>
      <c r="BU47" s="4">
        <v>865.67</v>
      </c>
      <c r="BV47" s="4">
        <v>482.6</v>
      </c>
      <c r="BW47" s="4">
        <v>151.43</v>
      </c>
      <c r="BX47" s="829">
        <v>60282949.280000001</v>
      </c>
      <c r="BY47" s="4">
        <v>109311.06</v>
      </c>
      <c r="BZ47" s="4">
        <v>274787.46999999997</v>
      </c>
      <c r="CA47" s="4">
        <v>89178.14</v>
      </c>
      <c r="CB47" s="4">
        <v>14450.52</v>
      </c>
      <c r="CC47" s="4">
        <v>35228.93</v>
      </c>
      <c r="CD47" s="4">
        <v>11812.94</v>
      </c>
      <c r="CE47" s="4">
        <v>4008.27</v>
      </c>
      <c r="CF47" s="4">
        <v>27187.79</v>
      </c>
      <c r="CG47" s="4">
        <v>16632.53</v>
      </c>
      <c r="CH47" s="813">
        <v>3097302.56</v>
      </c>
      <c r="CI47" s="4">
        <v>15760.66</v>
      </c>
      <c r="CJ47" s="4">
        <v>29841.24</v>
      </c>
      <c r="CK47" s="4">
        <v>48296.92</v>
      </c>
      <c r="CL47" s="4">
        <v>4307.42</v>
      </c>
      <c r="CM47" s="4">
        <v>4105.5600000000004</v>
      </c>
      <c r="CN47" s="4">
        <v>879.99</v>
      </c>
      <c r="CO47" s="4">
        <v>4902.4399999999996</v>
      </c>
      <c r="CP47" s="4">
        <v>697.49</v>
      </c>
      <c r="CQ47" s="813">
        <v>2758345.92</v>
      </c>
      <c r="CR47" s="4">
        <v>6314.7</v>
      </c>
      <c r="CS47" s="4">
        <v>36411.799999999996</v>
      </c>
      <c r="CT47" s="826">
        <v>54701054.770000003</v>
      </c>
      <c r="CU47" s="4">
        <v>172357.01</v>
      </c>
      <c r="CV47" s="4">
        <v>105271.4</v>
      </c>
      <c r="CW47" s="4">
        <v>146823.80000000002</v>
      </c>
      <c r="CX47" s="4">
        <v>33095.74</v>
      </c>
      <c r="CY47" s="4">
        <v>61288.639999999999</v>
      </c>
      <c r="CZ47" s="4">
        <v>8757.0400000000009</v>
      </c>
      <c r="DA47" s="819">
        <v>1710293.75</v>
      </c>
      <c r="DB47" s="4">
        <v>11283.79</v>
      </c>
      <c r="DC47" s="4">
        <v>193367.85</v>
      </c>
      <c r="DD47" s="4">
        <v>4340.6499999999996</v>
      </c>
      <c r="DE47" s="4">
        <v>981.93</v>
      </c>
      <c r="DF47" s="4">
        <v>485.49</v>
      </c>
      <c r="DG47" s="4">
        <v>2274.3000000000002</v>
      </c>
      <c r="DH47" s="4">
        <v>1355.13</v>
      </c>
      <c r="DI47" s="4">
        <v>4324.07</v>
      </c>
      <c r="DJ47" s="819">
        <v>1647232.22</v>
      </c>
      <c r="DK47" s="4">
        <v>0</v>
      </c>
      <c r="DL47" s="4">
        <f>+'FY-10, FEB-10 - JAN-11'!DL47</f>
        <v>41997.13</v>
      </c>
      <c r="DM47" s="4">
        <f>+'FY-10, FEB-10 - JAN-11'!DM47</f>
        <v>21309.52</v>
      </c>
      <c r="DN47" s="4">
        <f>+'FY-10, FEB-10 - JAN-11'!DN47</f>
        <v>24515.17</v>
      </c>
      <c r="DO47" s="825">
        <f>J87</f>
        <v>54666175.450495467</v>
      </c>
      <c r="DP47" s="4">
        <f>+'FY-10, FEB-10 - JAN-11'!DP47</f>
        <v>117408.89</v>
      </c>
      <c r="DQ47" s="4">
        <f>+'FY-10, FEB-10 - JAN-11'!DQ47</f>
        <v>253709.6</v>
      </c>
      <c r="DR47" s="4">
        <f>+'FY-10, FEB-10 - JAN-11'!DR47</f>
        <v>17451.79</v>
      </c>
      <c r="DS47" s="4">
        <f>+'FY-10, FEB-10 - JAN-11'!DS47</f>
        <v>34342.17</v>
      </c>
      <c r="DT47" s="819">
        <f>+'FY-10, FEB-10 - JAN-11'!DU47*K109</f>
        <v>1715422.986</v>
      </c>
      <c r="DU47" s="4">
        <f>+'FY-10, FEB-10 - JAN-11'!DT47</f>
        <v>148400.44999999998</v>
      </c>
      <c r="DV47" s="4">
        <f>+'FY-10, FEB-10 - JAN-11'!DV47</f>
        <v>106398.62</v>
      </c>
      <c r="DW47" s="4">
        <f>+'FY-10, FEB-10 - JAN-11'!DW47</f>
        <v>59137.3</v>
      </c>
      <c r="DX47" s="4">
        <f>+'FY-10, FEB-10 - JAN-11'!DX47</f>
        <v>23812.86</v>
      </c>
      <c r="DY47" s="4">
        <f>+'FY-10, FEB-10 - JAN-11'!DY47</f>
        <v>25338.21</v>
      </c>
      <c r="DZ47" s="4">
        <f>+'FY-10, FEB-10 - JAN-11'!DZ47</f>
        <v>97717.55</v>
      </c>
      <c r="EA47" s="4">
        <f>+'FY-10, FEB-10 - JAN-11'!EA47</f>
        <v>7417.05</v>
      </c>
      <c r="EB47" s="4">
        <f>+'FY-10, FEB-10 - JAN-11'!EB47</f>
        <v>7125.93</v>
      </c>
      <c r="EC47" s="4">
        <f>+'FY-10, FEB-10 - JAN-11'!EC47</f>
        <v>8994.61</v>
      </c>
      <c r="ED47" s="819">
        <f>+'FY-10, FEB-10 - JAN-11'!EE47*K109</f>
        <v>1502836.7490000001</v>
      </c>
      <c r="EE47" s="4">
        <f>+'FY-10, FEB-10 - JAN-11'!ED47</f>
        <v>14059.35</v>
      </c>
      <c r="EF47" s="4">
        <f>+'FY-10, FEB-10 - JAN-11'!EF47</f>
        <v>48594.45</v>
      </c>
      <c r="EG47" s="4">
        <f>+'FY-10, FEB-10 - JAN-11'!EG47</f>
        <v>16556.16</v>
      </c>
      <c r="EH47" s="4">
        <f>+'FY-10, FEB-10 - JAN-11'!EH47</f>
        <v>4311.9399999999996</v>
      </c>
      <c r="EI47" s="4">
        <f>+'FY-10, FEB-10 - JAN-11'!EI47</f>
        <v>17969.39</v>
      </c>
      <c r="EJ47" s="826">
        <f>J88</f>
        <v>53045893.280093268</v>
      </c>
      <c r="EK47" s="4">
        <f>+'FY-10, FEB-10 - JAN-11'!EK47</f>
        <v>264828.40999999997</v>
      </c>
      <c r="EL47" s="4">
        <f>+'FY-10, FEB-10 - JAN-11'!EL47</f>
        <v>200185.12</v>
      </c>
      <c r="EM47" s="4">
        <f>+'FY-10, FEB-10 - JAN-11'!EM47</f>
        <v>132615.56</v>
      </c>
      <c r="EN47" s="819">
        <f>+'FY-10, FEB-10 - JAN-11'!EO47*K109</f>
        <v>1594673.1809999999</v>
      </c>
      <c r="EO47" s="4">
        <f>+'FY-10, FEB-10 - JAN-11'!EN47</f>
        <v>26575.31</v>
      </c>
      <c r="EP47" s="4">
        <f>+'FY-10, FEB-10 - JAN-11'!EP47</f>
        <v>14649.669999999998</v>
      </c>
      <c r="EQ47" s="4">
        <f>+'FY-10, FEB-10 - JAN-11'!EQ47</f>
        <v>45181.84</v>
      </c>
      <c r="ER47" s="4">
        <f>+'FY-10, FEB-10 - JAN-11'!ER47</f>
        <v>275319.14</v>
      </c>
      <c r="ES47" s="4">
        <f>+'FY-10, FEB-10 - JAN-11'!ES47</f>
        <v>169917.91</v>
      </c>
      <c r="ET47" s="4">
        <f>+'FY-10, FEB-10 - JAN-11'!ET47</f>
        <v>142027.16</v>
      </c>
      <c r="EU47" s="4">
        <f>+'FY-10, FEB-10 - JAN-11'!EU47</f>
        <v>131435.21</v>
      </c>
      <c r="EV47" s="4">
        <f>+'FY-10, FEB-10 - JAN-11'!EV47</f>
        <v>108357.51</v>
      </c>
      <c r="EW47" s="4">
        <f>+'FY-10, FEB-10 - JAN-11'!EW47*K109</f>
        <v>71458.838999999993</v>
      </c>
      <c r="EX47" s="819">
        <f>+'FY-10, FEB-10 - JAN-11'!EY47*K109</f>
        <v>2307443.6520000002</v>
      </c>
      <c r="EY47" s="4">
        <f>+'FY-10, FEB-10 - JAN-11'!EX47*$K$109</f>
        <v>89735.535000000003</v>
      </c>
      <c r="EZ47" s="4">
        <f>+'FY-10, FEB-10 - JAN-11'!EZ47*$K$109</f>
        <v>22586.183999999997</v>
      </c>
      <c r="FA47" s="4">
        <f>+'FY-10, FEB-10 - JAN-11'!FA47*$K$109</f>
        <v>59937.768000000004</v>
      </c>
      <c r="FB47" s="4">
        <f>+'FY-10, FEB-10 - JAN-11'!FB47*$K$109</f>
        <v>6404.4270000000006</v>
      </c>
      <c r="FC47" s="4">
        <f>+'FY-10, FEB-10 - JAN-11'!FC47*$K$109</f>
        <v>17541.684000000001</v>
      </c>
      <c r="FD47" s="4">
        <f>+'FY-10, FEB-10 - JAN-11'!FD47*$K$109</f>
        <v>10806.156000000001</v>
      </c>
      <c r="FE47" s="4">
        <f>+'FY-10, FEB-10 - JAN-11'!FE47*$K$109</f>
        <v>11893.563</v>
      </c>
      <c r="FF47" s="826">
        <f>J89</f>
        <v>52659476.351353303</v>
      </c>
      <c r="FG47" s="823">
        <f>+'FY-10, FEB-10 - JAN-11'!FH47*K109</f>
        <v>2450022.273</v>
      </c>
      <c r="FH47" s="4">
        <f>+'FY-10, FEB-10 - JAN-11'!FG47*K109</f>
        <v>85168.278000000006</v>
      </c>
      <c r="FI47" s="4">
        <f>+'FY-10, FEB-10 - JAN-11'!FI47*$K$109</f>
        <v>305088.39900000003</v>
      </c>
      <c r="FJ47" s="4">
        <f>+'FY-10, FEB-10 - JAN-11'!FJ47*$K$109</f>
        <v>248104.30500000002</v>
      </c>
      <c r="FK47" s="4">
        <f>+'FY-10, FEB-10 - JAN-11'!FK47*$K$109</f>
        <v>242883.9</v>
      </c>
      <c r="FL47" s="4">
        <f>+'FY-10, FEB-10 - JAN-11'!FL47*$K$109</f>
        <v>143308.98900000003</v>
      </c>
      <c r="FM47" s="4">
        <f>+'FY-10, FEB-10 - JAN-11'!FM47*$K$109</f>
        <v>39440.006999999998</v>
      </c>
      <c r="FN47" s="4">
        <f>+'FY-10, FEB-10 - JAN-11'!FN47*$K$109</f>
        <v>48049.775999999998</v>
      </c>
      <c r="FO47" s="4">
        <f>+'FY-10, FEB-10 - JAN-11'!FO47*$K$109</f>
        <v>28939.491000000002</v>
      </c>
      <c r="FP47" s="4">
        <f>+'FY-10, FEB-10 - JAN-11'!FP47*$K$109</f>
        <v>21822.255000000001</v>
      </c>
      <c r="FQ47" s="819">
        <f>+'FY-10, FEB-10 - JAN-11'!FR47*K109</f>
        <v>2622600.7289999998</v>
      </c>
      <c r="FR47" s="4">
        <f>+'FY-10, FEB-10 - JAN-11'!FQ47*K109</f>
        <v>12567.402</v>
      </c>
      <c r="FS47" s="4">
        <f>+'FY-10, FEB-10 - JAN-11'!FS47*$K$109</f>
        <v>22960.629000000001</v>
      </c>
      <c r="FT47" s="4">
        <f>+'FY-10, FEB-10 - JAN-11'!FT47*$K$109</f>
        <v>98581.05</v>
      </c>
      <c r="FU47" s="4">
        <f>+'FY-10, FEB-10 - JAN-11'!FU47*$K$109</f>
        <v>9439.4969999999994</v>
      </c>
      <c r="FV47" s="4">
        <f>+'FY-10, FEB-10 - JAN-11'!FV47*$K$109</f>
        <v>8829.27</v>
      </c>
      <c r="FW47" s="4">
        <f>+'FY-10, FEB-10 - JAN-11'!FW47*$K$109</f>
        <v>9410.4990000000016</v>
      </c>
      <c r="FX47" s="4">
        <f>+'FY-10, FEB-10 - JAN-11'!FX47*$K$109</f>
        <v>1819.818</v>
      </c>
      <c r="FY47" s="4">
        <f>+'FY-10, FEB-10 - JAN-11'!FY47*$K$109</f>
        <v>3130.8030000000003</v>
      </c>
      <c r="FZ47" s="827">
        <f>J90</f>
        <v>56455957.037308067</v>
      </c>
      <c r="GA47" s="4">
        <f>+'FY-10, FEB-10 - JAN-11'!FZ47*K109</f>
        <v>1429.587</v>
      </c>
      <c r="GB47" s="4">
        <f>+'FY-10, FEB-10 - JAN-11'!GB47*$K$109</f>
        <v>80111.798999999999</v>
      </c>
      <c r="GC47" s="4">
        <f>+'FY-10, FEB-10 - JAN-11'!GC47*$K$109</f>
        <v>197225.55000000002</v>
      </c>
      <c r="GD47" s="4">
        <f>+'FY-10, FEB-10 - JAN-11'!GD47*$K$109</f>
        <v>394441.48800000001</v>
      </c>
      <c r="GE47" s="4">
        <f>+'FY-10, FEB-10 - JAN-11'!GE47*$K$109</f>
        <v>42595.478999999999</v>
      </c>
      <c r="GF47" s="4">
        <f>+'FY-10, FEB-10 - JAN-11'!GF47*$K$109</f>
        <v>21352.662</v>
      </c>
      <c r="GG47" s="4">
        <f>+'FY-10, FEB-10 - JAN-11'!GG47*$K$109</f>
        <v>11993.769</v>
      </c>
      <c r="GH47" s="4">
        <f>+'FY-10, FEB-10 - JAN-11'!GH47*$K$109</f>
        <v>10522.323</v>
      </c>
      <c r="GI47" s="4">
        <f>+'FY-10, FEB-10 - JAN-11'!GI47*$K$109</f>
        <v>28595.187000000002</v>
      </c>
      <c r="GJ47" s="819">
        <f>+'FY-10, FEB-10 - JAN-11'!GK47*K109</f>
        <v>2969677.6830000002</v>
      </c>
      <c r="GK47" s="4">
        <f>+'FY-10, FEB-10 - JAN-11'!GJ47*K109</f>
        <v>20920.670999999998</v>
      </c>
      <c r="GL47" s="4">
        <f>+'FY-10, FEB-10 - JAN-11'!GL47*$K$109</f>
        <v>21699.144</v>
      </c>
      <c r="GM47" s="4">
        <f>+'FY-10, FEB-10 - JAN-11'!GM47*$K$109</f>
        <v>25440.660000000003</v>
      </c>
      <c r="GN47" s="4">
        <f>+'FY-10, FEB-10 - JAN-11'!GN47*$K$109</f>
        <v>7938.4139999999998</v>
      </c>
      <c r="GO47" s="4">
        <f>+'FY-10, FEB-10 - JAN-11'!GO47*$K$109</f>
        <v>4976.3069999999998</v>
      </c>
      <c r="GP47" s="4">
        <f>+'FY-10, FEB-10 - JAN-11'!GP47*$K$109</f>
        <v>7658.3969999999999</v>
      </c>
      <c r="GQ47" s="4">
        <f>+'FY-10, FEB-10 - JAN-11'!GQ47*$K$109</f>
        <v>9595.4490000000005</v>
      </c>
      <c r="GR47" s="4">
        <f>+'FY-10, FEB-10 - JAN-11'!GR47*$K$109</f>
        <v>3242.8890000000001</v>
      </c>
      <c r="GS47" s="819">
        <f>+'FY-10, FEB-10 - JAN-11'!GT47*K109</f>
        <v>2718527.1839999999</v>
      </c>
      <c r="GT47" s="4">
        <f>+'FY-10, FEB-10 - JAN-11'!GS47*K109</f>
        <v>3185.712</v>
      </c>
      <c r="GU47" s="827">
        <f>J91</f>
        <v>53192495.823796913</v>
      </c>
      <c r="GV47" s="4">
        <f>+'FY-10, FEB-10 - JAN-11'!GV47*$K$109</f>
        <v>126029.03400000001</v>
      </c>
      <c r="GW47" s="4">
        <f>+'FY-10, FEB-10 - JAN-11'!GW47*$K$109</f>
        <v>112422.834</v>
      </c>
      <c r="GX47" s="4">
        <f>+'FY-10, FEB-10 - JAN-11'!GX47*$K$109</f>
        <v>120451.554</v>
      </c>
      <c r="GY47" s="4">
        <f>+'FY-10, FEB-10 - JAN-11'!GY47*$K$109</f>
        <v>23711.823</v>
      </c>
      <c r="GZ47" s="4">
        <f>+'FY-10, FEB-10 - JAN-11'!GZ47*$K$109</f>
        <v>186696.57600000003</v>
      </c>
      <c r="HA47" s="4">
        <f>+'FY-10, FEB-10 - JAN-11'!HA47*$K$109</f>
        <v>84741.12000000001</v>
      </c>
      <c r="HB47" s="4">
        <f>+'FY-10, FEB-10 - JAN-11'!HB47*$K$109</f>
        <v>127583.10900000001</v>
      </c>
      <c r="HC47" s="819">
        <f>+'FY-10, FEB-10 - JAN-11'!HC47*K109</f>
        <v>2813012.8110000002</v>
      </c>
      <c r="HD47" s="4">
        <f>+'FY-10, FEB-10 - JAN-11'!HD47*$K$109</f>
        <v>22287.276000000002</v>
      </c>
      <c r="HE47" s="4">
        <f>+'FY-10, FEB-10 - JAN-11'!HE47*$K$109</f>
        <v>24090.237000000001</v>
      </c>
      <c r="HF47" s="4">
        <f>+'FY-10, FEB-10 - JAN-11'!HF47*$K$109</f>
        <v>14307.876</v>
      </c>
      <c r="HG47" s="4">
        <f>+'FY-10, FEB-10 - JAN-11'!HG47*$K$109</f>
        <v>0</v>
      </c>
      <c r="HH47" s="4">
        <f>+'FY-10, FEB-10 - JAN-11'!HH47*$K$109</f>
        <v>3145.9679999999998</v>
      </c>
      <c r="HI47" s="4">
        <f>+'FY-10, FEB-10 - JAN-11'!HI47*$K$109</f>
        <v>2117.3130000000001</v>
      </c>
      <c r="HJ47" s="4">
        <f>+'FY-10, FEB-10 - JAN-11'!HJ47*$K$109</f>
        <v>3577.8960000000002</v>
      </c>
      <c r="HK47" s="4">
        <f>+'FY-10, FEB-10 - JAN-11'!HK47*$K$109</f>
        <v>7651.6379999999999</v>
      </c>
      <c r="HL47" s="4">
        <f>+'FY-10, FEB-10 - JAN-11'!HL47*$K$109</f>
        <v>18034.082999999999</v>
      </c>
      <c r="HM47" s="819">
        <f>+'FY-10, FEB-10 - JAN-11'!HM47*K109</f>
        <v>2104867.8540000003</v>
      </c>
      <c r="HN47" s="4">
        <f>+'FY-10, FEB-10 - JAN-11'!HN47*$K$109</f>
        <v>10117.808999999999</v>
      </c>
      <c r="HO47" s="4">
        <f>+'FY-10, FEB-10 - JAN-11'!HO47*$K$109</f>
        <v>10091.592000000001</v>
      </c>
      <c r="HP47" s="824">
        <f>J92</f>
        <v>56530312.54669141</v>
      </c>
      <c r="HQ47" s="4">
        <f>+'FY-10, FEB-10 - JAN-11'!HQ47*$K$109</f>
        <v>104020.299</v>
      </c>
      <c r="HR47" s="4">
        <f>+'FY-10, FEB-10 - JAN-11'!HR47*$K$109</f>
        <v>108979.299</v>
      </c>
      <c r="HS47" s="4">
        <f>+'FY-10, FEB-10 - JAN-11'!HS47*$K$109</f>
        <v>212570.15400000001</v>
      </c>
      <c r="HT47" s="4">
        <f>+'FY-10, FEB-10 - JAN-11'!HT47*$K$109</f>
        <v>92137.968000000008</v>
      </c>
      <c r="HU47" s="819">
        <f>+'FY-10, FEB-10 - JAN-11'!HU47*K109</f>
        <v>1925738.3970000001</v>
      </c>
      <c r="HV47" s="819">
        <f>+'FY-10, FEB-10 - JAN-11'!HV47*K109</f>
        <v>2778940.1880000001</v>
      </c>
      <c r="HW47" s="4">
        <f>+'FY-10, FEB-10 - JAN-11'!HW47*$K$109</f>
        <v>9763.1010000000006</v>
      </c>
      <c r="HX47" s="4">
        <f>+'FY-10, FEB-10 - JAN-11'!HX47*$K$109</f>
        <v>13136.643</v>
      </c>
      <c r="HY47" s="4">
        <f>+'FY-10, FEB-10 - JAN-11'!HY47*$K$109</f>
        <v>14854.670999999998</v>
      </c>
      <c r="HZ47" s="4">
        <f>+'FY-10, FEB-10 - JAN-11'!HZ47*$K$109</f>
        <v>9233.9550000000017</v>
      </c>
      <c r="IA47" s="4">
        <f>+'FY-10, FEB-10 - JAN-11'!IA47*$K$109</f>
        <v>6988.7519999999995</v>
      </c>
      <c r="IB47" s="4">
        <f>+'FY-10, FEB-10 - JAN-11'!IB47*$K$109</f>
        <v>6764.3370000000004</v>
      </c>
      <c r="IC47" s="4">
        <f>+'FY-10, FEB-10 - JAN-11'!IC47*$K$109</f>
        <v>2181.5189999999998</v>
      </c>
      <c r="ID47" s="4">
        <f>+'FY-10, FEB-10 - JAN-11'!ID47*$K$109</f>
        <v>7587.0540000000001</v>
      </c>
      <c r="IE47" s="4">
        <f>+'FY-10, FEB-10 - JAN-11'!IE47*$K$109</f>
        <v>3521.3220000000001</v>
      </c>
      <c r="IF47" s="819">
        <f>+'FY-10, FEB-10 - JAN-11'!IG47*K109</f>
        <v>1536162.3630000001</v>
      </c>
      <c r="IG47" s="4">
        <f>+'FY-10, FEB-10 - JAN-11'!IF47*K109</f>
        <v>0</v>
      </c>
      <c r="IH47" s="4">
        <f>+'FY-10, FEB-10 - JAN-11'!IH47*$K$109</f>
        <v>10566.017999999998</v>
      </c>
      <c r="II47" s="4">
        <f>+'FY-10, FEB-10 - JAN-11'!II47*$K$109</f>
        <v>9949.3020000000015</v>
      </c>
      <c r="IJ47" s="4">
        <f>+'FY-10, FEB-10 - JAN-11'!IJ47*$K$109</f>
        <v>2181.1950000000002</v>
      </c>
      <c r="IK47" s="4">
        <f>+'FY-10, FEB-10 - JAN-11'!IK47*$K$109</f>
        <v>8131.536000000001</v>
      </c>
      <c r="IL47" s="826">
        <f>J93</f>
        <v>51162055.959150553</v>
      </c>
      <c r="IM47" s="4">
        <f>+'FY-10, FEB-10 - JAN-11'!IM47*$K$109</f>
        <v>97419.015000000014</v>
      </c>
      <c r="IN47" s="4">
        <f>+'FY-10, FEB-10 - JAN-11'!IN47*$K$109</f>
        <v>120858.417</v>
      </c>
      <c r="IO47" s="819">
        <f>+'FY-10, FEB-10 - JAN-11'!IP47*K109</f>
        <v>2628157.068</v>
      </c>
      <c r="IP47" s="4">
        <f>+'FY-10, FEB-10 - JAN-11'!IO47*K109</f>
        <v>11424.627</v>
      </c>
      <c r="IQ47" s="4">
        <f>+'FY-10, FEB-10 - JAN-11'!IQ47*$K$109</f>
        <v>58599.207000000002</v>
      </c>
      <c r="IR47" s="4">
        <f>+'FY-10, FEB-10 - JAN-11'!IR47*$K$109</f>
        <v>34522.74</v>
      </c>
      <c r="IS47" s="4">
        <f>+'FY-10, FEB-10 - JAN-11'!IS47*$K$109</f>
        <v>166556.196</v>
      </c>
      <c r="IT47" s="4">
        <f>+'FY-10, FEB-10 - JAN-11'!IT47*$K$109</f>
        <v>18358.056</v>
      </c>
      <c r="IU47" s="4">
        <f>+'FY-10, FEB-10 - JAN-11'!IU47*$K$109</f>
        <v>8397.1260000000002</v>
      </c>
      <c r="IV47" s="4">
        <f>+'FY-10, FEB-10 - JAN-11'!IV47*$K$109</f>
        <v>11328.489</v>
      </c>
      <c r="IW47" s="682"/>
      <c r="IX47" s="4">
        <f>+D47*$EJ$77*$K$109</f>
        <v>16822.7847</v>
      </c>
      <c r="IY47" s="4">
        <f t="shared" ref="IY47:IZ47" si="58">+E47*$EJ$77*$K$109</f>
        <v>7894.5840000000007</v>
      </c>
      <c r="IZ47" s="4">
        <f t="shared" si="58"/>
        <v>243.6318</v>
      </c>
      <c r="JA47" s="819">
        <f>+G47*K109</f>
        <v>2485322.4780000001</v>
      </c>
      <c r="JB47" s="4">
        <f t="shared" ref="JB47:JG47" si="59">+H47*$EJ$77*$K$109</f>
        <v>2557.4616000000001</v>
      </c>
      <c r="JC47" s="4">
        <f t="shared" si="59"/>
        <v>7737.7437000000009</v>
      </c>
      <c r="JD47" s="4">
        <f t="shared" si="59"/>
        <v>11921.1993</v>
      </c>
      <c r="JE47" s="4">
        <f t="shared" si="59"/>
        <v>3277.4058</v>
      </c>
      <c r="JF47" s="4">
        <f t="shared" si="59"/>
        <v>6108.0480000000007</v>
      </c>
      <c r="JG47" s="4">
        <f t="shared" si="59"/>
        <v>7331.7474000000011</v>
      </c>
      <c r="JH47" s="834">
        <f>+IL47</f>
        <v>51162055.959150553</v>
      </c>
      <c r="JI47" s="4">
        <f t="shared" si="49"/>
        <v>786083527.3973403</v>
      </c>
      <c r="JJ47" s="4"/>
      <c r="JK47" s="4">
        <f>SUM(C47:JJ47)</f>
        <v>1572179642.0046806</v>
      </c>
    </row>
    <row r="48" spans="1:271" s="57" customFormat="1" ht="14.1" customHeight="1">
      <c r="A48" s="59" t="s">
        <v>43</v>
      </c>
      <c r="B48" s="59"/>
      <c r="C48" s="255">
        <v>3238.54</v>
      </c>
      <c r="D48" s="58">
        <v>1506.75</v>
      </c>
      <c r="E48" s="58">
        <v>530.37</v>
      </c>
      <c r="F48" s="58">
        <v>0</v>
      </c>
      <c r="G48" s="830">
        <v>254.36</v>
      </c>
      <c r="H48" s="58">
        <v>5858.28</v>
      </c>
      <c r="I48" s="58">
        <v>209.1</v>
      </c>
      <c r="J48" s="59">
        <v>37.549999999999997</v>
      </c>
      <c r="K48" s="59">
        <v>68576.679999999993</v>
      </c>
      <c r="L48" s="59">
        <v>43179.15</v>
      </c>
      <c r="M48" s="59">
        <v>54024.160000000003</v>
      </c>
      <c r="N48" s="255">
        <v>32602.47</v>
      </c>
      <c r="O48" s="59">
        <v>16515.5</v>
      </c>
      <c r="P48" s="59">
        <v>5664.23</v>
      </c>
      <c r="Q48" s="485">
        <v>24615.33</v>
      </c>
      <c r="R48" s="59">
        <v>3747.38</v>
      </c>
      <c r="S48" s="59">
        <v>3876.06</v>
      </c>
      <c r="T48" s="58">
        <v>2735.22</v>
      </c>
      <c r="U48" s="58">
        <v>16930.419999999998</v>
      </c>
      <c r="V48" s="58">
        <v>4787.16</v>
      </c>
      <c r="W48" s="58">
        <v>3788.14</v>
      </c>
      <c r="X48" s="58">
        <v>8257.09</v>
      </c>
      <c r="Y48" s="58">
        <v>4771.3300000000008</v>
      </c>
      <c r="Z48" s="830">
        <v>13569.15</v>
      </c>
      <c r="AA48" s="58">
        <v>14411.94</v>
      </c>
      <c r="AB48" s="58">
        <v>3296.06</v>
      </c>
      <c r="AC48" s="58">
        <v>21307.9</v>
      </c>
      <c r="AD48" s="58">
        <v>31694.62</v>
      </c>
      <c r="AE48" s="58">
        <v>10243.969999999999</v>
      </c>
      <c r="AF48" s="58">
        <v>5949.32</v>
      </c>
      <c r="AG48" s="832">
        <v>9280.23</v>
      </c>
      <c r="AH48" s="58">
        <v>8236.5300000000007</v>
      </c>
      <c r="AI48" s="58">
        <v>24516.91</v>
      </c>
      <c r="AJ48" s="830">
        <v>16307.87</v>
      </c>
      <c r="AK48" s="58">
        <v>40808.06</v>
      </c>
      <c r="AL48" s="58">
        <v>8293.89</v>
      </c>
      <c r="AM48" s="58">
        <v>2540.64</v>
      </c>
      <c r="AN48" s="58">
        <v>1629.84</v>
      </c>
      <c r="AO48" s="569">
        <v>8108.38</v>
      </c>
      <c r="AP48" s="58">
        <v>7694.01</v>
      </c>
      <c r="AQ48" s="58">
        <v>10960.87</v>
      </c>
      <c r="AR48" s="58">
        <v>9536.56</v>
      </c>
      <c r="AS48" s="58">
        <v>4753.29</v>
      </c>
      <c r="AT48" s="830">
        <v>1860.88</v>
      </c>
      <c r="AU48" s="58">
        <v>8235.25</v>
      </c>
      <c r="AV48" s="58">
        <v>2884.4300000000003</v>
      </c>
      <c r="AW48" s="58">
        <v>4035.27</v>
      </c>
      <c r="AX48" s="58">
        <v>571.4</v>
      </c>
      <c r="AY48" s="58">
        <v>11066.33</v>
      </c>
      <c r="AZ48" s="58">
        <v>31729</v>
      </c>
      <c r="BA48" s="58">
        <v>21055.67</v>
      </c>
      <c r="BB48" s="58">
        <v>3885.15</v>
      </c>
      <c r="BC48" s="58">
        <v>15984.41</v>
      </c>
      <c r="BD48" s="400">
        <v>29906.09</v>
      </c>
      <c r="BE48" s="58">
        <v>32491.57</v>
      </c>
      <c r="BF48" s="58">
        <v>5021.4799999999996</v>
      </c>
      <c r="BG48" s="58">
        <v>8587.49</v>
      </c>
      <c r="BH48" s="58">
        <v>11292.32</v>
      </c>
      <c r="BI48" s="58">
        <v>12671.93</v>
      </c>
      <c r="BJ48" s="58">
        <v>8430.1299999999992</v>
      </c>
      <c r="BK48" s="407">
        <v>24804.36</v>
      </c>
      <c r="BL48" s="407">
        <v>7289.81</v>
      </c>
      <c r="BM48" s="407">
        <v>38938.49</v>
      </c>
      <c r="BN48" s="700">
        <v>7712.54</v>
      </c>
      <c r="BO48" s="407">
        <v>3490.15</v>
      </c>
      <c r="BP48" s="407">
        <v>4999.07</v>
      </c>
      <c r="BQ48" s="407">
        <v>4781.83</v>
      </c>
      <c r="BR48" s="407">
        <v>0</v>
      </c>
      <c r="BS48" s="407">
        <v>6224.4</v>
      </c>
      <c r="BT48" s="407">
        <v>31778.74</v>
      </c>
      <c r="BU48" s="407">
        <v>6172.46</v>
      </c>
      <c r="BV48" s="407">
        <v>22469.05</v>
      </c>
      <c r="BW48" s="407">
        <v>38578.78</v>
      </c>
      <c r="BX48" s="818">
        <v>12697.44</v>
      </c>
      <c r="BY48" s="407">
        <v>23116.62</v>
      </c>
      <c r="BZ48" s="407">
        <v>17551.669999999998</v>
      </c>
      <c r="CA48" s="407">
        <v>2936.79</v>
      </c>
      <c r="CB48" s="407">
        <v>28735.75</v>
      </c>
      <c r="CC48" s="407">
        <v>7681.37</v>
      </c>
      <c r="CD48" s="407">
        <v>25028.080000000002</v>
      </c>
      <c r="CE48" s="407">
        <v>6705.46</v>
      </c>
      <c r="CF48" s="407">
        <v>9432.23</v>
      </c>
      <c r="CG48" s="407">
        <v>8239.65</v>
      </c>
      <c r="CH48" s="700">
        <v>12252.86</v>
      </c>
      <c r="CI48" s="407">
        <v>25909.23</v>
      </c>
      <c r="CJ48" s="407">
        <v>3177.15</v>
      </c>
      <c r="CK48" s="407">
        <v>3483.88</v>
      </c>
      <c r="CL48" s="407">
        <v>8597.4</v>
      </c>
      <c r="CM48" s="407">
        <v>27145.66</v>
      </c>
      <c r="CN48" s="407">
        <v>50688.68</v>
      </c>
      <c r="CO48" s="407">
        <v>13246.48</v>
      </c>
      <c r="CP48" s="407">
        <v>2514.41</v>
      </c>
      <c r="CQ48" s="700">
        <v>12551.02</v>
      </c>
      <c r="CR48" s="407">
        <v>32618.93</v>
      </c>
      <c r="CS48" s="407">
        <v>23385.58</v>
      </c>
      <c r="CT48" s="818">
        <v>12585.2</v>
      </c>
      <c r="CU48" s="407">
        <v>752.22</v>
      </c>
      <c r="CV48" s="407">
        <v>4620.1400000000003</v>
      </c>
      <c r="CW48" s="407">
        <v>1703.31</v>
      </c>
      <c r="CX48" s="407">
        <v>3288.87</v>
      </c>
      <c r="CY48" s="407">
        <v>9369.0499999999993</v>
      </c>
      <c r="CZ48" s="407">
        <v>44467.55</v>
      </c>
      <c r="DA48" s="700">
        <v>12944.92</v>
      </c>
      <c r="DB48" s="407">
        <v>15229.4</v>
      </c>
      <c r="DC48" s="407">
        <v>10009.34</v>
      </c>
      <c r="DD48" s="407">
        <v>12966.24</v>
      </c>
      <c r="DE48" s="407">
        <v>5507.82</v>
      </c>
      <c r="DF48" s="407">
        <v>6241.73</v>
      </c>
      <c r="DG48" s="407">
        <v>30684.41</v>
      </c>
      <c r="DH48" s="407">
        <v>15585.89</v>
      </c>
      <c r="DI48" s="407">
        <v>8048.06</v>
      </c>
      <c r="DJ48" s="700">
        <v>12562.2</v>
      </c>
      <c r="DK48" s="407">
        <v>19340.43</v>
      </c>
      <c r="DL48" s="407">
        <f>+'FY-10, FEB-10 - JAN-11'!DL48</f>
        <v>10634.56</v>
      </c>
      <c r="DM48" s="407">
        <f>+'FY-10, FEB-10 - JAN-11'!DM48</f>
        <v>17790.490000000002</v>
      </c>
      <c r="DN48" s="407">
        <f>+'FY-10, FEB-10 - JAN-11'!DN48</f>
        <v>9515.7099999999991</v>
      </c>
      <c r="DO48" s="818">
        <f>+'FY-10, FEB-10 - JAN-11'!DO48</f>
        <v>44552.51</v>
      </c>
      <c r="DP48" s="407">
        <f>+'FY-10, FEB-10 - JAN-11'!DP48</f>
        <v>4915.12</v>
      </c>
      <c r="DQ48" s="407">
        <f>+'FY-10, FEB-10 - JAN-11'!DQ48</f>
        <v>54477.46</v>
      </c>
      <c r="DR48" s="407">
        <f>+'FY-10, FEB-10 - JAN-11'!DR48</f>
        <v>9450.61</v>
      </c>
      <c r="DS48" s="407">
        <f>+'FY-10, FEB-10 - JAN-11'!DS48</f>
        <v>13961.97</v>
      </c>
      <c r="DT48" s="700">
        <f>+'FY-10, FEB-10 - JAN-11'!DT48</f>
        <v>18420.53</v>
      </c>
      <c r="DU48" s="407">
        <f>+'FY-10, FEB-10 - JAN-11'!DU48</f>
        <v>8066.23</v>
      </c>
      <c r="DV48" s="407">
        <f>+'FY-10, FEB-10 - JAN-11'!DV48</f>
        <v>22099.360000000001</v>
      </c>
      <c r="DW48" s="407">
        <f>+'FY-10, FEB-10 - JAN-11'!DW48</f>
        <v>20580.3</v>
      </c>
      <c r="DX48" s="407">
        <f>+'FY-10, FEB-10 - JAN-11'!DX48</f>
        <v>23195.95</v>
      </c>
      <c r="DY48" s="407">
        <f>+'FY-10, FEB-10 - JAN-11'!DY48</f>
        <v>4512.1899999999996</v>
      </c>
      <c r="DZ48" s="407">
        <f>+'FY-10, FEB-10 - JAN-11'!DZ48</f>
        <v>995.39</v>
      </c>
      <c r="EA48" s="407">
        <f>+'FY-10, FEB-10 - JAN-11'!EA48</f>
        <v>736.07</v>
      </c>
      <c r="EB48" s="407">
        <f>+'FY-10, FEB-10 - JAN-11'!EB48</f>
        <v>466</v>
      </c>
      <c r="EC48" s="407">
        <f>+'FY-10, FEB-10 - JAN-11'!EC48</f>
        <v>30360.66</v>
      </c>
      <c r="ED48" s="700">
        <f>+'FY-10, FEB-10 - JAN-11'!ED48</f>
        <v>31658.77</v>
      </c>
      <c r="EE48" s="407">
        <f>+'FY-10, FEB-10 - JAN-11'!EE48</f>
        <v>29994.45</v>
      </c>
      <c r="EF48" s="407">
        <f>+'FY-10, FEB-10 - JAN-11'!EF48</f>
        <v>6873.94</v>
      </c>
      <c r="EG48" s="407">
        <f>+'FY-10, FEB-10 - JAN-11'!EG48</f>
        <v>2342.39</v>
      </c>
      <c r="EH48" s="407">
        <f>+'FY-10, FEB-10 - JAN-11'!EH48</f>
        <v>11667.4</v>
      </c>
      <c r="EI48" s="407">
        <f>+'FY-10, FEB-10 - JAN-11'!EI48</f>
        <v>1201.8</v>
      </c>
      <c r="EJ48" s="818">
        <f>+'FY-10, FEB-10 - JAN-11'!EJ48</f>
        <v>3957.02</v>
      </c>
      <c r="EK48" s="407">
        <f>+'FY-10, FEB-10 - JAN-11'!EK48</f>
        <v>24515.09</v>
      </c>
      <c r="EL48" s="407">
        <f>+'FY-10, FEB-10 - JAN-11'!EL48</f>
        <v>9612.7999999999993</v>
      </c>
      <c r="EM48" s="407">
        <f>+'FY-10, FEB-10 - JAN-11'!EM48</f>
        <v>2194</v>
      </c>
      <c r="EN48" s="700">
        <f>+'FY-10, FEB-10 - JAN-11'!EN48</f>
        <v>4356.1499999999996</v>
      </c>
      <c r="EO48" s="407">
        <f>+'FY-10, FEB-10 - JAN-11'!EO48</f>
        <v>17022.63</v>
      </c>
      <c r="EP48" s="407">
        <f>+'FY-10, FEB-10 - JAN-11'!EP48</f>
        <v>31608.83</v>
      </c>
      <c r="EQ48" s="407">
        <f>+'FY-10, FEB-10 - JAN-11'!EQ48</f>
        <v>17831.599999999999</v>
      </c>
      <c r="ER48" s="407">
        <f>+'FY-10, FEB-10 - JAN-11'!ER48</f>
        <v>4102.2</v>
      </c>
      <c r="ES48" s="407">
        <f>+'FY-10, FEB-10 - JAN-11'!ES48</f>
        <v>4985.8599999999997</v>
      </c>
      <c r="ET48" s="407">
        <f>+'FY-10, FEB-10 - JAN-11'!ET48</f>
        <v>5137.3500000000004</v>
      </c>
      <c r="EU48" s="407">
        <f>+'FY-10, FEB-10 - JAN-11'!EU48</f>
        <v>33430.19</v>
      </c>
      <c r="EV48" s="407">
        <f>+'FY-10, FEB-10 - JAN-11'!EV48</f>
        <v>12435.22</v>
      </c>
      <c r="EW48" s="407">
        <f>+'FY-10, FEB-10 - JAN-11'!EW48</f>
        <v>27529.14</v>
      </c>
      <c r="EX48" s="700">
        <f>+'FY-10, FEB-10 - JAN-11'!EX48</f>
        <v>11703.89</v>
      </c>
      <c r="EY48" s="407">
        <f>+'FY-10, FEB-10 - JAN-11'!EY48</f>
        <v>15558.06</v>
      </c>
      <c r="EZ48" s="407">
        <f>+'FY-10, FEB-10 - JAN-11'!EZ48</f>
        <v>66229.78</v>
      </c>
      <c r="FA48" s="407">
        <f>+'FY-10, FEB-10 - JAN-11'!FA48</f>
        <v>22080.25</v>
      </c>
      <c r="FB48" s="407">
        <f>+'FY-10, FEB-10 - JAN-11'!FB48</f>
        <v>20898.16</v>
      </c>
      <c r="FC48" s="407">
        <f>+'FY-10, FEB-10 - JAN-11'!FC48</f>
        <v>22324.51</v>
      </c>
      <c r="FD48" s="407">
        <f>+'FY-10, FEB-10 - JAN-11'!FD48</f>
        <v>19378.62</v>
      </c>
      <c r="FE48" s="407">
        <f>+'FY-10, FEB-10 - JAN-11'!FE48</f>
        <v>15123.48</v>
      </c>
      <c r="FF48" s="818">
        <f>+'FY-10, FEB-10 - JAN-11'!FF48</f>
        <v>2878.08</v>
      </c>
      <c r="FG48" s="700">
        <f>+'FY-10, FEB-10 - JAN-11'!FG48</f>
        <v>862.31</v>
      </c>
      <c r="FH48" s="407">
        <f>+'FY-10, FEB-10 - JAN-11'!FH48</f>
        <v>5936.45</v>
      </c>
      <c r="FI48" s="407">
        <f>+'FY-10, FEB-10 - JAN-11'!FI48</f>
        <v>58505.95</v>
      </c>
      <c r="FJ48" s="407">
        <f>+'FY-10, FEB-10 - JAN-11'!FJ48</f>
        <v>9080.1</v>
      </c>
      <c r="FK48" s="407">
        <f>+'FY-10, FEB-10 - JAN-11'!FK48</f>
        <v>13395.76</v>
      </c>
      <c r="FL48" s="407">
        <f>+'FY-10, FEB-10 - JAN-11'!FL48</f>
        <v>10483.59</v>
      </c>
      <c r="FM48" s="407">
        <f>+'FY-10, FEB-10 - JAN-11'!FM48</f>
        <v>10675.16</v>
      </c>
      <c r="FN48" s="407">
        <f>+'FY-10, FEB-10 - JAN-11'!FN48</f>
        <v>11696.49</v>
      </c>
      <c r="FO48" s="407">
        <f>+'FY-10, FEB-10 - JAN-11'!FO48</f>
        <v>20366.45</v>
      </c>
      <c r="FP48" s="407">
        <f>+'FY-10, FEB-10 - JAN-11'!FP48</f>
        <v>12005.83</v>
      </c>
      <c r="FQ48" s="700">
        <f>+'FY-10, FEB-10 - JAN-11'!FQ48</f>
        <v>3875.15</v>
      </c>
      <c r="FR48" s="407">
        <f>+'FY-10, FEB-10 - JAN-11'!FR48</f>
        <v>3834.72</v>
      </c>
      <c r="FS48" s="407">
        <f>+'FY-10, FEB-10 - JAN-11'!FS48</f>
        <v>12466.11</v>
      </c>
      <c r="FT48" s="407">
        <f>+'FY-10, FEB-10 - JAN-11'!FT48</f>
        <v>15157.65</v>
      </c>
      <c r="FU48" s="407">
        <f>+'FY-10, FEB-10 - JAN-11'!FU48</f>
        <v>27133.71</v>
      </c>
      <c r="FV48" s="407">
        <f>+'FY-10, FEB-10 - JAN-11'!FV48</f>
        <v>6999.26</v>
      </c>
      <c r="FW48" s="407">
        <f>+'FY-10, FEB-10 - JAN-11'!FW48</f>
        <v>10177.030000000001</v>
      </c>
      <c r="FX48" s="407">
        <f>+'FY-10, FEB-10 - JAN-11'!FX48</f>
        <v>24339.02</v>
      </c>
      <c r="FY48" s="407">
        <f>+'FY-10, FEB-10 - JAN-11'!FY48</f>
        <v>28211.23</v>
      </c>
      <c r="FZ48" s="818">
        <f>+'FY-10, FEB-10 - JAN-11'!FZ48</f>
        <v>8020.46</v>
      </c>
      <c r="GA48" s="407">
        <f>+'FY-10, FEB-10 - JAN-11'!GA48</f>
        <v>6104.97</v>
      </c>
      <c r="GB48" s="407">
        <f>+'FY-10, FEB-10 - JAN-11'!GB48</f>
        <v>26461.38</v>
      </c>
      <c r="GC48" s="407">
        <f>+'FY-10, FEB-10 - JAN-11'!GC48</f>
        <v>12757.88</v>
      </c>
      <c r="GD48" s="407">
        <f>+'FY-10, FEB-10 - JAN-11'!GD48</f>
        <v>3645.48</v>
      </c>
      <c r="GE48" s="407">
        <f>+'FY-10, FEB-10 - JAN-11'!GE48</f>
        <v>950.07</v>
      </c>
      <c r="GF48" s="407">
        <f>+'FY-10, FEB-10 - JAN-11'!GF48</f>
        <v>3861.17</v>
      </c>
      <c r="GG48" s="407">
        <f>+'FY-10, FEB-10 - JAN-11'!GG48</f>
        <v>27903.55</v>
      </c>
      <c r="GH48" s="407">
        <f>+'FY-10, FEB-10 - JAN-11'!GH48</f>
        <v>24109.21</v>
      </c>
      <c r="GI48" s="407">
        <f>+'FY-10, FEB-10 - JAN-11'!GI48</f>
        <v>11693.050000000001</v>
      </c>
      <c r="GJ48" s="700">
        <f>+'FY-10, FEB-10 - JAN-11'!GJ48</f>
        <v>13368.49</v>
      </c>
      <c r="GK48" s="407">
        <f>+'FY-10, FEB-10 - JAN-11'!GK48</f>
        <v>9106.67</v>
      </c>
      <c r="GL48" s="407">
        <f>+'FY-10, FEB-10 - JAN-11'!GL48</f>
        <v>27251.439999999999</v>
      </c>
      <c r="GM48" s="407">
        <f>+'FY-10, FEB-10 - JAN-11'!GM48</f>
        <v>6092.52</v>
      </c>
      <c r="GN48" s="407">
        <f>+'FY-10, FEB-10 - JAN-11'!GN48</f>
        <v>5950.43</v>
      </c>
      <c r="GO48" s="407">
        <f>+'FY-10, FEB-10 - JAN-11'!GO48</f>
        <v>329.38</v>
      </c>
      <c r="GP48" s="407">
        <f>+'FY-10, FEB-10 - JAN-11'!GP48</f>
        <v>7119.9</v>
      </c>
      <c r="GQ48" s="407">
        <f>+'FY-10, FEB-10 - JAN-11'!GQ48</f>
        <v>20885.96</v>
      </c>
      <c r="GR48" s="407">
        <f>+'FY-10, FEB-10 - JAN-11'!GR48</f>
        <v>6645.71</v>
      </c>
      <c r="GS48" s="700">
        <f>+'FY-10, FEB-10 - JAN-11'!GS48</f>
        <v>14135.15</v>
      </c>
      <c r="GT48" s="407">
        <f>+'FY-10, FEB-10 - JAN-11'!GT48</f>
        <v>12805.13</v>
      </c>
      <c r="GU48" s="818">
        <f>+'FY-10, FEB-10 - JAN-11'!GU48</f>
        <v>23056.02</v>
      </c>
      <c r="GV48" s="407">
        <f>+'FY-10, FEB-10 - JAN-11'!GV48</f>
        <v>1882.81</v>
      </c>
      <c r="GW48" s="407">
        <f>+'FY-10, FEB-10 - JAN-11'!GW48</f>
        <v>6479.41</v>
      </c>
      <c r="GX48" s="407">
        <f>+'FY-10, FEB-10 - JAN-11'!GX48</f>
        <v>7900.98</v>
      </c>
      <c r="GY48" s="407">
        <f>+'FY-10, FEB-10 - JAN-11'!GY48</f>
        <v>14223.52</v>
      </c>
      <c r="GZ48" s="407">
        <f>+'FY-10, FEB-10 - JAN-11'!GZ48</f>
        <v>9380.24</v>
      </c>
      <c r="HA48" s="407">
        <f>+'FY-10, FEB-10 - JAN-11'!HA48</f>
        <v>6250.81</v>
      </c>
      <c r="HB48" s="407">
        <f>+'FY-10, FEB-10 - JAN-11'!HB48</f>
        <v>287.06</v>
      </c>
      <c r="HC48" s="700">
        <f>+'FY-10, FEB-10 - JAN-11'!HC48</f>
        <v>30719.200000000001</v>
      </c>
      <c r="HD48" s="407">
        <f>+'FY-10, FEB-10 - JAN-11'!HD48</f>
        <v>30445.74</v>
      </c>
      <c r="HE48" s="407">
        <f>+'FY-10, FEB-10 - JAN-11'!HE48</f>
        <v>9754.84</v>
      </c>
      <c r="HF48" s="407">
        <f>+'FY-10, FEB-10 - JAN-11'!HF48</f>
        <v>6497.95</v>
      </c>
      <c r="HG48" s="407">
        <f>+'FY-10, FEB-10 - JAN-11'!HG48</f>
        <v>826.42</v>
      </c>
      <c r="HH48" s="407">
        <f>+'FY-10, FEB-10 - JAN-11'!HH48</f>
        <v>4747.3</v>
      </c>
      <c r="HI48" s="407">
        <f>+'FY-10, FEB-10 - JAN-11'!HI48</f>
        <v>24802.05</v>
      </c>
      <c r="HJ48" s="407">
        <f>+'FY-10, FEB-10 - JAN-11'!HJ48</f>
        <v>5647.91</v>
      </c>
      <c r="HK48" s="407">
        <f>+'FY-10, FEB-10 - JAN-11'!HK48</f>
        <v>7266.06</v>
      </c>
      <c r="HL48" s="407">
        <f>+'FY-10, FEB-10 - JAN-11'!HL48</f>
        <v>6894.41</v>
      </c>
      <c r="HM48" s="700">
        <f>+'FY-10, FEB-10 - JAN-11'!HM48</f>
        <v>4864.7</v>
      </c>
      <c r="HN48" s="407">
        <f>+'FY-10, FEB-10 - JAN-11'!HN48</f>
        <v>3823.86</v>
      </c>
      <c r="HO48" s="407">
        <f>+'FY-10, FEB-10 - JAN-11'!HO48</f>
        <v>8973.7199999999993</v>
      </c>
      <c r="HP48" s="818">
        <f>+'FY-10, FEB-10 - JAN-11'!HP48</f>
        <v>7475.69</v>
      </c>
      <c r="HQ48" s="407">
        <f>+'FY-10, FEB-10 - JAN-11'!HQ48</f>
        <v>19896.84</v>
      </c>
      <c r="HR48" s="407">
        <f>+'FY-10, FEB-10 - JAN-11'!HR48</f>
        <v>15035.22</v>
      </c>
      <c r="HS48" s="407">
        <f>+'FY-10, FEB-10 - JAN-11'!HS48</f>
        <v>4289.97</v>
      </c>
      <c r="HT48" s="407">
        <f>+'FY-10, FEB-10 - JAN-11'!HT48</f>
        <v>25659.55</v>
      </c>
      <c r="HU48" s="700">
        <f>+'FY-10, FEB-10 - JAN-11'!HU48</f>
        <v>4990.82</v>
      </c>
      <c r="HV48" s="700">
        <f>+'FY-10, FEB-10 - JAN-11'!HV48</f>
        <v>4497.68</v>
      </c>
      <c r="HW48" s="407">
        <f>+'FY-10, FEB-10 - JAN-11'!HW48</f>
        <v>27144.48</v>
      </c>
      <c r="HX48" s="407">
        <f>+'FY-10, FEB-10 - JAN-11'!HX48</f>
        <v>325.12</v>
      </c>
      <c r="HY48" s="407">
        <f>+'FY-10, FEB-10 - JAN-11'!HY48</f>
        <v>5669.92</v>
      </c>
      <c r="HZ48" s="407">
        <f>+'FY-10, FEB-10 - JAN-11'!HZ48</f>
        <v>58341.77</v>
      </c>
      <c r="IA48" s="407">
        <f>+'FY-10, FEB-10 - JAN-11'!IA48</f>
        <v>14842.35</v>
      </c>
      <c r="IB48" s="407">
        <f>+'FY-10, FEB-10 - JAN-11'!IB48</f>
        <v>10909.54</v>
      </c>
      <c r="IC48" s="407">
        <f>+'FY-10, FEB-10 - JAN-11'!IC48</f>
        <v>7294.39</v>
      </c>
      <c r="ID48" s="407">
        <f>+'FY-10, FEB-10 - JAN-11'!ID48</f>
        <v>2547.52</v>
      </c>
      <c r="IE48" s="407">
        <f>+'FY-10, FEB-10 - JAN-11'!IE48</f>
        <v>1011.05</v>
      </c>
      <c r="IF48" s="700">
        <f>+'FY-10, FEB-10 - JAN-11'!IF48</f>
        <v>4002.26</v>
      </c>
      <c r="IG48" s="407">
        <f>+'FY-10, FEB-10 - JAN-11'!IG48</f>
        <v>16273.42</v>
      </c>
      <c r="IH48" s="407">
        <f>+'FY-10, FEB-10 - JAN-11'!IH48</f>
        <v>46441.77</v>
      </c>
      <c r="II48" s="407">
        <f>+'FY-10, FEB-10 - JAN-11'!II48</f>
        <v>24231.94</v>
      </c>
      <c r="IJ48" s="407">
        <f>+'FY-10, FEB-10 - JAN-11'!IJ48</f>
        <v>613.94000000000005</v>
      </c>
      <c r="IK48" s="407">
        <f>+'FY-10, FEB-10 - JAN-11'!IK48</f>
        <v>7840.86</v>
      </c>
      <c r="IL48" s="818">
        <f>+'FY-10, FEB-10 - JAN-11'!IL48</f>
        <v>48724.26</v>
      </c>
      <c r="IM48" s="407">
        <f>+'FY-10, FEB-10 - JAN-11'!IM48</f>
        <v>13573.86</v>
      </c>
      <c r="IN48" s="407">
        <f>+'FY-10, FEB-10 - JAN-11'!IN48</f>
        <v>17984.009999999998</v>
      </c>
      <c r="IO48" s="700">
        <f>+'FY-10, FEB-10 - JAN-11'!IO48</f>
        <v>10211.51</v>
      </c>
      <c r="IP48" s="407">
        <f>+'FY-10, FEB-10 - JAN-11'!IP48</f>
        <v>12180.26</v>
      </c>
      <c r="IQ48" s="407">
        <f>+'FY-10, FEB-10 - JAN-11'!IQ48</f>
        <v>27903.85</v>
      </c>
      <c r="IR48" s="407">
        <f>+'FY-10, FEB-10 - JAN-11'!IR48</f>
        <v>30143.41</v>
      </c>
      <c r="IS48" s="407">
        <f>+'FY-10, FEB-10 - JAN-11'!IS48</f>
        <v>10539.16</v>
      </c>
      <c r="IT48" s="407">
        <f>+'FY-10, FEB-10 - JAN-11'!IT48</f>
        <v>1968.22</v>
      </c>
      <c r="IU48" s="407">
        <f>+'FY-10, FEB-10 - JAN-11'!IU48</f>
        <v>17067.13</v>
      </c>
      <c r="IV48" s="407">
        <f>+'FY-10, FEB-10 - JAN-11'!IV48</f>
        <v>3238.54</v>
      </c>
      <c r="IW48" s="682"/>
      <c r="IX48" s="407">
        <f>+D48*$EJ$77</f>
        <v>1356.075</v>
      </c>
      <c r="IY48" s="407">
        <f t="shared" si="40"/>
        <v>530.37</v>
      </c>
      <c r="IZ48" s="407">
        <f t="shared" si="41"/>
        <v>0</v>
      </c>
      <c r="JA48" s="700">
        <f t="shared" si="42"/>
        <v>254.36</v>
      </c>
      <c r="JB48" s="407">
        <f t="shared" si="43"/>
        <v>5858.28</v>
      </c>
      <c r="JC48" s="407">
        <f t="shared" si="44"/>
        <v>209.1</v>
      </c>
      <c r="JD48" s="407">
        <f t="shared" si="45"/>
        <v>37.549999999999997</v>
      </c>
      <c r="JE48" s="407">
        <f t="shared" si="52"/>
        <v>68576.679999999993</v>
      </c>
      <c r="JF48" s="407">
        <f t="shared" si="53"/>
        <v>43179.15</v>
      </c>
      <c r="JG48" s="407">
        <f t="shared" si="53"/>
        <v>54024.160000000003</v>
      </c>
      <c r="JH48" s="700">
        <f>+N48*$EJ$77</f>
        <v>29342.223000000002</v>
      </c>
      <c r="JI48" s="4">
        <f t="shared" si="49"/>
        <v>3774884.3779999996</v>
      </c>
      <c r="JJ48" s="59"/>
      <c r="JK48" s="58">
        <f>SUM(C48:JJ48)</f>
        <v>7553007.2960000001</v>
      </c>
    </row>
    <row r="49" spans="1:271" s="42" customFormat="1" ht="14.1" customHeight="1" thickBot="1">
      <c r="A49" s="44" t="s">
        <v>24</v>
      </c>
      <c r="B49" s="45"/>
      <c r="C49" s="66">
        <v>5745547.4499999993</v>
      </c>
      <c r="D49" s="46">
        <f t="shared" ref="D49:I49" si="60">SUM(D30:D48)</f>
        <v>51172911.309999995</v>
      </c>
      <c r="E49" s="46">
        <f t="shared" si="60"/>
        <v>266526.07</v>
      </c>
      <c r="F49" s="46">
        <f t="shared" si="60"/>
        <v>350083.53</v>
      </c>
      <c r="G49" s="46">
        <f t="shared" si="60"/>
        <v>43844924.32</v>
      </c>
      <c r="H49" s="46">
        <f t="shared" si="60"/>
        <v>16741054.909999998</v>
      </c>
      <c r="I49" s="46">
        <f t="shared" si="60"/>
        <v>3570771.3200000003</v>
      </c>
      <c r="J49" s="46">
        <f t="shared" ref="J49:BO49" si="61">SUM(J30:J48)</f>
        <v>1478618.6199999999</v>
      </c>
      <c r="K49" s="46">
        <f t="shared" si="61"/>
        <v>1225552.4299999997</v>
      </c>
      <c r="L49" s="46">
        <f t="shared" si="61"/>
        <v>81789125.039999992</v>
      </c>
      <c r="M49" s="46">
        <f t="shared" si="61"/>
        <v>7320680.4300000006</v>
      </c>
      <c r="N49" s="66">
        <f t="shared" si="61"/>
        <v>57944286.109999999</v>
      </c>
      <c r="O49" s="46">
        <f t="shared" si="61"/>
        <v>16767009.899999999</v>
      </c>
      <c r="P49" s="46">
        <f t="shared" si="61"/>
        <v>1021398.5800000001</v>
      </c>
      <c r="Q49" s="46">
        <f t="shared" si="61"/>
        <v>3270868.0599999996</v>
      </c>
      <c r="R49" s="46">
        <f t="shared" si="61"/>
        <v>10353309.630000001</v>
      </c>
      <c r="S49" s="46">
        <f t="shared" si="61"/>
        <v>7560198.3499999996</v>
      </c>
      <c r="T49" s="46">
        <f t="shared" si="61"/>
        <v>3640051.48</v>
      </c>
      <c r="U49" s="46">
        <f t="shared" si="61"/>
        <v>1546544.7299999997</v>
      </c>
      <c r="V49" s="46">
        <f t="shared" si="61"/>
        <v>6133652.0800000001</v>
      </c>
      <c r="W49" s="46">
        <f t="shared" si="61"/>
        <v>13935731.520000001</v>
      </c>
      <c r="X49" s="46">
        <f t="shared" si="61"/>
        <v>3993039.01</v>
      </c>
      <c r="Y49" s="46">
        <f t="shared" si="61"/>
        <v>1208471.8900000001</v>
      </c>
      <c r="Z49" s="46">
        <f t="shared" si="61"/>
        <v>20275385.619999997</v>
      </c>
      <c r="AA49" s="46">
        <f t="shared" si="61"/>
        <v>8270589.919999999</v>
      </c>
      <c r="AB49" s="46">
        <f t="shared" si="61"/>
        <v>1207803.05</v>
      </c>
      <c r="AC49" s="46">
        <f t="shared" si="61"/>
        <v>4974151.99</v>
      </c>
      <c r="AD49" s="46">
        <f t="shared" si="61"/>
        <v>555197.19999999995</v>
      </c>
      <c r="AE49" s="46">
        <f t="shared" si="61"/>
        <v>856587.49999999988</v>
      </c>
      <c r="AF49" s="46">
        <f t="shared" si="61"/>
        <v>5877656</v>
      </c>
      <c r="AG49" s="66">
        <f t="shared" si="61"/>
        <v>58150860.57</v>
      </c>
      <c r="AH49" s="46">
        <f t="shared" si="61"/>
        <v>11458848.779999999</v>
      </c>
      <c r="AI49" s="46">
        <f t="shared" si="61"/>
        <v>2087744.75</v>
      </c>
      <c r="AJ49" s="46">
        <f t="shared" si="61"/>
        <v>6064837.8700000001</v>
      </c>
      <c r="AK49" s="46">
        <f t="shared" si="61"/>
        <v>1490904.5700000003</v>
      </c>
      <c r="AL49" s="46">
        <f t="shared" si="61"/>
        <v>5048890.5200000005</v>
      </c>
      <c r="AM49" s="46">
        <f t="shared" si="61"/>
        <v>476881.08</v>
      </c>
      <c r="AN49" s="46">
        <f t="shared" si="61"/>
        <v>4423364.1399999997</v>
      </c>
      <c r="AO49" s="579">
        <f t="shared" si="61"/>
        <v>591709.89999999991</v>
      </c>
      <c r="AP49" s="46">
        <f t="shared" si="61"/>
        <v>16325925.379999999</v>
      </c>
      <c r="AQ49" s="46">
        <f t="shared" si="61"/>
        <v>1653688.8000000003</v>
      </c>
      <c r="AR49" s="46">
        <f t="shared" si="61"/>
        <v>1705463.4000000001</v>
      </c>
      <c r="AS49" s="46">
        <f t="shared" si="61"/>
        <v>614181.16</v>
      </c>
      <c r="AT49" s="46">
        <f t="shared" si="61"/>
        <v>2968703.2399999998</v>
      </c>
      <c r="AU49" s="46">
        <f t="shared" si="61"/>
        <v>18960459.109999999</v>
      </c>
      <c r="AV49" s="46">
        <f t="shared" si="61"/>
        <v>1980461.6699999997</v>
      </c>
      <c r="AW49" s="46">
        <f t="shared" si="61"/>
        <v>18027399.079999998</v>
      </c>
      <c r="AX49" s="46">
        <f t="shared" si="61"/>
        <v>705628.25</v>
      </c>
      <c r="AY49" s="46">
        <f t="shared" si="61"/>
        <v>648597.81999999995</v>
      </c>
      <c r="AZ49" s="46">
        <f t="shared" si="61"/>
        <v>6348491</v>
      </c>
      <c r="BA49" s="46">
        <f t="shared" si="61"/>
        <v>1042882.8300000001</v>
      </c>
      <c r="BB49" s="46">
        <f t="shared" si="61"/>
        <v>4327320.9300000006</v>
      </c>
      <c r="BC49" s="46">
        <f t="shared" si="61"/>
        <v>808611.21</v>
      </c>
      <c r="BD49" s="66">
        <f t="shared" si="61"/>
        <v>60925046.710000001</v>
      </c>
      <c r="BE49" s="46">
        <f t="shared" si="61"/>
        <v>19325489.709999997</v>
      </c>
      <c r="BF49" s="46">
        <f t="shared" si="61"/>
        <v>1008458.1499999999</v>
      </c>
      <c r="BG49" s="46">
        <f t="shared" si="61"/>
        <v>7166452.2400000002</v>
      </c>
      <c r="BH49" s="46">
        <f t="shared" si="61"/>
        <v>52009660.969999999</v>
      </c>
      <c r="BI49" s="46">
        <f t="shared" si="61"/>
        <v>495876.93</v>
      </c>
      <c r="BJ49" s="46">
        <f t="shared" si="61"/>
        <v>11115208.98</v>
      </c>
      <c r="BK49" s="46">
        <f t="shared" si="61"/>
        <v>647589.45000000007</v>
      </c>
      <c r="BL49" s="46">
        <f t="shared" si="61"/>
        <v>4481795.1999999993</v>
      </c>
      <c r="BM49" s="46">
        <f t="shared" si="61"/>
        <v>923444.62</v>
      </c>
      <c r="BN49" s="46">
        <f t="shared" si="61"/>
        <v>5254748.8600000003</v>
      </c>
      <c r="BO49" s="46">
        <f t="shared" si="61"/>
        <v>6022100.2999999998</v>
      </c>
      <c r="BP49" s="46">
        <f t="shared" ref="BP49:EA49" si="62">SUM(BP30:BP48)</f>
        <v>1727850.4900000002</v>
      </c>
      <c r="BQ49" s="46">
        <f t="shared" si="62"/>
        <v>3299974.28</v>
      </c>
      <c r="BR49" s="46">
        <f t="shared" si="62"/>
        <v>287707.06</v>
      </c>
      <c r="BS49" s="46">
        <f t="shared" ref="BS49" si="63">SUM(BS30:BS48)</f>
        <v>16477097.350000003</v>
      </c>
      <c r="BT49" s="46">
        <f t="shared" si="62"/>
        <v>4955301.87</v>
      </c>
      <c r="BU49" s="46">
        <f t="shared" si="62"/>
        <v>923627.55</v>
      </c>
      <c r="BV49" s="46">
        <f t="shared" si="62"/>
        <v>8887478.3000000007</v>
      </c>
      <c r="BW49" s="46">
        <f t="shared" si="62"/>
        <v>596300.87000000011</v>
      </c>
      <c r="BX49" s="66">
        <f t="shared" si="62"/>
        <v>62745801.469999999</v>
      </c>
      <c r="BY49" s="46">
        <f t="shared" si="62"/>
        <v>21053651.829999998</v>
      </c>
      <c r="BZ49" s="46">
        <f t="shared" si="62"/>
        <v>4448477.32</v>
      </c>
      <c r="CA49" s="46">
        <f t="shared" si="62"/>
        <v>6171981.96</v>
      </c>
      <c r="CB49" s="46">
        <f t="shared" si="62"/>
        <v>452591.13</v>
      </c>
      <c r="CC49" s="46">
        <f t="shared" si="62"/>
        <v>1164708.8799999999</v>
      </c>
      <c r="CD49" s="46">
        <f t="shared" si="62"/>
        <v>13900222.380000001</v>
      </c>
      <c r="CE49" s="46">
        <f t="shared" si="62"/>
        <v>609801.62999999989</v>
      </c>
      <c r="CF49" s="46">
        <f t="shared" si="62"/>
        <v>5233652.6800000006</v>
      </c>
      <c r="CG49" s="46">
        <f t="shared" si="62"/>
        <v>352225.42000000004</v>
      </c>
      <c r="CH49" s="46">
        <f t="shared" si="62"/>
        <v>4568569.0000000009</v>
      </c>
      <c r="CI49" s="46">
        <f t="shared" si="62"/>
        <v>6970587.620000001</v>
      </c>
      <c r="CJ49" s="46">
        <f t="shared" si="62"/>
        <v>1199542.5199999998</v>
      </c>
      <c r="CK49" s="46">
        <f t="shared" si="62"/>
        <v>10640316.77</v>
      </c>
      <c r="CL49" s="46">
        <f t="shared" si="62"/>
        <v>3085924.19</v>
      </c>
      <c r="CM49" s="46">
        <f t="shared" si="62"/>
        <v>20358482.529999997</v>
      </c>
      <c r="CN49" s="46">
        <f t="shared" si="62"/>
        <v>1623271.5899999999</v>
      </c>
      <c r="CO49" s="46">
        <f t="shared" si="62"/>
        <v>1639538.3499999999</v>
      </c>
      <c r="CP49" s="46">
        <f t="shared" si="62"/>
        <v>1065486.5699999998</v>
      </c>
      <c r="CQ49" s="46">
        <f t="shared" si="62"/>
        <v>7570258.3899999997</v>
      </c>
      <c r="CR49" s="46">
        <f t="shared" si="62"/>
        <v>3424232.9400000004</v>
      </c>
      <c r="CS49" s="46">
        <f t="shared" si="62"/>
        <v>1863194.4200000002</v>
      </c>
      <c r="CT49" s="66">
        <f t="shared" si="62"/>
        <v>64604599.080000006</v>
      </c>
      <c r="CU49" s="46">
        <f t="shared" si="62"/>
        <v>12983481.320000002</v>
      </c>
      <c r="CV49" s="46">
        <f t="shared" si="62"/>
        <v>13723805.120000001</v>
      </c>
      <c r="CW49" s="46">
        <f t="shared" si="62"/>
        <v>2176587.46</v>
      </c>
      <c r="CX49" s="46">
        <f t="shared" si="62"/>
        <v>1102220.9800000002</v>
      </c>
      <c r="CY49" s="46">
        <f t="shared" si="62"/>
        <v>10226189.200000001</v>
      </c>
      <c r="CZ49" s="46">
        <f t="shared" si="62"/>
        <v>2985649.69</v>
      </c>
      <c r="DA49" s="46">
        <f t="shared" si="62"/>
        <v>4984969.53</v>
      </c>
      <c r="DB49" s="46">
        <f t="shared" si="62"/>
        <v>6566286.9500000002</v>
      </c>
      <c r="DC49" s="46">
        <f t="shared" si="62"/>
        <v>1524684.9100000001</v>
      </c>
      <c r="DD49" s="46">
        <f t="shared" si="62"/>
        <v>2930629.7100000004</v>
      </c>
      <c r="DE49" s="46">
        <f t="shared" si="62"/>
        <v>18141769.960000001</v>
      </c>
      <c r="DF49" s="46">
        <f t="shared" si="62"/>
        <v>1295451.78</v>
      </c>
      <c r="DG49" s="46">
        <f t="shared" si="62"/>
        <v>1185643</v>
      </c>
      <c r="DH49" s="46">
        <f t="shared" si="62"/>
        <v>734597.12</v>
      </c>
      <c r="DI49" s="46">
        <f t="shared" si="62"/>
        <v>837892.84</v>
      </c>
      <c r="DJ49" s="46">
        <f t="shared" si="62"/>
        <v>1830133.45</v>
      </c>
      <c r="DK49" s="46">
        <f t="shared" si="62"/>
        <v>1915525.1800000002</v>
      </c>
      <c r="DL49" s="46">
        <f t="shared" si="62"/>
        <v>918806.30200000014</v>
      </c>
      <c r="DM49" s="46">
        <f t="shared" si="62"/>
        <v>168814</v>
      </c>
      <c r="DN49" s="46">
        <f t="shared" si="62"/>
        <v>1071166.8959999999</v>
      </c>
      <c r="DO49" s="66">
        <f t="shared" si="62"/>
        <v>60841317.389458708</v>
      </c>
      <c r="DP49" s="46">
        <f t="shared" si="62"/>
        <v>24942495.790688027</v>
      </c>
      <c r="DQ49" s="46">
        <f t="shared" si="62"/>
        <v>1549750.5980000002</v>
      </c>
      <c r="DR49" s="46">
        <f t="shared" si="62"/>
        <v>646664.79800000007</v>
      </c>
      <c r="DS49" s="46">
        <f t="shared" si="62"/>
        <v>3207655.1780000003</v>
      </c>
      <c r="DT49" s="46">
        <f t="shared" si="62"/>
        <v>2799224.1246590535</v>
      </c>
      <c r="DU49" s="46">
        <f t="shared" si="62"/>
        <v>5730470.7821760746</v>
      </c>
      <c r="DV49" s="46">
        <f t="shared" si="62"/>
        <v>6246623.6000000006</v>
      </c>
      <c r="DW49" s="46">
        <f t="shared" si="62"/>
        <v>1013498.3960000002</v>
      </c>
      <c r="DX49" s="46">
        <f t="shared" si="62"/>
        <v>3234375.6580000003</v>
      </c>
      <c r="DY49" s="46">
        <f t="shared" si="62"/>
        <v>819184.47600000002</v>
      </c>
      <c r="DZ49" s="46">
        <f t="shared" si="62"/>
        <v>2875471.818</v>
      </c>
      <c r="EA49" s="46">
        <f t="shared" si="62"/>
        <v>1841076.9980000004</v>
      </c>
      <c r="EB49" s="46">
        <f t="shared" ref="EB49:GM49" si="64">SUM(EB30:EB48)</f>
        <v>1542149.99</v>
      </c>
      <c r="EC49" s="46">
        <f t="shared" si="64"/>
        <v>619178.99200000009</v>
      </c>
      <c r="ED49" s="46">
        <f t="shared" si="64"/>
        <v>18225243.857357368</v>
      </c>
      <c r="EE49" s="46">
        <f t="shared" si="64"/>
        <v>2161350.8821898275</v>
      </c>
      <c r="EF49" s="46">
        <f t="shared" si="64"/>
        <v>541594.03199999989</v>
      </c>
      <c r="EG49" s="46">
        <f t="shared" si="64"/>
        <v>180332.68000000002</v>
      </c>
      <c r="EH49" s="46">
        <f t="shared" si="64"/>
        <v>2784228.1179999998</v>
      </c>
      <c r="EI49" s="46">
        <f t="shared" si="64"/>
        <v>81633.320000000007</v>
      </c>
      <c r="EJ49" s="66">
        <f t="shared" si="64"/>
        <v>69589925.649296775</v>
      </c>
      <c r="EK49" s="46">
        <f t="shared" si="64"/>
        <v>10004018.71289137</v>
      </c>
      <c r="EL49" s="46">
        <f t="shared" si="64"/>
        <v>642728.38599999994</v>
      </c>
      <c r="EM49" s="46">
        <f t="shared" si="64"/>
        <v>12554687.948000001</v>
      </c>
      <c r="EN49" s="46">
        <f t="shared" si="64"/>
        <v>1725978.7605624555</v>
      </c>
      <c r="EO49" s="46">
        <f t="shared" si="64"/>
        <v>316924.00890133757</v>
      </c>
      <c r="EP49" s="46">
        <f t="shared" si="64"/>
        <v>10157364.552000001</v>
      </c>
      <c r="EQ49" s="46">
        <f t="shared" si="64"/>
        <v>2605898.4259999995</v>
      </c>
      <c r="ER49" s="46">
        <f t="shared" si="64"/>
        <v>1353735.254</v>
      </c>
      <c r="ES49" s="46">
        <f t="shared" si="64"/>
        <v>1988772.0380000002</v>
      </c>
      <c r="ET49" s="46">
        <f t="shared" si="64"/>
        <v>471414.58799999999</v>
      </c>
      <c r="EU49" s="46">
        <f t="shared" si="64"/>
        <v>4114745.7340000002</v>
      </c>
      <c r="EV49" s="46">
        <f t="shared" si="64"/>
        <v>363975.47799999994</v>
      </c>
      <c r="EW49" s="46">
        <f t="shared" si="64"/>
        <v>2198887.1030000006</v>
      </c>
      <c r="EX49" s="46">
        <f t="shared" si="64"/>
        <v>3796799.4405250037</v>
      </c>
      <c r="EY49" s="46">
        <f t="shared" si="64"/>
        <v>13271676.259746285</v>
      </c>
      <c r="EZ49" s="46">
        <f t="shared" si="64"/>
        <v>3526829.4160000002</v>
      </c>
      <c r="FA49" s="46">
        <f t="shared" si="64"/>
        <v>333942.99799999996</v>
      </c>
      <c r="FB49" s="46">
        <f t="shared" si="64"/>
        <v>3672306.0310000004</v>
      </c>
      <c r="FC49" s="46">
        <f t="shared" si="64"/>
        <v>320468.11000000004</v>
      </c>
      <c r="FD49" s="46">
        <f t="shared" si="64"/>
        <v>4972661.5760000004</v>
      </c>
      <c r="FE49" s="46">
        <f t="shared" si="64"/>
        <v>371900.36500000005</v>
      </c>
      <c r="FF49" s="66">
        <f t="shared" si="64"/>
        <v>59431930.430327602</v>
      </c>
      <c r="FG49" s="46">
        <f t="shared" si="64"/>
        <v>11941077.028846659</v>
      </c>
      <c r="FH49" s="46">
        <f t="shared" si="64"/>
        <v>536730.98747823643</v>
      </c>
      <c r="FI49" s="46">
        <f t="shared" si="64"/>
        <v>8795743.6550000012</v>
      </c>
      <c r="FJ49" s="46">
        <f t="shared" si="64"/>
        <v>1512949.3050000002</v>
      </c>
      <c r="FK49" s="46">
        <f t="shared" si="64"/>
        <v>7309580.9140000008</v>
      </c>
      <c r="FL49" s="46">
        <f t="shared" si="64"/>
        <v>575264.67700000003</v>
      </c>
      <c r="FM49" s="46">
        <f t="shared" si="64"/>
        <v>955978.30500000005</v>
      </c>
      <c r="FN49" s="46">
        <f t="shared" si="64"/>
        <v>11695398.876</v>
      </c>
      <c r="FO49" s="46">
        <f t="shared" si="64"/>
        <v>785037.82100000011</v>
      </c>
      <c r="FP49" s="46">
        <f t="shared" si="64"/>
        <v>7090825.1230000015</v>
      </c>
      <c r="FQ49" s="46">
        <f t="shared" si="64"/>
        <v>3475331.6999922302</v>
      </c>
      <c r="FR49" s="46">
        <f t="shared" si="64"/>
        <v>2722749.5562251164</v>
      </c>
      <c r="FS49" s="46">
        <f t="shared" si="64"/>
        <v>3287386.7650000006</v>
      </c>
      <c r="FT49" s="46">
        <f t="shared" si="64"/>
        <v>671510.86399999994</v>
      </c>
      <c r="FU49" s="46">
        <f t="shared" si="64"/>
        <v>19029280.939019524</v>
      </c>
      <c r="FV49" s="46">
        <f t="shared" si="64"/>
        <v>1196750.8660000002</v>
      </c>
      <c r="FW49" s="46">
        <f t="shared" si="64"/>
        <v>3874908.8349999995</v>
      </c>
      <c r="FX49" s="46">
        <f t="shared" si="64"/>
        <v>4812363.5179999992</v>
      </c>
      <c r="FY49" s="46">
        <f t="shared" si="64"/>
        <v>1802387.7770000002</v>
      </c>
      <c r="FZ49" s="66">
        <f t="shared" si="64"/>
        <v>58330578.030466489</v>
      </c>
      <c r="GA49" s="46">
        <f t="shared" si="64"/>
        <v>11295987.259313479</v>
      </c>
      <c r="GB49" s="46">
        <f t="shared" si="64"/>
        <v>8485209.3150000013</v>
      </c>
      <c r="GC49" s="46">
        <f t="shared" si="64"/>
        <v>1585909.9540000001</v>
      </c>
      <c r="GD49" s="46">
        <f t="shared" si="64"/>
        <v>793181.03200000001</v>
      </c>
      <c r="GE49" s="46">
        <f t="shared" si="64"/>
        <v>6127870.9790000003</v>
      </c>
      <c r="GF49" s="46">
        <f t="shared" si="64"/>
        <v>599859.29800000007</v>
      </c>
      <c r="GG49" s="46">
        <f t="shared" si="64"/>
        <v>3761522.0369999995</v>
      </c>
      <c r="GH49" s="46">
        <f t="shared" si="64"/>
        <v>449000.54300000001</v>
      </c>
      <c r="GI49" s="46">
        <f t="shared" si="64"/>
        <v>1668952.3370000001</v>
      </c>
      <c r="GJ49" s="46">
        <f t="shared" si="64"/>
        <v>3807927.3565048957</v>
      </c>
      <c r="GK49" s="46">
        <f t="shared" si="64"/>
        <v>1708538.2458852297</v>
      </c>
      <c r="GL49" s="46">
        <f t="shared" si="64"/>
        <v>6357195.9360000016</v>
      </c>
      <c r="GM49" s="46">
        <f t="shared" si="64"/>
        <v>1092639.7579999999</v>
      </c>
      <c r="GN49" s="46">
        <f t="shared" ref="GN49:JJ49" si="65">SUM(GN30:GN48)</f>
        <v>2703709.1320000002</v>
      </c>
      <c r="GO49" s="46">
        <f t="shared" si="65"/>
        <v>17139987.716022607</v>
      </c>
      <c r="GP49" s="46">
        <f t="shared" si="65"/>
        <v>302704.26900000003</v>
      </c>
      <c r="GQ49" s="46">
        <f t="shared" si="65"/>
        <v>3107088.9110000003</v>
      </c>
      <c r="GR49" s="46">
        <f t="shared" si="65"/>
        <v>4417163.8370000012</v>
      </c>
      <c r="GS49" s="46">
        <f t="shared" si="65"/>
        <v>8291828.2106062248</v>
      </c>
      <c r="GT49" s="46">
        <f t="shared" si="65"/>
        <v>1214880.4810596334</v>
      </c>
      <c r="GU49" s="66">
        <f t="shared" si="65"/>
        <v>62856885.619181819</v>
      </c>
      <c r="GV49" s="46">
        <f t="shared" si="65"/>
        <v>10186297.600655822</v>
      </c>
      <c r="GW49" s="46">
        <f t="shared" si="65"/>
        <v>4306512.5260000005</v>
      </c>
      <c r="GX49" s="46">
        <f t="shared" si="65"/>
        <v>794251.76800000004</v>
      </c>
      <c r="GY49" s="46">
        <f t="shared" si="65"/>
        <v>394543.43099999998</v>
      </c>
      <c r="GZ49" s="46">
        <f t="shared" si="65"/>
        <v>10904794.328000002</v>
      </c>
      <c r="HA49" s="46">
        <f t="shared" si="65"/>
        <v>3405031.22</v>
      </c>
      <c r="HB49" s="46">
        <f t="shared" si="65"/>
        <v>1087126.0350000001</v>
      </c>
      <c r="HC49" s="46">
        <f t="shared" si="65"/>
        <v>3500185.9640568234</v>
      </c>
      <c r="HD49" s="46">
        <f t="shared" si="65"/>
        <v>2247387.7247910383</v>
      </c>
      <c r="HE49" s="46">
        <f t="shared" si="65"/>
        <v>1126254.101</v>
      </c>
      <c r="HF49" s="46">
        <f t="shared" si="65"/>
        <v>3784760.6960000005</v>
      </c>
      <c r="HG49" s="46">
        <f t="shared" si="65"/>
        <v>2920813.642</v>
      </c>
      <c r="HH49" s="46">
        <f t="shared" si="65"/>
        <v>555965.29600000009</v>
      </c>
      <c r="HI49" s="46">
        <f t="shared" si="65"/>
        <v>18434032.109290499</v>
      </c>
      <c r="HJ49" s="46">
        <f t="shared" si="65"/>
        <v>541215.65600000008</v>
      </c>
      <c r="HK49" s="46">
        <f t="shared" si="65"/>
        <v>4134515.6280000005</v>
      </c>
      <c r="HL49" s="46">
        <f t="shared" si="65"/>
        <v>431006.70299999998</v>
      </c>
      <c r="HM49" s="46">
        <f t="shared" si="65"/>
        <v>2490625.9017867362</v>
      </c>
      <c r="HN49" s="46">
        <f t="shared" si="65"/>
        <v>6865378.2578347865</v>
      </c>
      <c r="HO49" s="46">
        <f t="shared" si="65"/>
        <v>1003921.374</v>
      </c>
      <c r="HP49" s="66">
        <f>SUM(HP30:HP48)</f>
        <v>60448149.649003737</v>
      </c>
      <c r="HQ49" s="46">
        <f t="shared" si="65"/>
        <v>10666615.96665279</v>
      </c>
      <c r="HR49" s="46">
        <f t="shared" si="65"/>
        <v>1266081.2010000001</v>
      </c>
      <c r="HS49" s="46">
        <f t="shared" si="65"/>
        <v>18873147.436000001</v>
      </c>
      <c r="HT49" s="46">
        <f t="shared" si="65"/>
        <v>1275347.986</v>
      </c>
      <c r="HU49" s="46">
        <f t="shared" si="65"/>
        <v>2782903.3569999998</v>
      </c>
      <c r="HV49" s="46">
        <f t="shared" si="65"/>
        <v>3706069.3969041067</v>
      </c>
      <c r="HW49" s="46">
        <f t="shared" si="65"/>
        <v>1127924.4357013162</v>
      </c>
      <c r="HX49" s="46">
        <f t="shared" si="65"/>
        <v>953309.25699999998</v>
      </c>
      <c r="HY49" s="46">
        <f t="shared" si="65"/>
        <v>154688.19700000001</v>
      </c>
      <c r="HZ49" s="46">
        <f t="shared" si="65"/>
        <v>3173873.8070000005</v>
      </c>
      <c r="IA49" s="46">
        <f t="shared" si="65"/>
        <v>266667.32199999999</v>
      </c>
      <c r="IB49" s="46">
        <f t="shared" si="65"/>
        <v>72056.548999999999</v>
      </c>
      <c r="IC49" s="46">
        <f t="shared" si="65"/>
        <v>216962.28900000002</v>
      </c>
      <c r="ID49" s="46">
        <f t="shared" si="65"/>
        <v>819815.24200000009</v>
      </c>
      <c r="IE49" s="46">
        <f t="shared" si="65"/>
        <v>1804203.0120000001</v>
      </c>
      <c r="IF49" s="46">
        <f t="shared" si="65"/>
        <v>18758965.218990479</v>
      </c>
      <c r="IG49" s="46">
        <f t="shared" si="65"/>
        <v>662855.60257955675</v>
      </c>
      <c r="IH49" s="46">
        <f t="shared" si="65"/>
        <v>2388229.8679999998</v>
      </c>
      <c r="II49" s="46">
        <f t="shared" si="65"/>
        <v>448104.22200000007</v>
      </c>
      <c r="IJ49" s="46">
        <f t="shared" si="65"/>
        <v>911868.21100000001</v>
      </c>
      <c r="IK49" s="46">
        <f t="shared" si="65"/>
        <v>793174.77599999995</v>
      </c>
      <c r="IL49" s="66">
        <f t="shared" si="65"/>
        <v>54128906.617346317</v>
      </c>
      <c r="IM49" s="46">
        <f t="shared" si="65"/>
        <v>15548671.995637421</v>
      </c>
      <c r="IN49" s="46">
        <f t="shared" si="65"/>
        <v>559340.25100000005</v>
      </c>
      <c r="IO49" s="46">
        <f t="shared" si="65"/>
        <v>3188476.4462582227</v>
      </c>
      <c r="IP49" s="46">
        <f t="shared" si="65"/>
        <v>894198.6357583598</v>
      </c>
      <c r="IQ49" s="46">
        <f t="shared" si="65"/>
        <v>6593793.2089999998</v>
      </c>
      <c r="IR49" s="46">
        <f t="shared" si="65"/>
        <v>324332.59800000006</v>
      </c>
      <c r="IS49" s="46">
        <f t="shared" si="65"/>
        <v>1496890.804</v>
      </c>
      <c r="IT49" s="46">
        <f t="shared" si="65"/>
        <v>1215537.02</v>
      </c>
      <c r="IU49" s="46">
        <f t="shared" si="65"/>
        <v>868179.424</v>
      </c>
      <c r="IV49" s="46">
        <f t="shared" si="65"/>
        <v>4673238.6329999994</v>
      </c>
      <c r="IW49" s="871"/>
      <c r="IX49" s="46">
        <f t="shared" si="65"/>
        <v>1573951.4666999998</v>
      </c>
      <c r="IY49" s="46">
        <f t="shared" ref="IY49" si="66">SUM(IY30:IY48)</f>
        <v>226878.32519999999</v>
      </c>
      <c r="IZ49" s="46">
        <f t="shared" ref="IZ49:JF49" si="67">SUM(IZ30:IZ48)</f>
        <v>266753.14419999998</v>
      </c>
      <c r="JA49" s="46">
        <f t="shared" si="67"/>
        <v>18390444.541464731</v>
      </c>
      <c r="JB49" s="46">
        <f t="shared" si="67"/>
        <v>678204.2031490826</v>
      </c>
      <c r="JC49" s="46">
        <f t="shared" si="67"/>
        <v>2585683.6481000003</v>
      </c>
      <c r="JD49" s="46">
        <f t="shared" si="67"/>
        <v>1083867.4001</v>
      </c>
      <c r="JE49" s="46">
        <f t="shared" si="67"/>
        <v>126412697.991</v>
      </c>
      <c r="JF49" s="46">
        <f t="shared" si="67"/>
        <v>1257966.2107999998</v>
      </c>
      <c r="JG49" s="46">
        <f t="shared" ref="JG49" si="68">SUM(JG30:JG48)</f>
        <v>6355107.4142000005</v>
      </c>
      <c r="JH49" s="46">
        <f t="shared" si="65"/>
        <v>61686320.78458374</v>
      </c>
      <c r="JI49" s="46">
        <f>SUM(JI30:JI48)</f>
        <v>2250182714.8591275</v>
      </c>
      <c r="JJ49" s="46">
        <f t="shared" si="65"/>
        <v>0</v>
      </c>
      <c r="JK49" s="46">
        <f>SUM(JK30:JK48)</f>
        <v>4411503017.2562561</v>
      </c>
    </row>
    <row r="50" spans="1:271" s="161" customFormat="1" ht="14.1" customHeight="1" thickTop="1">
      <c r="A50" s="3" t="s">
        <v>14</v>
      </c>
      <c r="B50" s="3"/>
      <c r="C50" s="189"/>
      <c r="D50" s="6"/>
      <c r="E50" s="6"/>
      <c r="F50" s="6"/>
      <c r="G50" s="6"/>
      <c r="H50" s="6"/>
      <c r="I50" s="6"/>
      <c r="J50" s="6"/>
      <c r="K50" s="6"/>
      <c r="L50" s="6"/>
      <c r="M50" s="6"/>
      <c r="N50" s="22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226"/>
      <c r="AH50" s="6"/>
      <c r="AI50" s="6"/>
      <c r="AJ50" s="6"/>
      <c r="AK50" s="6"/>
      <c r="AL50" s="6"/>
      <c r="AM50" s="6"/>
      <c r="AN50" s="6"/>
      <c r="AO50" s="57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22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226"/>
      <c r="BY50" s="6"/>
      <c r="BZ50" s="6"/>
      <c r="CA50" s="6"/>
      <c r="CB50" s="6"/>
      <c r="CC50" s="6"/>
      <c r="CD50" s="6"/>
      <c r="CE50" s="367"/>
      <c r="CF50" s="367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22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22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226"/>
      <c r="EK50" s="14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226"/>
      <c r="FG50" s="6"/>
      <c r="FH50" s="6"/>
      <c r="FI50" s="6"/>
      <c r="FJ50" s="14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22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22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22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22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872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4">
        <f>SUM(D49:JH49)-JI49</f>
        <v>0</v>
      </c>
      <c r="JJ50" s="6"/>
      <c r="JK50" s="6"/>
    </row>
    <row r="51" spans="1:271" ht="14.1" customHeight="1">
      <c r="A51" s="4" t="s">
        <v>15</v>
      </c>
      <c r="B51" s="4"/>
      <c r="C51" s="227">
        <v>35000000</v>
      </c>
      <c r="D51" s="1"/>
      <c r="E51" s="1">
        <v>700000</v>
      </c>
      <c r="F51" s="1">
        <v>59400000</v>
      </c>
      <c r="G51" s="1"/>
      <c r="H51" s="1"/>
      <c r="I51" s="1">
        <v>16900000</v>
      </c>
      <c r="J51" s="1"/>
      <c r="K51" s="1">
        <v>47300000</v>
      </c>
      <c r="L51" s="1"/>
      <c r="M51" s="1"/>
      <c r="N51" s="227"/>
      <c r="O51" s="1"/>
      <c r="P51" s="1">
        <v>1200000</v>
      </c>
      <c r="Q51" s="1">
        <v>600000</v>
      </c>
      <c r="R51" s="1"/>
      <c r="S51" s="1"/>
      <c r="T51" s="1"/>
      <c r="U51" s="1">
        <v>6500000</v>
      </c>
      <c r="V51" s="1"/>
      <c r="W51" s="1">
        <v>800000</v>
      </c>
      <c r="X51" s="1">
        <v>6950000</v>
      </c>
      <c r="Y51" s="1">
        <v>550000</v>
      </c>
      <c r="Z51" s="1"/>
      <c r="AA51" s="1"/>
      <c r="AB51" s="1">
        <v>11600000</v>
      </c>
      <c r="AC51" s="1"/>
      <c r="AD51" s="1">
        <v>500000</v>
      </c>
      <c r="AE51" s="1">
        <v>300000</v>
      </c>
      <c r="AF51" s="1"/>
      <c r="AG51" s="227">
        <v>12650000</v>
      </c>
      <c r="AH51" s="1"/>
      <c r="AI51" s="1"/>
      <c r="AJ51" s="1"/>
      <c r="AK51" s="1">
        <v>3500000</v>
      </c>
      <c r="AL51" s="1"/>
      <c r="AM51" s="1"/>
      <c r="AN51" s="1">
        <v>13450000</v>
      </c>
      <c r="AO51" s="577">
        <v>6600000</v>
      </c>
      <c r="AP51" s="1"/>
      <c r="AQ51" s="1"/>
      <c r="AR51" s="1"/>
      <c r="AS51" s="1">
        <v>400000</v>
      </c>
      <c r="AT51" s="1"/>
      <c r="AU51" s="1"/>
      <c r="AV51" s="1"/>
      <c r="AW51" s="1">
        <v>4500000</v>
      </c>
      <c r="AX51" s="1">
        <v>8500000</v>
      </c>
      <c r="AY51" s="1">
        <v>10450000</v>
      </c>
      <c r="AZ51" s="1"/>
      <c r="BA51" s="1">
        <v>4800000</v>
      </c>
      <c r="BB51" s="1"/>
      <c r="BC51" s="1"/>
      <c r="BD51" s="227"/>
      <c r="BE51" s="1"/>
      <c r="BF51" s="1">
        <v>7800000</v>
      </c>
      <c r="BG51" s="1"/>
      <c r="BH51" s="1"/>
      <c r="BI51" s="1"/>
      <c r="BJ51" s="1"/>
      <c r="BK51" s="1"/>
      <c r="BL51" s="1"/>
      <c r="BM51" s="1"/>
      <c r="BO51" s="1"/>
      <c r="BP51" s="1"/>
      <c r="BQ51" s="1"/>
      <c r="BR51" s="1">
        <v>4000000</v>
      </c>
      <c r="BS51" s="1"/>
      <c r="BT51" s="1"/>
      <c r="BU51" s="1"/>
      <c r="BV51" s="1"/>
      <c r="BW51" s="1"/>
      <c r="BX51" s="227"/>
      <c r="BY51" s="1"/>
      <c r="BZ51" s="1"/>
      <c r="CA51" s="1"/>
      <c r="CB51" s="1"/>
      <c r="CC51" s="1"/>
      <c r="CD51" s="1"/>
      <c r="CE51" s="1"/>
      <c r="CF51" s="1"/>
      <c r="CG51" s="1"/>
      <c r="CI51" s="1"/>
      <c r="CJ51" s="1"/>
      <c r="CK51" s="1"/>
      <c r="CL51" s="1"/>
      <c r="CM51" s="1"/>
      <c r="CN51" s="1"/>
      <c r="CO51" s="1"/>
      <c r="CP51" s="1">
        <v>4000000</v>
      </c>
      <c r="CR51" s="1"/>
      <c r="CS51" s="1"/>
      <c r="CT51" s="227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227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227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227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S51" s="1"/>
      <c r="FT51" s="1"/>
      <c r="FU51" s="1"/>
      <c r="FV51" s="1"/>
      <c r="FW51" s="1"/>
      <c r="FX51" s="1"/>
      <c r="FY51" s="1"/>
      <c r="FZ51" s="227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227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227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227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873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4"/>
    </row>
    <row r="52" spans="1:271" ht="14.1" customHeight="1">
      <c r="A52" s="4" t="s">
        <v>139</v>
      </c>
      <c r="B52" s="5"/>
      <c r="C52" s="189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37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>
        <v>6000000</v>
      </c>
      <c r="AC52" s="11"/>
      <c r="AD52" s="11"/>
      <c r="AE52" s="11"/>
      <c r="AF52" s="11"/>
      <c r="AG52" s="371"/>
      <c r="AH52" s="11"/>
      <c r="AI52" s="11"/>
      <c r="AJ52" s="11"/>
      <c r="AK52" s="11"/>
      <c r="AL52" s="11"/>
      <c r="AM52" s="11"/>
      <c r="AN52" s="11"/>
      <c r="AO52" s="580"/>
      <c r="AP52" s="6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37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371"/>
      <c r="BY52" s="11"/>
      <c r="BZ52" s="11"/>
      <c r="CA52" s="11"/>
      <c r="CB52" s="11"/>
      <c r="CC52" s="11"/>
      <c r="CD52" s="11"/>
      <c r="CE52" s="11">
        <v>6000000</v>
      </c>
      <c r="CF52" s="11"/>
      <c r="CG52" s="11"/>
      <c r="CH52" s="11"/>
      <c r="CI52" s="11"/>
      <c r="CJ52" s="11"/>
      <c r="CK52" s="11"/>
      <c r="CL52" s="11"/>
      <c r="CM52" s="11"/>
      <c r="CN52" s="11"/>
      <c r="CO52" s="366"/>
      <c r="CP52" s="11"/>
      <c r="CQ52" s="11">
        <v>13000000</v>
      </c>
      <c r="CR52" s="11"/>
      <c r="CS52" s="11"/>
      <c r="CT52" s="371"/>
      <c r="CU52" s="11"/>
      <c r="CV52" s="11"/>
      <c r="CW52" s="11">
        <v>14000000</v>
      </c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37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37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371"/>
      <c r="FG52" s="11"/>
      <c r="FH52" s="11"/>
      <c r="FI52" s="11"/>
      <c r="FJ52" s="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37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37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37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37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874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4"/>
    </row>
    <row r="53" spans="1:271" ht="14.1" customHeight="1">
      <c r="A53" s="5" t="s">
        <v>39</v>
      </c>
      <c r="B53" s="13"/>
      <c r="C53" s="228">
        <v>40745547.450000003</v>
      </c>
      <c r="D53" s="5">
        <f t="shared" ref="D53:I53" si="69">SUM(D49:D52)</f>
        <v>51172911.309999995</v>
      </c>
      <c r="E53" s="5">
        <f t="shared" si="69"/>
        <v>966526.07000000007</v>
      </c>
      <c r="F53" s="5">
        <f t="shared" si="69"/>
        <v>59750083.530000001</v>
      </c>
      <c r="G53" s="5">
        <f t="shared" si="69"/>
        <v>43844924.32</v>
      </c>
      <c r="H53" s="5">
        <f t="shared" si="69"/>
        <v>16741054.909999998</v>
      </c>
      <c r="I53" s="5">
        <f t="shared" si="69"/>
        <v>20470771.32</v>
      </c>
      <c r="J53" s="5">
        <f t="shared" ref="J53:BO53" si="70">SUM(J49:J52)</f>
        <v>1478618.6199999999</v>
      </c>
      <c r="K53" s="5">
        <f t="shared" si="70"/>
        <v>48525552.43</v>
      </c>
      <c r="L53" s="5">
        <f t="shared" si="70"/>
        <v>81789125.039999992</v>
      </c>
      <c r="M53" s="5">
        <f t="shared" si="70"/>
        <v>7320680.4300000006</v>
      </c>
      <c r="N53" s="228">
        <f t="shared" si="70"/>
        <v>57944286.109999999</v>
      </c>
      <c r="O53" s="5">
        <f t="shared" si="70"/>
        <v>16767009.899999999</v>
      </c>
      <c r="P53" s="5">
        <f t="shared" si="70"/>
        <v>2221398.58</v>
      </c>
      <c r="Q53" s="5">
        <f t="shared" si="70"/>
        <v>3870868.0599999996</v>
      </c>
      <c r="R53" s="5">
        <f t="shared" si="70"/>
        <v>10353309.630000001</v>
      </c>
      <c r="S53" s="5">
        <f t="shared" si="70"/>
        <v>7560198.3499999996</v>
      </c>
      <c r="T53" s="5">
        <f t="shared" si="70"/>
        <v>3640051.48</v>
      </c>
      <c r="U53" s="5">
        <f t="shared" si="70"/>
        <v>8046544.7299999995</v>
      </c>
      <c r="V53" s="5">
        <f t="shared" si="70"/>
        <v>6133652.0800000001</v>
      </c>
      <c r="W53" s="5">
        <f t="shared" si="70"/>
        <v>14735731.520000001</v>
      </c>
      <c r="X53" s="5">
        <f t="shared" si="70"/>
        <v>10943039.01</v>
      </c>
      <c r="Y53" s="5">
        <f t="shared" si="70"/>
        <v>1758471.8900000001</v>
      </c>
      <c r="Z53" s="5">
        <f t="shared" si="70"/>
        <v>20275385.619999997</v>
      </c>
      <c r="AA53" s="5">
        <f t="shared" si="70"/>
        <v>8270589.919999999</v>
      </c>
      <c r="AB53" s="5">
        <f t="shared" si="70"/>
        <v>18807803.050000001</v>
      </c>
      <c r="AC53" s="5">
        <f t="shared" si="70"/>
        <v>4974151.99</v>
      </c>
      <c r="AD53" s="5">
        <f t="shared" si="70"/>
        <v>1055197.2</v>
      </c>
      <c r="AE53" s="5">
        <f t="shared" si="70"/>
        <v>1156587.5</v>
      </c>
      <c r="AF53" s="5">
        <f t="shared" si="70"/>
        <v>5877656</v>
      </c>
      <c r="AG53" s="228">
        <f t="shared" si="70"/>
        <v>70800860.569999993</v>
      </c>
      <c r="AH53" s="5">
        <f t="shared" si="70"/>
        <v>11458848.779999999</v>
      </c>
      <c r="AI53" s="5">
        <f t="shared" si="70"/>
        <v>2087744.75</v>
      </c>
      <c r="AJ53" s="5">
        <f t="shared" si="70"/>
        <v>6064837.8700000001</v>
      </c>
      <c r="AK53" s="5">
        <f t="shared" si="70"/>
        <v>4990904.57</v>
      </c>
      <c r="AL53" s="5">
        <f t="shared" si="70"/>
        <v>5048890.5200000005</v>
      </c>
      <c r="AM53" s="5">
        <f t="shared" si="70"/>
        <v>476881.08</v>
      </c>
      <c r="AN53" s="5">
        <f t="shared" si="70"/>
        <v>17873364.140000001</v>
      </c>
      <c r="AO53" s="580">
        <f t="shared" si="70"/>
        <v>7191709.9000000004</v>
      </c>
      <c r="AP53" s="5">
        <f t="shared" si="70"/>
        <v>16325925.379999999</v>
      </c>
      <c r="AQ53" s="5">
        <f t="shared" si="70"/>
        <v>1653688.8000000003</v>
      </c>
      <c r="AR53" s="5">
        <f t="shared" si="70"/>
        <v>1705463.4000000001</v>
      </c>
      <c r="AS53" s="5">
        <f t="shared" si="70"/>
        <v>1014181.16</v>
      </c>
      <c r="AT53" s="5">
        <f t="shared" si="70"/>
        <v>2968703.2399999998</v>
      </c>
      <c r="AU53" s="5">
        <f t="shared" si="70"/>
        <v>18960459.109999999</v>
      </c>
      <c r="AV53" s="5">
        <f t="shared" si="70"/>
        <v>1980461.6699999997</v>
      </c>
      <c r="AW53" s="5">
        <f t="shared" si="70"/>
        <v>22527399.079999998</v>
      </c>
      <c r="AX53" s="5">
        <f t="shared" si="70"/>
        <v>9205628.25</v>
      </c>
      <c r="AY53" s="5">
        <f t="shared" si="70"/>
        <v>11098597.82</v>
      </c>
      <c r="AZ53" s="5">
        <f t="shared" si="70"/>
        <v>6348491</v>
      </c>
      <c r="BA53" s="5">
        <f t="shared" si="70"/>
        <v>5842882.8300000001</v>
      </c>
      <c r="BB53" s="5">
        <f t="shared" si="70"/>
        <v>4327320.9300000006</v>
      </c>
      <c r="BC53" s="5">
        <f t="shared" si="70"/>
        <v>808611.21</v>
      </c>
      <c r="BD53" s="228">
        <f t="shared" si="70"/>
        <v>60925046.710000001</v>
      </c>
      <c r="BE53" s="5">
        <f t="shared" si="70"/>
        <v>19325489.709999997</v>
      </c>
      <c r="BF53" s="5">
        <f t="shared" si="70"/>
        <v>8808458.1500000004</v>
      </c>
      <c r="BG53" s="5">
        <f t="shared" si="70"/>
        <v>7166452.2400000002</v>
      </c>
      <c r="BH53" s="5">
        <f t="shared" si="70"/>
        <v>52009660.969999999</v>
      </c>
      <c r="BI53" s="5">
        <f t="shared" si="70"/>
        <v>495876.93</v>
      </c>
      <c r="BJ53" s="5">
        <f t="shared" si="70"/>
        <v>11115208.98</v>
      </c>
      <c r="BK53" s="5">
        <f t="shared" si="70"/>
        <v>647589.45000000007</v>
      </c>
      <c r="BL53" s="5">
        <f t="shared" si="70"/>
        <v>4481795.1999999993</v>
      </c>
      <c r="BM53" s="5">
        <f t="shared" si="70"/>
        <v>923444.62</v>
      </c>
      <c r="BN53" s="5">
        <f t="shared" si="70"/>
        <v>5254748.8600000003</v>
      </c>
      <c r="BO53" s="5">
        <f t="shared" si="70"/>
        <v>6022100.2999999998</v>
      </c>
      <c r="BP53" s="5">
        <f t="shared" ref="BP53:EA53" si="71">SUM(BP49:BP52)</f>
        <v>1727850.4900000002</v>
      </c>
      <c r="BQ53" s="5">
        <f t="shared" si="71"/>
        <v>3299974.28</v>
      </c>
      <c r="BR53" s="5">
        <f t="shared" si="71"/>
        <v>4287707.0599999996</v>
      </c>
      <c r="BS53" s="5">
        <f t="shared" si="71"/>
        <v>16477097.350000003</v>
      </c>
      <c r="BT53" s="5">
        <f t="shared" si="71"/>
        <v>4955301.87</v>
      </c>
      <c r="BU53" s="5">
        <f t="shared" si="71"/>
        <v>923627.55</v>
      </c>
      <c r="BV53" s="5">
        <f t="shared" si="71"/>
        <v>8887478.3000000007</v>
      </c>
      <c r="BW53" s="5">
        <f t="shared" si="71"/>
        <v>596300.87000000011</v>
      </c>
      <c r="BX53" s="374">
        <f t="shared" si="71"/>
        <v>62745801.469999999</v>
      </c>
      <c r="BY53" s="5">
        <f t="shared" si="71"/>
        <v>21053651.829999998</v>
      </c>
      <c r="BZ53" s="5">
        <f t="shared" si="71"/>
        <v>4448477.32</v>
      </c>
      <c r="CA53" s="5">
        <f t="shared" si="71"/>
        <v>6171981.96</v>
      </c>
      <c r="CB53" s="5">
        <f t="shared" si="71"/>
        <v>452591.13</v>
      </c>
      <c r="CC53" s="5">
        <f t="shared" si="71"/>
        <v>1164708.8799999999</v>
      </c>
      <c r="CD53" s="5">
        <f t="shared" si="71"/>
        <v>13900222.380000001</v>
      </c>
      <c r="CE53" s="5">
        <f t="shared" si="71"/>
        <v>6609801.6299999999</v>
      </c>
      <c r="CF53" s="5">
        <f t="shared" si="71"/>
        <v>5233652.6800000006</v>
      </c>
      <c r="CG53" s="5">
        <f t="shared" si="71"/>
        <v>352225.42000000004</v>
      </c>
      <c r="CH53" s="5">
        <f t="shared" si="71"/>
        <v>4568569.0000000009</v>
      </c>
      <c r="CI53" s="5">
        <f t="shared" si="71"/>
        <v>6970587.620000001</v>
      </c>
      <c r="CJ53" s="5">
        <f t="shared" si="71"/>
        <v>1199542.5199999998</v>
      </c>
      <c r="CK53" s="5">
        <f t="shared" si="71"/>
        <v>10640316.77</v>
      </c>
      <c r="CL53" s="5">
        <f t="shared" si="71"/>
        <v>3085924.19</v>
      </c>
      <c r="CM53" s="5">
        <f t="shared" si="71"/>
        <v>20358482.529999997</v>
      </c>
      <c r="CN53" s="5">
        <f t="shared" si="71"/>
        <v>1623271.5899999999</v>
      </c>
      <c r="CO53" s="5">
        <f t="shared" si="71"/>
        <v>1639538.3499999999</v>
      </c>
      <c r="CP53" s="5">
        <f t="shared" si="71"/>
        <v>5065486.57</v>
      </c>
      <c r="CQ53" s="5">
        <f t="shared" si="71"/>
        <v>20570258.390000001</v>
      </c>
      <c r="CR53" s="5">
        <f t="shared" si="71"/>
        <v>3424232.9400000004</v>
      </c>
      <c r="CS53" s="5">
        <f t="shared" si="71"/>
        <v>1863194.4200000002</v>
      </c>
      <c r="CT53" s="374">
        <f t="shared" si="71"/>
        <v>64604599.080000006</v>
      </c>
      <c r="CU53" s="5">
        <f t="shared" si="71"/>
        <v>12983481.320000002</v>
      </c>
      <c r="CV53" s="5">
        <f t="shared" si="71"/>
        <v>13723805.120000001</v>
      </c>
      <c r="CW53" s="5">
        <f t="shared" si="71"/>
        <v>16176587.460000001</v>
      </c>
      <c r="CX53" s="5">
        <f t="shared" si="71"/>
        <v>1102220.9800000002</v>
      </c>
      <c r="CY53" s="5">
        <f t="shared" si="71"/>
        <v>10226189.200000001</v>
      </c>
      <c r="CZ53" s="5">
        <f t="shared" si="71"/>
        <v>2985649.69</v>
      </c>
      <c r="DA53" s="5">
        <f t="shared" si="71"/>
        <v>4984969.53</v>
      </c>
      <c r="DB53" s="5">
        <f t="shared" si="71"/>
        <v>6566286.9500000002</v>
      </c>
      <c r="DC53" s="5">
        <f t="shared" si="71"/>
        <v>1524684.9100000001</v>
      </c>
      <c r="DD53" s="5">
        <f t="shared" si="71"/>
        <v>2930629.7100000004</v>
      </c>
      <c r="DE53" s="5">
        <f t="shared" si="71"/>
        <v>18141769.960000001</v>
      </c>
      <c r="DF53" s="5">
        <f t="shared" si="71"/>
        <v>1295451.78</v>
      </c>
      <c r="DG53" s="5">
        <f t="shared" si="71"/>
        <v>1185643</v>
      </c>
      <c r="DH53" s="5">
        <f t="shared" si="71"/>
        <v>734597.12</v>
      </c>
      <c r="DI53" s="5">
        <f t="shared" si="71"/>
        <v>837892.84</v>
      </c>
      <c r="DJ53" s="5">
        <f t="shared" si="71"/>
        <v>1830133.45</v>
      </c>
      <c r="DK53" s="5">
        <f t="shared" si="71"/>
        <v>1915525.1800000002</v>
      </c>
      <c r="DL53" s="5">
        <f t="shared" si="71"/>
        <v>918806.30200000014</v>
      </c>
      <c r="DM53" s="5">
        <f t="shared" si="71"/>
        <v>168814</v>
      </c>
      <c r="DN53" s="5">
        <f t="shared" si="71"/>
        <v>1071166.8959999999</v>
      </c>
      <c r="DO53" s="374">
        <f t="shared" si="71"/>
        <v>60841317.389458708</v>
      </c>
      <c r="DP53" s="5">
        <f t="shared" si="71"/>
        <v>24942495.790688027</v>
      </c>
      <c r="DQ53" s="5">
        <f t="shared" si="71"/>
        <v>1549750.5980000002</v>
      </c>
      <c r="DR53" s="5">
        <f t="shared" si="71"/>
        <v>646664.79800000007</v>
      </c>
      <c r="DS53" s="5">
        <f t="shared" si="71"/>
        <v>3207655.1780000003</v>
      </c>
      <c r="DT53" s="5">
        <f t="shared" si="71"/>
        <v>2799224.1246590535</v>
      </c>
      <c r="DU53" s="5">
        <f t="shared" si="71"/>
        <v>5730470.7821760746</v>
      </c>
      <c r="DV53" s="5">
        <f t="shared" si="71"/>
        <v>6246623.6000000006</v>
      </c>
      <c r="DW53" s="5">
        <f t="shared" si="71"/>
        <v>1013498.3960000002</v>
      </c>
      <c r="DX53" s="5">
        <f t="shared" si="71"/>
        <v>3234375.6580000003</v>
      </c>
      <c r="DY53" s="5">
        <f t="shared" si="71"/>
        <v>819184.47600000002</v>
      </c>
      <c r="DZ53" s="5">
        <f t="shared" si="71"/>
        <v>2875471.818</v>
      </c>
      <c r="EA53" s="5">
        <f t="shared" si="71"/>
        <v>1841076.9980000004</v>
      </c>
      <c r="EB53" s="5">
        <f t="shared" ref="EB53:GM53" si="72">SUM(EB49:EB52)</f>
        <v>1542149.99</v>
      </c>
      <c r="EC53" s="5">
        <f t="shared" si="72"/>
        <v>619178.99200000009</v>
      </c>
      <c r="ED53" s="5">
        <f t="shared" si="72"/>
        <v>18225243.857357368</v>
      </c>
      <c r="EE53" s="5">
        <f t="shared" si="72"/>
        <v>2161350.8821898275</v>
      </c>
      <c r="EF53" s="5">
        <f t="shared" si="72"/>
        <v>541594.03199999989</v>
      </c>
      <c r="EG53" s="5">
        <f t="shared" si="72"/>
        <v>180332.68000000002</v>
      </c>
      <c r="EH53" s="5">
        <f t="shared" si="72"/>
        <v>2784228.1179999998</v>
      </c>
      <c r="EI53" s="5">
        <f t="shared" si="72"/>
        <v>81633.320000000007</v>
      </c>
      <c r="EJ53" s="374">
        <f t="shared" si="72"/>
        <v>69589925.649296775</v>
      </c>
      <c r="EK53" s="5">
        <f t="shared" si="72"/>
        <v>10004018.71289137</v>
      </c>
      <c r="EL53" s="5">
        <f t="shared" si="72"/>
        <v>642728.38599999994</v>
      </c>
      <c r="EM53" s="5">
        <f t="shared" si="72"/>
        <v>12554687.948000001</v>
      </c>
      <c r="EN53" s="5">
        <f t="shared" si="72"/>
        <v>1725978.7605624555</v>
      </c>
      <c r="EO53" s="5">
        <f t="shared" si="72"/>
        <v>316924.00890133757</v>
      </c>
      <c r="EP53" s="5">
        <f t="shared" si="72"/>
        <v>10157364.552000001</v>
      </c>
      <c r="EQ53" s="5">
        <f t="shared" si="72"/>
        <v>2605898.4259999995</v>
      </c>
      <c r="ER53" s="5">
        <f t="shared" si="72"/>
        <v>1353735.254</v>
      </c>
      <c r="ES53" s="5">
        <f t="shared" si="72"/>
        <v>1988772.0380000002</v>
      </c>
      <c r="ET53" s="5">
        <f t="shared" si="72"/>
        <v>471414.58799999999</v>
      </c>
      <c r="EU53" s="5">
        <f t="shared" si="72"/>
        <v>4114745.7340000002</v>
      </c>
      <c r="EV53" s="5">
        <f t="shared" si="72"/>
        <v>363975.47799999994</v>
      </c>
      <c r="EW53" s="5">
        <f t="shared" si="72"/>
        <v>2198887.1030000006</v>
      </c>
      <c r="EX53" s="5">
        <f t="shared" si="72"/>
        <v>3796799.4405250037</v>
      </c>
      <c r="EY53" s="5">
        <f t="shared" si="72"/>
        <v>13271676.259746285</v>
      </c>
      <c r="EZ53" s="5">
        <f t="shared" si="72"/>
        <v>3526829.4160000002</v>
      </c>
      <c r="FA53" s="5">
        <f t="shared" si="72"/>
        <v>333942.99799999996</v>
      </c>
      <c r="FB53" s="5">
        <f t="shared" si="72"/>
        <v>3672306.0310000004</v>
      </c>
      <c r="FC53" s="5">
        <f t="shared" si="72"/>
        <v>320468.11000000004</v>
      </c>
      <c r="FD53" s="5">
        <f t="shared" si="72"/>
        <v>4972661.5760000004</v>
      </c>
      <c r="FE53" s="5">
        <f t="shared" si="72"/>
        <v>371900.36500000005</v>
      </c>
      <c r="FF53" s="374">
        <f t="shared" si="72"/>
        <v>59431930.430327602</v>
      </c>
      <c r="FG53" s="5">
        <f t="shared" si="72"/>
        <v>11941077.028846659</v>
      </c>
      <c r="FH53" s="5">
        <f t="shared" si="72"/>
        <v>536730.98747823643</v>
      </c>
      <c r="FI53" s="5">
        <f t="shared" si="72"/>
        <v>8795743.6550000012</v>
      </c>
      <c r="FJ53" s="486">
        <f t="shared" si="72"/>
        <v>1512949.3050000002</v>
      </c>
      <c r="FK53" s="5">
        <f t="shared" si="72"/>
        <v>7309580.9140000008</v>
      </c>
      <c r="FL53" s="5">
        <f t="shared" si="72"/>
        <v>575264.67700000003</v>
      </c>
      <c r="FM53" s="5">
        <f t="shared" si="72"/>
        <v>955978.30500000005</v>
      </c>
      <c r="FN53" s="5">
        <f t="shared" si="72"/>
        <v>11695398.876</v>
      </c>
      <c r="FO53" s="5">
        <f t="shared" si="72"/>
        <v>785037.82100000011</v>
      </c>
      <c r="FP53" s="5">
        <f t="shared" si="72"/>
        <v>7090825.1230000015</v>
      </c>
      <c r="FQ53" s="5">
        <f t="shared" si="72"/>
        <v>3475331.6999922302</v>
      </c>
      <c r="FR53" s="5">
        <f t="shared" si="72"/>
        <v>2722749.5562251164</v>
      </c>
      <c r="FS53" s="5">
        <f t="shared" si="72"/>
        <v>3287386.7650000006</v>
      </c>
      <c r="FT53" s="5">
        <f t="shared" si="72"/>
        <v>671510.86399999994</v>
      </c>
      <c r="FU53" s="5">
        <f t="shared" si="72"/>
        <v>19029280.939019524</v>
      </c>
      <c r="FV53" s="5">
        <f t="shared" si="72"/>
        <v>1196750.8660000002</v>
      </c>
      <c r="FW53" s="5">
        <f t="shared" si="72"/>
        <v>3874908.8349999995</v>
      </c>
      <c r="FX53" s="5">
        <f t="shared" si="72"/>
        <v>4812363.5179999992</v>
      </c>
      <c r="FY53" s="5">
        <f t="shared" si="72"/>
        <v>1802387.7770000002</v>
      </c>
      <c r="FZ53" s="374">
        <f t="shared" si="72"/>
        <v>58330578.030466489</v>
      </c>
      <c r="GA53" s="5">
        <f t="shared" si="72"/>
        <v>11295987.259313479</v>
      </c>
      <c r="GB53" s="5">
        <f t="shared" si="72"/>
        <v>8485209.3150000013</v>
      </c>
      <c r="GC53" s="5">
        <f t="shared" si="72"/>
        <v>1585909.9540000001</v>
      </c>
      <c r="GD53" s="5">
        <f t="shared" si="72"/>
        <v>793181.03200000001</v>
      </c>
      <c r="GE53" s="5">
        <f t="shared" si="72"/>
        <v>6127870.9790000003</v>
      </c>
      <c r="GF53" s="5">
        <f t="shared" si="72"/>
        <v>599859.29800000007</v>
      </c>
      <c r="GG53" s="5">
        <f t="shared" si="72"/>
        <v>3761522.0369999995</v>
      </c>
      <c r="GH53" s="5">
        <f t="shared" si="72"/>
        <v>449000.54300000001</v>
      </c>
      <c r="GI53" s="5">
        <f t="shared" si="72"/>
        <v>1668952.3370000001</v>
      </c>
      <c r="GJ53" s="5">
        <f t="shared" si="72"/>
        <v>3807927.3565048957</v>
      </c>
      <c r="GK53" s="5">
        <f t="shared" si="72"/>
        <v>1708538.2458852297</v>
      </c>
      <c r="GL53" s="5">
        <f t="shared" si="72"/>
        <v>6357195.9360000016</v>
      </c>
      <c r="GM53" s="5">
        <f t="shared" si="72"/>
        <v>1092639.7579999999</v>
      </c>
      <c r="GN53" s="5">
        <f t="shared" ref="GN53:JI53" si="73">SUM(GN49:GN52)</f>
        <v>2703709.1320000002</v>
      </c>
      <c r="GO53" s="5">
        <f t="shared" si="73"/>
        <v>17139987.716022607</v>
      </c>
      <c r="GP53" s="5">
        <f t="shared" si="73"/>
        <v>302704.26900000003</v>
      </c>
      <c r="GQ53" s="5">
        <f t="shared" si="73"/>
        <v>3107088.9110000003</v>
      </c>
      <c r="GR53" s="5">
        <f t="shared" si="73"/>
        <v>4417163.8370000012</v>
      </c>
      <c r="GS53" s="5">
        <f t="shared" si="73"/>
        <v>8291828.2106062248</v>
      </c>
      <c r="GT53" s="5">
        <f t="shared" si="73"/>
        <v>1214880.4810596334</v>
      </c>
      <c r="GU53" s="374">
        <f t="shared" si="73"/>
        <v>62856885.619181819</v>
      </c>
      <c r="GV53" s="5">
        <f t="shared" si="73"/>
        <v>10186297.600655822</v>
      </c>
      <c r="GW53" s="5">
        <f t="shared" si="73"/>
        <v>4306512.5260000005</v>
      </c>
      <c r="GX53" s="5">
        <f t="shared" si="73"/>
        <v>794251.76800000004</v>
      </c>
      <c r="GY53" s="5">
        <f t="shared" si="73"/>
        <v>394543.43099999998</v>
      </c>
      <c r="GZ53" s="5">
        <f t="shared" si="73"/>
        <v>10904794.328000002</v>
      </c>
      <c r="HA53" s="5">
        <f t="shared" si="73"/>
        <v>3405031.22</v>
      </c>
      <c r="HB53" s="5">
        <f t="shared" si="73"/>
        <v>1087126.0350000001</v>
      </c>
      <c r="HC53" s="5">
        <f t="shared" si="73"/>
        <v>3500185.9640568234</v>
      </c>
      <c r="HD53" s="5">
        <f t="shared" si="73"/>
        <v>2247387.7247910383</v>
      </c>
      <c r="HE53" s="5">
        <f t="shared" si="73"/>
        <v>1126254.101</v>
      </c>
      <c r="HF53" s="5">
        <f t="shared" si="73"/>
        <v>3784760.6960000005</v>
      </c>
      <c r="HG53" s="5">
        <f t="shared" si="73"/>
        <v>2920813.642</v>
      </c>
      <c r="HH53" s="5">
        <f t="shared" si="73"/>
        <v>555965.29600000009</v>
      </c>
      <c r="HI53" s="5">
        <f t="shared" si="73"/>
        <v>18434032.109290499</v>
      </c>
      <c r="HJ53" s="5">
        <f t="shared" si="73"/>
        <v>541215.65600000008</v>
      </c>
      <c r="HK53" s="5">
        <f t="shared" si="73"/>
        <v>4134515.6280000005</v>
      </c>
      <c r="HL53" s="5">
        <f t="shared" si="73"/>
        <v>431006.70299999998</v>
      </c>
      <c r="HM53" s="5">
        <f t="shared" si="73"/>
        <v>2490625.9017867362</v>
      </c>
      <c r="HN53" s="5">
        <f t="shared" si="73"/>
        <v>6865378.2578347865</v>
      </c>
      <c r="HO53" s="5">
        <f t="shared" si="73"/>
        <v>1003921.374</v>
      </c>
      <c r="HP53" s="374">
        <f t="shared" si="73"/>
        <v>60448149.649003737</v>
      </c>
      <c r="HQ53" s="5">
        <f t="shared" si="73"/>
        <v>10666615.96665279</v>
      </c>
      <c r="HR53" s="5">
        <f t="shared" si="73"/>
        <v>1266081.2010000001</v>
      </c>
      <c r="HS53" s="5">
        <f t="shared" si="73"/>
        <v>18873147.436000001</v>
      </c>
      <c r="HT53" s="5">
        <f t="shared" si="73"/>
        <v>1275347.986</v>
      </c>
      <c r="HU53" s="5">
        <f t="shared" si="73"/>
        <v>2782903.3569999998</v>
      </c>
      <c r="HV53" s="5">
        <f t="shared" si="73"/>
        <v>3706069.3969041067</v>
      </c>
      <c r="HW53" s="5">
        <f t="shared" si="73"/>
        <v>1127924.4357013162</v>
      </c>
      <c r="HX53" s="5">
        <f t="shared" si="73"/>
        <v>953309.25699999998</v>
      </c>
      <c r="HY53" s="5">
        <f t="shared" si="73"/>
        <v>154688.19700000001</v>
      </c>
      <c r="HZ53" s="5">
        <f t="shared" si="73"/>
        <v>3173873.8070000005</v>
      </c>
      <c r="IA53" s="5">
        <f t="shared" si="73"/>
        <v>266667.32199999999</v>
      </c>
      <c r="IB53" s="5">
        <f t="shared" si="73"/>
        <v>72056.548999999999</v>
      </c>
      <c r="IC53" s="5">
        <f t="shared" si="73"/>
        <v>216962.28900000002</v>
      </c>
      <c r="ID53" s="5">
        <f t="shared" si="73"/>
        <v>819815.24200000009</v>
      </c>
      <c r="IE53" s="5">
        <f t="shared" si="73"/>
        <v>1804203.0120000001</v>
      </c>
      <c r="IF53" s="5">
        <f t="shared" si="73"/>
        <v>18758965.218990479</v>
      </c>
      <c r="IG53" s="5">
        <f t="shared" si="73"/>
        <v>662855.60257955675</v>
      </c>
      <c r="IH53" s="5">
        <f t="shared" si="73"/>
        <v>2388229.8679999998</v>
      </c>
      <c r="II53" s="5">
        <f t="shared" si="73"/>
        <v>448104.22200000007</v>
      </c>
      <c r="IJ53" s="5">
        <f t="shared" si="73"/>
        <v>911868.21100000001</v>
      </c>
      <c r="IK53" s="5">
        <f t="shared" si="73"/>
        <v>793174.77599999995</v>
      </c>
      <c r="IL53" s="374">
        <f t="shared" si="73"/>
        <v>54128906.617346317</v>
      </c>
      <c r="IM53" s="5">
        <f t="shared" si="73"/>
        <v>15548671.995637421</v>
      </c>
      <c r="IN53" s="5">
        <f t="shared" si="73"/>
        <v>559340.25100000005</v>
      </c>
      <c r="IO53" s="5">
        <f t="shared" si="73"/>
        <v>3188476.4462582227</v>
      </c>
      <c r="IP53" s="5">
        <f t="shared" si="73"/>
        <v>894198.6357583598</v>
      </c>
      <c r="IQ53" s="5">
        <f t="shared" si="73"/>
        <v>6593793.2089999998</v>
      </c>
      <c r="IR53" s="5">
        <f t="shared" si="73"/>
        <v>324332.59800000006</v>
      </c>
      <c r="IS53" s="5">
        <f t="shared" si="73"/>
        <v>1496890.804</v>
      </c>
      <c r="IT53" s="5">
        <f t="shared" si="73"/>
        <v>1215537.02</v>
      </c>
      <c r="IU53" s="5">
        <f t="shared" si="73"/>
        <v>868179.424</v>
      </c>
      <c r="IV53" s="5">
        <f t="shared" si="73"/>
        <v>4673238.6329999994</v>
      </c>
      <c r="IW53" s="868"/>
      <c r="IX53" s="5">
        <f t="shared" si="73"/>
        <v>1573951.4666999998</v>
      </c>
      <c r="IY53" s="5">
        <f t="shared" si="73"/>
        <v>226878.32519999999</v>
      </c>
      <c r="IZ53" s="5">
        <f t="shared" si="73"/>
        <v>266753.14419999998</v>
      </c>
      <c r="JA53" s="5">
        <f t="shared" si="73"/>
        <v>18390444.541464731</v>
      </c>
      <c r="JB53" s="5">
        <f t="shared" si="73"/>
        <v>678204.2031490826</v>
      </c>
      <c r="JC53" s="5">
        <f t="shared" si="73"/>
        <v>2585683.6481000003</v>
      </c>
      <c r="JD53" s="5">
        <f t="shared" si="73"/>
        <v>1083867.4001</v>
      </c>
      <c r="JE53" s="5">
        <f t="shared" si="73"/>
        <v>126412697.991</v>
      </c>
      <c r="JF53" s="5">
        <f t="shared" si="73"/>
        <v>1257966.2107999998</v>
      </c>
      <c r="JG53" s="5">
        <f t="shared" si="73"/>
        <v>6355107.4142000005</v>
      </c>
      <c r="JH53" s="5">
        <f t="shared" si="73"/>
        <v>61686320.78458374</v>
      </c>
      <c r="JI53" s="5">
        <f t="shared" si="73"/>
        <v>2250182714.8591275</v>
      </c>
      <c r="JJ53" s="5">
        <f>SUM(JJ49:JJ52)</f>
        <v>0</v>
      </c>
      <c r="JK53" s="5">
        <f>SUM(JK49:JK52)</f>
        <v>4411503017.2562561</v>
      </c>
    </row>
    <row r="54" spans="1:271" s="42" customFormat="1" ht="14.1" customHeight="1" thickBot="1">
      <c r="A54" s="64" t="s">
        <v>40</v>
      </c>
      <c r="B54" s="60"/>
      <c r="C54" s="67">
        <v>300305.7254999578</v>
      </c>
      <c r="D54" s="60">
        <f t="shared" ref="D54:I54" si="74">+D6+D27-D53</f>
        <v>588180.28549996018</v>
      </c>
      <c r="E54" s="60">
        <f t="shared" si="74"/>
        <v>298519.87549996027</v>
      </c>
      <c r="F54" s="60">
        <f t="shared" si="74"/>
        <v>755870.87549995631</v>
      </c>
      <c r="G54" s="60">
        <f t="shared" si="74"/>
        <v>399739.78549996018</v>
      </c>
      <c r="H54" s="60">
        <f t="shared" si="74"/>
        <v>3408017.535499962</v>
      </c>
      <c r="I54" s="60">
        <f t="shared" si="74"/>
        <v>302282.21549995989</v>
      </c>
      <c r="J54" s="60">
        <f t="shared" ref="J54:BO54" si="75">+J6+J27-J53</f>
        <v>374688.65549995983</v>
      </c>
      <c r="K54" s="60">
        <f t="shared" si="75"/>
        <v>384427.19549995661</v>
      </c>
      <c r="L54" s="60">
        <f t="shared" si="75"/>
        <v>356119.51549996436</v>
      </c>
      <c r="M54" s="60">
        <f t="shared" si="75"/>
        <v>457093.18549996335</v>
      </c>
      <c r="N54" s="67">
        <f t="shared" si="75"/>
        <v>369500.65549996495</v>
      </c>
      <c r="O54" s="60">
        <f t="shared" si="75"/>
        <v>385817.82549996674</v>
      </c>
      <c r="P54" s="60">
        <f t="shared" si="75"/>
        <v>419466.10549996654</v>
      </c>
      <c r="Q54" s="60">
        <f t="shared" si="75"/>
        <v>393617.71549996641</v>
      </c>
      <c r="R54" s="60">
        <f t="shared" si="75"/>
        <v>575235.51549996622</v>
      </c>
      <c r="S54" s="60">
        <f t="shared" si="75"/>
        <v>390936.105499967</v>
      </c>
      <c r="T54" s="60">
        <f t="shared" si="75"/>
        <v>460895.05549996719</v>
      </c>
      <c r="U54" s="60">
        <f t="shared" si="75"/>
        <v>403006.30549996812</v>
      </c>
      <c r="V54" s="60">
        <f t="shared" si="75"/>
        <v>857334.16549996845</v>
      </c>
      <c r="W54" s="60">
        <f t="shared" si="75"/>
        <v>241814.11549996771</v>
      </c>
      <c r="X54" s="60">
        <f t="shared" si="75"/>
        <v>351268.87549996749</v>
      </c>
      <c r="Y54" s="60">
        <f t="shared" si="75"/>
        <v>325496.05549996719</v>
      </c>
      <c r="Z54" s="60">
        <f t="shared" si="75"/>
        <v>365395.15549996868</v>
      </c>
      <c r="AA54" s="60">
        <f t="shared" si="75"/>
        <v>411698.27549996879</v>
      </c>
      <c r="AB54" s="60">
        <f t="shared" si="75"/>
        <v>471499.73549997061</v>
      </c>
      <c r="AC54" s="60">
        <f t="shared" si="75"/>
        <v>371501.33549997024</v>
      </c>
      <c r="AD54" s="60">
        <f t="shared" si="75"/>
        <v>356385.36549997027</v>
      </c>
      <c r="AE54" s="60">
        <f t="shared" si="75"/>
        <v>341761.77549997019</v>
      </c>
      <c r="AF54" s="60">
        <f t="shared" si="75"/>
        <v>582101.07549997047</v>
      </c>
      <c r="AG54" s="67">
        <f t="shared" si="75"/>
        <v>286621.17549997568</v>
      </c>
      <c r="AH54" s="60">
        <f t="shared" si="75"/>
        <v>304688.1954999771</v>
      </c>
      <c r="AI54" s="60">
        <f t="shared" si="75"/>
        <v>602754.21549997712</v>
      </c>
      <c r="AJ54" s="60">
        <f t="shared" si="75"/>
        <v>314367.44549997617</v>
      </c>
      <c r="AK54" s="60">
        <f t="shared" si="75"/>
        <v>4815875.5654999763</v>
      </c>
      <c r="AL54" s="60">
        <f t="shared" si="75"/>
        <v>296100.19549997617</v>
      </c>
      <c r="AM54" s="60">
        <f t="shared" si="75"/>
        <v>356850.82549997611</v>
      </c>
      <c r="AN54" s="60">
        <f t="shared" si="75"/>
        <v>458142.54549997672</v>
      </c>
      <c r="AO54" s="581">
        <f t="shared" si="75"/>
        <v>432676.97549997643</v>
      </c>
      <c r="AP54" s="60">
        <f t="shared" si="75"/>
        <v>343916.38549997844</v>
      </c>
      <c r="AQ54" s="60">
        <f t="shared" si="75"/>
        <v>320232.99549997807</v>
      </c>
      <c r="AR54" s="60">
        <f t="shared" si="75"/>
        <v>326277.165499978</v>
      </c>
      <c r="AS54" s="60">
        <f t="shared" si="75"/>
        <v>399244.67549997789</v>
      </c>
      <c r="AT54" s="60">
        <f t="shared" si="75"/>
        <v>368731.90549997799</v>
      </c>
      <c r="AU54" s="60">
        <f t="shared" si="75"/>
        <v>363247.65549997985</v>
      </c>
      <c r="AV54" s="60">
        <f t="shared" si="75"/>
        <v>285266.19549998012</v>
      </c>
      <c r="AW54" s="60">
        <f t="shared" si="75"/>
        <v>630646.09549998119</v>
      </c>
      <c r="AX54" s="60">
        <f t="shared" si="75"/>
        <v>405003.17549998127</v>
      </c>
      <c r="AY54" s="60">
        <f t="shared" si="75"/>
        <v>351654.5254999809</v>
      </c>
      <c r="AZ54" s="60">
        <f t="shared" si="75"/>
        <v>404231.34549998119</v>
      </c>
      <c r="BA54" s="60">
        <f t="shared" si="75"/>
        <v>405631.14549998101</v>
      </c>
      <c r="BB54" s="60">
        <f t="shared" si="75"/>
        <v>490526.69549998082</v>
      </c>
      <c r="BC54" s="60">
        <f t="shared" si="75"/>
        <v>408688.04549998092</v>
      </c>
      <c r="BD54" s="67">
        <f t="shared" si="75"/>
        <v>429929.02549997717</v>
      </c>
      <c r="BE54" s="60">
        <f t="shared" si="75"/>
        <v>414876.23549998179</v>
      </c>
      <c r="BF54" s="60">
        <f t="shared" si="75"/>
        <v>427691.92549998127</v>
      </c>
      <c r="BG54" s="60">
        <f t="shared" si="75"/>
        <v>351468.98549998086</v>
      </c>
      <c r="BH54" s="60">
        <f t="shared" si="75"/>
        <v>15452363.975499988</v>
      </c>
      <c r="BI54" s="60">
        <f t="shared" si="75"/>
        <v>15179720.535499988</v>
      </c>
      <c r="BJ54" s="60">
        <f t="shared" si="75"/>
        <v>20819063.525499988</v>
      </c>
      <c r="BK54" s="60">
        <f t="shared" si="75"/>
        <v>35597518.615499988</v>
      </c>
      <c r="BL54" s="60">
        <f t="shared" si="75"/>
        <v>32106095.955499988</v>
      </c>
      <c r="BM54" s="60">
        <f t="shared" si="75"/>
        <v>38273344.60549999</v>
      </c>
      <c r="BN54" s="60">
        <f t="shared" si="75"/>
        <v>33268776.495499991</v>
      </c>
      <c r="BO54" s="60">
        <f t="shared" si="75"/>
        <v>27682673.455499988</v>
      </c>
      <c r="BP54" s="60">
        <f t="shared" ref="BP54:EA54" si="76">+BP6+BP27-BP53</f>
        <v>48992067.245499991</v>
      </c>
      <c r="BQ54" s="60">
        <f t="shared" si="76"/>
        <v>46355943.645499989</v>
      </c>
      <c r="BR54" s="60">
        <f t="shared" si="76"/>
        <v>49250114.435499988</v>
      </c>
      <c r="BS54" s="60">
        <f t="shared" si="76"/>
        <v>43246153.205499984</v>
      </c>
      <c r="BT54" s="60">
        <f t="shared" si="76"/>
        <v>42433298.585499987</v>
      </c>
      <c r="BU54" s="60">
        <f t="shared" si="76"/>
        <v>41703256.995499991</v>
      </c>
      <c r="BV54" s="60">
        <f t="shared" si="76"/>
        <v>43485042.575499997</v>
      </c>
      <c r="BW54" s="60">
        <f t="shared" si="76"/>
        <v>43135140.085500002</v>
      </c>
      <c r="BX54" s="67">
        <f t="shared" si="76"/>
        <v>44319036.815500006</v>
      </c>
      <c r="BY54" s="60">
        <f t="shared" si="76"/>
        <v>44635484.785500005</v>
      </c>
      <c r="BZ54" s="60">
        <f t="shared" si="76"/>
        <v>42794236.625500001</v>
      </c>
      <c r="CA54" s="60">
        <f t="shared" si="76"/>
        <v>44694100.455499999</v>
      </c>
      <c r="CB54" s="60">
        <f t="shared" si="76"/>
        <v>44356792.515499994</v>
      </c>
      <c r="CC54" s="60">
        <f t="shared" si="76"/>
        <v>43337919.475499995</v>
      </c>
      <c r="CD54" s="60">
        <f t="shared" si="76"/>
        <v>42539189.345499992</v>
      </c>
      <c r="CE54" s="60">
        <f t="shared" si="76"/>
        <v>44119489.245499991</v>
      </c>
      <c r="CF54" s="60">
        <f t="shared" si="76"/>
        <v>43919467.595499992</v>
      </c>
      <c r="CG54" s="60">
        <f t="shared" si="76"/>
        <v>43701821.765499994</v>
      </c>
      <c r="CH54" s="60">
        <f t="shared" si="76"/>
        <v>44226729.485499993</v>
      </c>
      <c r="CI54" s="60">
        <f t="shared" si="76"/>
        <v>44048952.305499986</v>
      </c>
      <c r="CJ54" s="60">
        <f t="shared" si="76"/>
        <v>43982480.395499982</v>
      </c>
      <c r="CK54" s="60">
        <f t="shared" si="76"/>
        <v>43926970.395499989</v>
      </c>
      <c r="CL54" s="60">
        <f t="shared" si="76"/>
        <v>46666467.35549999</v>
      </c>
      <c r="CM54" s="60">
        <f t="shared" si="76"/>
        <v>44657140.505499989</v>
      </c>
      <c r="CN54" s="60">
        <f t="shared" si="76"/>
        <v>44017040.855499983</v>
      </c>
      <c r="CO54" s="60">
        <f t="shared" si="76"/>
        <v>42846364.915499978</v>
      </c>
      <c r="CP54" s="60">
        <f t="shared" si="76"/>
        <v>44108228.065499976</v>
      </c>
      <c r="CQ54" s="60">
        <f t="shared" si="76"/>
        <v>46721315.315499976</v>
      </c>
      <c r="CR54" s="60">
        <f t="shared" si="76"/>
        <v>44832977.775499977</v>
      </c>
      <c r="CS54" s="60">
        <f t="shared" si="76"/>
        <v>43138901.825499974</v>
      </c>
      <c r="CT54" s="67">
        <f t="shared" si="76"/>
        <v>44063903.465499975</v>
      </c>
      <c r="CU54" s="60">
        <f t="shared" si="76"/>
        <v>45649133.135499977</v>
      </c>
      <c r="CV54" s="60">
        <f t="shared" si="76"/>
        <v>46116357.27549997</v>
      </c>
      <c r="CW54" s="60">
        <f t="shared" si="76"/>
        <v>45847197.605499968</v>
      </c>
      <c r="CX54" s="60">
        <f t="shared" si="76"/>
        <v>48094187.125499971</v>
      </c>
      <c r="CY54" s="60">
        <f t="shared" si="76"/>
        <v>38079318.735499971</v>
      </c>
      <c r="CZ54" s="60">
        <f t="shared" si="76"/>
        <v>46591799.425499976</v>
      </c>
      <c r="DA54" s="60">
        <f t="shared" si="76"/>
        <v>44813563.585499972</v>
      </c>
      <c r="DB54" s="60">
        <f t="shared" si="76"/>
        <v>51275686.355499968</v>
      </c>
      <c r="DC54" s="60">
        <f t="shared" si="76"/>
        <v>51454143.995499969</v>
      </c>
      <c r="DD54" s="60">
        <f t="shared" si="76"/>
        <v>48767748.585499965</v>
      </c>
      <c r="DE54" s="60">
        <f t="shared" si="76"/>
        <v>44454881.46549996</v>
      </c>
      <c r="DF54" s="60">
        <f t="shared" si="76"/>
        <v>44001315.985499956</v>
      </c>
      <c r="DG54" s="60">
        <f t="shared" si="76"/>
        <v>43644636.425499953</v>
      </c>
      <c r="DH54" s="60">
        <f t="shared" si="76"/>
        <v>52134010.565499954</v>
      </c>
      <c r="DI54" s="60">
        <f t="shared" si="76"/>
        <v>51644691.595499948</v>
      </c>
      <c r="DJ54" s="60">
        <f t="shared" si="76"/>
        <v>50128684.105499946</v>
      </c>
      <c r="DK54" s="60">
        <f t="shared" si="76"/>
        <v>48408793.455499947</v>
      </c>
      <c r="DL54" s="60">
        <f t="shared" si="76"/>
        <v>47771202.364499949</v>
      </c>
      <c r="DM54" s="60">
        <f t="shared" si="76"/>
        <v>52929764.076499954</v>
      </c>
      <c r="DN54" s="60">
        <f t="shared" si="76"/>
        <v>52073691.981499955</v>
      </c>
      <c r="DO54" s="67">
        <f t="shared" si="76"/>
        <v>-5007469.5049587563</v>
      </c>
      <c r="DP54" s="60">
        <f t="shared" si="76"/>
        <v>-29946525.861646783</v>
      </c>
      <c r="DQ54" s="60">
        <f t="shared" si="76"/>
        <v>-13309408.173646785</v>
      </c>
      <c r="DR54" s="60">
        <f t="shared" si="76"/>
        <v>-12702718.949646786</v>
      </c>
      <c r="DS54" s="60">
        <f t="shared" si="76"/>
        <v>-15659044.773646787</v>
      </c>
      <c r="DT54" s="60">
        <f t="shared" si="76"/>
        <v>-18424268.602305841</v>
      </c>
      <c r="DU54" s="60">
        <f t="shared" si="76"/>
        <v>-23433892.231481913</v>
      </c>
      <c r="DV54" s="60">
        <f t="shared" si="76"/>
        <v>-20810621.878481913</v>
      </c>
      <c r="DW54" s="60">
        <f t="shared" si="76"/>
        <v>-16126482.316481913</v>
      </c>
      <c r="DX54" s="60">
        <f t="shared" si="76"/>
        <v>-19360857.974481914</v>
      </c>
      <c r="DY54" s="60">
        <f t="shared" si="76"/>
        <v>-19288645.100481912</v>
      </c>
      <c r="DZ54" s="60">
        <f t="shared" si="76"/>
        <v>-22084778.442481913</v>
      </c>
      <c r="EA54" s="60">
        <f t="shared" si="76"/>
        <v>-23654210.696481913</v>
      </c>
      <c r="EB54" s="60">
        <f t="shared" ref="EB54:GM54" si="77">+EB6+EB27-EB53</f>
        <v>-24310735.191481911</v>
      </c>
      <c r="EC54" s="60">
        <f t="shared" si="77"/>
        <v>40363903.769518092</v>
      </c>
      <c r="ED54" s="60">
        <f t="shared" si="77"/>
        <v>22396815.549160726</v>
      </c>
      <c r="EE54" s="60">
        <f t="shared" si="77"/>
        <v>20353063.000970896</v>
      </c>
      <c r="EF54" s="60">
        <f t="shared" si="77"/>
        <v>26620032.666970894</v>
      </c>
      <c r="EG54" s="60">
        <f t="shared" si="77"/>
        <v>28736445.929970894</v>
      </c>
      <c r="EH54" s="60">
        <f t="shared" si="77"/>
        <v>26207214.586970892</v>
      </c>
      <c r="EI54" s="60">
        <f t="shared" si="77"/>
        <v>26354506.586970892</v>
      </c>
      <c r="EJ54" s="67">
        <f t="shared" si="77"/>
        <v>-24021252.917325884</v>
      </c>
      <c r="EK54" s="487">
        <f t="shared" si="77"/>
        <v>-32433483.949217252</v>
      </c>
      <c r="EL54" s="60">
        <f t="shared" si="77"/>
        <v>-32960663.963217251</v>
      </c>
      <c r="EM54" s="60">
        <f t="shared" si="77"/>
        <v>-38405374.053217255</v>
      </c>
      <c r="EN54" s="60">
        <f t="shared" si="77"/>
        <v>-40065451.639779709</v>
      </c>
      <c r="EO54" s="60">
        <f t="shared" si="77"/>
        <v>-40321934.081681043</v>
      </c>
      <c r="EP54" s="60">
        <f t="shared" si="77"/>
        <v>-41191340.841681041</v>
      </c>
      <c r="EQ54" s="60">
        <f t="shared" si="77"/>
        <v>-43011909.69068104</v>
      </c>
      <c r="ER54" s="60">
        <f t="shared" si="77"/>
        <v>-4966180.56968104</v>
      </c>
      <c r="ES54" s="60">
        <f t="shared" si="77"/>
        <v>-4951021.4726810399</v>
      </c>
      <c r="ET54" s="60">
        <f t="shared" si="77"/>
        <v>-5104474.7236810401</v>
      </c>
      <c r="EU54" s="60">
        <f t="shared" si="77"/>
        <v>-8870761.2046810389</v>
      </c>
      <c r="EV54" s="60">
        <f t="shared" si="77"/>
        <v>-6031194.0586810391</v>
      </c>
      <c r="EW54" s="60">
        <f t="shared" si="77"/>
        <v>-7894205.864681039</v>
      </c>
      <c r="EX54" s="60">
        <f t="shared" si="77"/>
        <v>-10965073.541206043</v>
      </c>
      <c r="EY54" s="60">
        <f t="shared" si="77"/>
        <v>-24087377.746952329</v>
      </c>
      <c r="EZ54" s="60">
        <f t="shared" si="77"/>
        <v>-27414339.25295233</v>
      </c>
      <c r="FA54" s="60">
        <f t="shared" si="77"/>
        <v>12691431.89604767</v>
      </c>
      <c r="FB54" s="60">
        <f t="shared" si="77"/>
        <v>10799621.682047669</v>
      </c>
      <c r="FC54" s="60">
        <f t="shared" si="77"/>
        <v>25799016.967047669</v>
      </c>
      <c r="FD54" s="60">
        <f t="shared" si="77"/>
        <v>22914001.137047667</v>
      </c>
      <c r="FE54" s="60">
        <f t="shared" si="77"/>
        <v>26447077.180047669</v>
      </c>
      <c r="FF54" s="67">
        <f t="shared" si="77"/>
        <v>-32379784.268279932</v>
      </c>
      <c r="FG54" s="60">
        <f t="shared" si="77"/>
        <v>-44155939.204126596</v>
      </c>
      <c r="FH54" s="60">
        <f t="shared" si="77"/>
        <v>-44368122.357604831</v>
      </c>
      <c r="FI54" s="60">
        <f t="shared" si="77"/>
        <v>-41282723.567604832</v>
      </c>
      <c r="FJ54" s="487">
        <f t="shared" si="77"/>
        <v>-42118560.83460483</v>
      </c>
      <c r="FK54" s="60">
        <f t="shared" si="77"/>
        <v>-49153730.103604823</v>
      </c>
      <c r="FL54" s="60">
        <f t="shared" si="77"/>
        <v>-49215458.746604823</v>
      </c>
      <c r="FM54" s="60">
        <f t="shared" si="77"/>
        <v>98988500.022395164</v>
      </c>
      <c r="FN54" s="60">
        <f t="shared" si="77"/>
        <v>232372938.80539519</v>
      </c>
      <c r="FO54" s="60">
        <f t="shared" si="77"/>
        <v>231742754.30739519</v>
      </c>
      <c r="FP54" s="60">
        <f t="shared" si="77"/>
        <v>224989270.7533952</v>
      </c>
      <c r="FQ54" s="60">
        <f t="shared" si="77"/>
        <v>226769044.09040296</v>
      </c>
      <c r="FR54" s="60">
        <f t="shared" si="77"/>
        <v>224725240.48217785</v>
      </c>
      <c r="FS54" s="60">
        <f t="shared" si="77"/>
        <v>227489209.14917785</v>
      </c>
      <c r="FT54" s="60">
        <f t="shared" si="77"/>
        <v>228281810.72617787</v>
      </c>
      <c r="FU54" s="60">
        <f t="shared" si="77"/>
        <v>209717564.82615834</v>
      </c>
      <c r="FV54" s="60">
        <f t="shared" si="77"/>
        <v>211464888.62915835</v>
      </c>
      <c r="FW54" s="60">
        <f t="shared" si="77"/>
        <v>208237729.29615834</v>
      </c>
      <c r="FX54" s="60">
        <f t="shared" si="77"/>
        <v>208984266.11815834</v>
      </c>
      <c r="FY54" s="60">
        <f t="shared" si="77"/>
        <v>207505842.96915832</v>
      </c>
      <c r="FZ54" s="67">
        <f t="shared" si="77"/>
        <v>149877568.78269184</v>
      </c>
      <c r="GA54" s="60">
        <f t="shared" si="77"/>
        <v>139654545.94437838</v>
      </c>
      <c r="GB54" s="60">
        <f t="shared" si="77"/>
        <v>139437484.45137838</v>
      </c>
      <c r="GC54" s="60">
        <f t="shared" si="77"/>
        <v>148347358.88637838</v>
      </c>
      <c r="GD54" s="60">
        <f t="shared" si="77"/>
        <v>148799244.00337836</v>
      </c>
      <c r="GE54" s="60">
        <f t="shared" si="77"/>
        <v>143647752.89337835</v>
      </c>
      <c r="GF54" s="60">
        <f t="shared" si="77"/>
        <v>144327234.80837834</v>
      </c>
      <c r="GG54" s="60">
        <f t="shared" si="77"/>
        <v>258848723.72337833</v>
      </c>
      <c r="GH54" s="60">
        <f t="shared" si="77"/>
        <v>268170061.68737832</v>
      </c>
      <c r="GI54" s="60">
        <f t="shared" si="77"/>
        <v>267241331.0523783</v>
      </c>
      <c r="GJ54" s="60">
        <f t="shared" si="77"/>
        <v>268898667.90787339</v>
      </c>
      <c r="GK54" s="60">
        <f t="shared" si="77"/>
        <v>268001928.08798817</v>
      </c>
      <c r="GL54" s="60">
        <f t="shared" si="77"/>
        <v>267403094.31398815</v>
      </c>
      <c r="GM54" s="60">
        <f t="shared" si="77"/>
        <v>267664086.39098814</v>
      </c>
      <c r="GN54" s="60">
        <f t="shared" ref="GN54:JJ54" si="78">+GN6+GN27-GN53</f>
        <v>265927737.79498813</v>
      </c>
      <c r="GO54" s="60">
        <f t="shared" si="78"/>
        <v>250163384.3159655</v>
      </c>
      <c r="GP54" s="60">
        <f t="shared" si="78"/>
        <v>250946914.02296552</v>
      </c>
      <c r="GQ54" s="60">
        <f t="shared" si="78"/>
        <v>253671439.4159655</v>
      </c>
      <c r="GR54" s="60">
        <f t="shared" si="78"/>
        <v>250479609.63996547</v>
      </c>
      <c r="GS54" s="60">
        <f t="shared" si="78"/>
        <v>243007855.51335925</v>
      </c>
      <c r="GT54" s="60">
        <f t="shared" si="78"/>
        <v>245132274.30529961</v>
      </c>
      <c r="GU54" s="67">
        <f t="shared" si="78"/>
        <v>198099652.2811178</v>
      </c>
      <c r="GV54" s="60">
        <f t="shared" si="78"/>
        <v>188233316.63146198</v>
      </c>
      <c r="GW54" s="60">
        <f t="shared" si="78"/>
        <v>185124385.23046198</v>
      </c>
      <c r="GX54" s="60">
        <f t="shared" si="78"/>
        <v>186658682.47646198</v>
      </c>
      <c r="GY54" s="60">
        <f t="shared" si="78"/>
        <v>188310421.22046199</v>
      </c>
      <c r="GZ54" s="60">
        <f t="shared" si="78"/>
        <v>178412285.48846197</v>
      </c>
      <c r="HA54" s="60">
        <f t="shared" si="78"/>
        <v>175792359.01746199</v>
      </c>
      <c r="HB54" s="60">
        <f t="shared" si="78"/>
        <v>175823976.192462</v>
      </c>
      <c r="HC54" s="60">
        <f t="shared" si="78"/>
        <v>182028608.26440516</v>
      </c>
      <c r="HD54" s="60">
        <f t="shared" si="78"/>
        <v>193407478.67161411</v>
      </c>
      <c r="HE54" s="60">
        <f t="shared" si="78"/>
        <v>193835372.42061409</v>
      </c>
      <c r="HF54" s="60">
        <f t="shared" si="78"/>
        <v>191436708.05261409</v>
      </c>
      <c r="HG54" s="60">
        <f t="shared" si="78"/>
        <v>190264013.16161409</v>
      </c>
      <c r="HH54" s="60">
        <f t="shared" si="78"/>
        <v>191457007.71261409</v>
      </c>
      <c r="HI54" s="60">
        <f t="shared" si="78"/>
        <v>176568344.26232359</v>
      </c>
      <c r="HJ54" s="60">
        <f t="shared" si="78"/>
        <v>178220597.79732361</v>
      </c>
      <c r="HK54" s="60">
        <f t="shared" si="78"/>
        <v>176319737.14432362</v>
      </c>
      <c r="HL54" s="60">
        <f t="shared" si="78"/>
        <v>178555125.3403236</v>
      </c>
      <c r="HM54" s="60">
        <f t="shared" si="78"/>
        <v>179652424.46853685</v>
      </c>
      <c r="HN54" s="60">
        <f t="shared" si="78"/>
        <v>182022603.98970205</v>
      </c>
      <c r="HO54" s="60">
        <f t="shared" si="78"/>
        <v>183684816.10670203</v>
      </c>
      <c r="HP54" s="67">
        <f t="shared" si="78"/>
        <v>142600987.53669828</v>
      </c>
      <c r="HQ54" s="60">
        <f t="shared" si="78"/>
        <v>138608181.9430455</v>
      </c>
      <c r="HR54" s="60">
        <f t="shared" si="78"/>
        <v>142059685.6860455</v>
      </c>
      <c r="HS54" s="60">
        <f t="shared" si="78"/>
        <v>131788144.41504548</v>
      </c>
      <c r="HT54" s="60">
        <f t="shared" si="78"/>
        <v>140204285.59404549</v>
      </c>
      <c r="HU54" s="60">
        <f t="shared" si="78"/>
        <v>142842314.63304549</v>
      </c>
      <c r="HV54" s="60">
        <f t="shared" si="78"/>
        <v>147109614.57414138</v>
      </c>
      <c r="HW54" s="60">
        <f t="shared" si="78"/>
        <v>151627631.14544007</v>
      </c>
      <c r="HX54" s="60">
        <f t="shared" si="78"/>
        <v>153832424.13844007</v>
      </c>
      <c r="HY54" s="60">
        <f t="shared" si="78"/>
        <v>153677785.94144008</v>
      </c>
      <c r="HZ54" s="60">
        <f t="shared" si="78"/>
        <v>155403534.16644007</v>
      </c>
      <c r="IA54" s="60">
        <f t="shared" si="78"/>
        <v>203291646.14844006</v>
      </c>
      <c r="IB54" s="60">
        <f t="shared" si="78"/>
        <v>214419739.36944008</v>
      </c>
      <c r="IC54" s="60">
        <f t="shared" si="78"/>
        <v>262151338.35444006</v>
      </c>
      <c r="ID54" s="60">
        <f t="shared" si="78"/>
        <v>277019567.60244006</v>
      </c>
      <c r="IE54" s="60">
        <f>+IE6+IE27-IE53+1.1</f>
        <v>286738114.94644004</v>
      </c>
      <c r="IF54" s="60">
        <f t="shared" si="78"/>
        <v>282092641.62744951</v>
      </c>
      <c r="IG54" s="60">
        <f t="shared" si="78"/>
        <v>291724045.35486996</v>
      </c>
      <c r="IH54" s="60">
        <f t="shared" si="78"/>
        <v>294176477.24987</v>
      </c>
      <c r="II54" s="60">
        <f t="shared" si="78"/>
        <v>305136459.20086998</v>
      </c>
      <c r="IJ54" s="60">
        <f t="shared" si="78"/>
        <v>313335719.28486997</v>
      </c>
      <c r="IK54" s="60">
        <f t="shared" si="78"/>
        <v>320132573.47486997</v>
      </c>
      <c r="IL54" s="67">
        <f t="shared" si="78"/>
        <v>273576277.90452361</v>
      </c>
      <c r="IM54" s="60">
        <f t="shared" si="78"/>
        <v>270633135.73588622</v>
      </c>
      <c r="IN54" s="60">
        <f t="shared" si="78"/>
        <v>281631228.33288622</v>
      </c>
      <c r="IO54" s="60">
        <f t="shared" si="78"/>
        <v>288427029.504628</v>
      </c>
      <c r="IP54" s="60">
        <f t="shared" si="78"/>
        <v>298600153.33886963</v>
      </c>
      <c r="IQ54" s="60">
        <f t="shared" si="78"/>
        <v>309635184.79086965</v>
      </c>
      <c r="IR54" s="60">
        <f t="shared" si="78"/>
        <v>329793748.27486968</v>
      </c>
      <c r="IS54" s="60">
        <f t="shared" si="78"/>
        <v>343615933.30986965</v>
      </c>
      <c r="IT54" s="60">
        <f t="shared" si="78"/>
        <v>359631353.58986968</v>
      </c>
      <c r="IU54" s="60">
        <f t="shared" si="78"/>
        <v>384733100.09786963</v>
      </c>
      <c r="IV54" s="60">
        <f t="shared" si="78"/>
        <v>415023327.15386963</v>
      </c>
      <c r="IW54" s="875"/>
      <c r="IX54" s="60">
        <f t="shared" si="78"/>
        <v>459764363.54516959</v>
      </c>
      <c r="IY54" s="60">
        <f t="shared" si="78"/>
        <v>460011897.73696959</v>
      </c>
      <c r="IZ54" s="60">
        <f t="shared" si="78"/>
        <v>513939977.47776955</v>
      </c>
      <c r="JA54" s="60">
        <f t="shared" si="78"/>
        <v>504269517.24330479</v>
      </c>
      <c r="JB54" s="60">
        <f t="shared" si="78"/>
        <v>503796358.5041557</v>
      </c>
      <c r="JC54" s="60">
        <f t="shared" si="78"/>
        <v>516842790.75305569</v>
      </c>
      <c r="JD54" s="60">
        <f t="shared" si="78"/>
        <v>517155015.13695568</v>
      </c>
      <c r="JE54" s="60">
        <f t="shared" si="78"/>
        <v>434381631.65995568</v>
      </c>
      <c r="JF54" s="60">
        <f t="shared" si="78"/>
        <v>442809892.48615569</v>
      </c>
      <c r="JG54" s="60">
        <f t="shared" si="78"/>
        <v>442750385.84695566</v>
      </c>
      <c r="JH54" s="60">
        <f t="shared" si="78"/>
        <v>394044796.40237188</v>
      </c>
      <c r="JI54" s="60">
        <f t="shared" si="78"/>
        <v>666694489.57687283</v>
      </c>
      <c r="JJ54" s="60">
        <f t="shared" si="78"/>
        <v>679814778.21587276</v>
      </c>
      <c r="JK54" s="60"/>
    </row>
    <row r="55" spans="1:271" ht="14.1" customHeight="1">
      <c r="A55" s="7" t="s">
        <v>16</v>
      </c>
      <c r="B55" s="14"/>
      <c r="C55" s="189">
        <v>35000000</v>
      </c>
      <c r="D55" s="7">
        <f t="shared" ref="D55:I55" si="79">-D20+D51</f>
        <v>0</v>
      </c>
      <c r="E55" s="7">
        <f t="shared" si="79"/>
        <v>700000</v>
      </c>
      <c r="F55" s="7">
        <f t="shared" si="79"/>
        <v>59400000</v>
      </c>
      <c r="G55" s="7">
        <f t="shared" si="79"/>
        <v>-33800000</v>
      </c>
      <c r="H55" s="7">
        <f t="shared" si="79"/>
        <v>-19500000</v>
      </c>
      <c r="I55" s="7">
        <f t="shared" si="79"/>
        <v>16900000</v>
      </c>
      <c r="J55" s="7">
        <f t="shared" ref="J55:BP55" si="80">-J20+J51</f>
        <v>0</v>
      </c>
      <c r="K55" s="7">
        <f t="shared" si="80"/>
        <v>47300000</v>
      </c>
      <c r="L55" s="7">
        <f t="shared" si="80"/>
        <v>-71000000</v>
      </c>
      <c r="M55" s="7">
        <f t="shared" si="80"/>
        <v>-450000</v>
      </c>
      <c r="N55" s="229">
        <f t="shared" si="80"/>
        <v>-43000000</v>
      </c>
      <c r="O55" s="7">
        <f t="shared" si="80"/>
        <v>-8100000</v>
      </c>
      <c r="P55" s="7">
        <f t="shared" si="80"/>
        <v>1200000</v>
      </c>
      <c r="Q55" s="7">
        <f t="shared" si="80"/>
        <v>600000</v>
      </c>
      <c r="R55" s="7">
        <f t="shared" si="80"/>
        <v>-7100000</v>
      </c>
      <c r="S55" s="7">
        <f t="shared" si="80"/>
        <v>-5400000</v>
      </c>
      <c r="T55" s="7">
        <f t="shared" si="80"/>
        <v>-2000000</v>
      </c>
      <c r="U55" s="7">
        <f t="shared" si="80"/>
        <v>6500000</v>
      </c>
      <c r="V55" s="7">
        <f t="shared" si="80"/>
        <v>-750000</v>
      </c>
      <c r="W55" s="7">
        <f t="shared" si="80"/>
        <v>800000</v>
      </c>
      <c r="X55" s="7">
        <f t="shared" si="80"/>
        <v>6950000</v>
      </c>
      <c r="Y55" s="7">
        <f t="shared" si="80"/>
        <v>550000</v>
      </c>
      <c r="Z55" s="7">
        <f t="shared" si="80"/>
        <v>-15350000</v>
      </c>
      <c r="AA55" s="7">
        <f t="shared" si="80"/>
        <v>0</v>
      </c>
      <c r="AB55" s="7">
        <f t="shared" si="80"/>
        <v>11600000</v>
      </c>
      <c r="AC55" s="7">
        <f t="shared" si="80"/>
        <v>-4000000</v>
      </c>
      <c r="AD55" s="7">
        <f t="shared" si="80"/>
        <v>500000</v>
      </c>
      <c r="AE55" s="7">
        <f t="shared" si="80"/>
        <v>300000</v>
      </c>
      <c r="AF55" s="7">
        <f t="shared" si="80"/>
        <v>-5350000</v>
      </c>
      <c r="AG55" s="354">
        <f t="shared" si="80"/>
        <v>12650000</v>
      </c>
      <c r="AH55" s="7">
        <f t="shared" si="80"/>
        <v>-7350000</v>
      </c>
      <c r="AI55" s="7">
        <f t="shared" si="80"/>
        <v>-1750000</v>
      </c>
      <c r="AJ55" s="7">
        <f t="shared" si="80"/>
        <v>-5350000</v>
      </c>
      <c r="AK55" s="7">
        <f t="shared" si="80"/>
        <v>3500000</v>
      </c>
      <c r="AL55" s="7">
        <f t="shared" si="80"/>
        <v>0</v>
      </c>
      <c r="AM55" s="7">
        <f t="shared" si="80"/>
        <v>-150000</v>
      </c>
      <c r="AN55" s="7">
        <f t="shared" si="80"/>
        <v>13450000</v>
      </c>
      <c r="AO55" s="582">
        <f t="shared" si="80"/>
        <v>6600000</v>
      </c>
      <c r="AP55" s="7">
        <f t="shared" si="80"/>
        <v>-5450000</v>
      </c>
      <c r="AQ55" s="7">
        <f t="shared" si="80"/>
        <v>-300000</v>
      </c>
      <c r="AR55" s="7">
        <f t="shared" si="80"/>
        <v>-250000</v>
      </c>
      <c r="AS55" s="7">
        <f t="shared" si="80"/>
        <v>400000</v>
      </c>
      <c r="AT55" s="7">
        <f t="shared" si="80"/>
        <v>-1400000</v>
      </c>
      <c r="AU55" s="7">
        <f t="shared" si="80"/>
        <v>-9500000</v>
      </c>
      <c r="AV55" s="7">
        <f t="shared" si="80"/>
        <v>-1050000</v>
      </c>
      <c r="AW55" s="7">
        <f t="shared" si="80"/>
        <v>4500000</v>
      </c>
      <c r="AX55" s="7">
        <f t="shared" si="80"/>
        <v>8500000</v>
      </c>
      <c r="AY55" s="7">
        <f t="shared" si="80"/>
        <v>10450000</v>
      </c>
      <c r="AZ55" s="7">
        <f t="shared" si="80"/>
        <v>-3300000</v>
      </c>
      <c r="BA55" s="7">
        <f t="shared" si="80"/>
        <v>4800000</v>
      </c>
      <c r="BB55" s="7">
        <f t="shared" si="80"/>
        <v>-1350000</v>
      </c>
      <c r="BC55" s="7">
        <f t="shared" si="80"/>
        <v>0</v>
      </c>
      <c r="BD55" s="354">
        <f t="shared" si="80"/>
        <v>-4950000</v>
      </c>
      <c r="BE55" s="7">
        <f t="shared" si="80"/>
        <v>-16250000</v>
      </c>
      <c r="BF55" s="7">
        <f t="shared" si="80"/>
        <v>7800000</v>
      </c>
      <c r="BG55" s="7">
        <f t="shared" si="80"/>
        <v>-6800000</v>
      </c>
      <c r="BH55" s="7">
        <f t="shared" si="80"/>
        <v>-10000000</v>
      </c>
      <c r="BI55" s="7">
        <f t="shared" si="80"/>
        <v>0</v>
      </c>
      <c r="BJ55" s="7">
        <f t="shared" si="80"/>
        <v>0</v>
      </c>
      <c r="BK55" s="7">
        <f t="shared" si="80"/>
        <v>0</v>
      </c>
      <c r="BL55" s="7">
        <f t="shared" si="80"/>
        <v>-500000</v>
      </c>
      <c r="BM55" s="7">
        <f t="shared" si="80"/>
        <v>0</v>
      </c>
      <c r="BN55" s="7">
        <f t="shared" si="80"/>
        <v>0</v>
      </c>
      <c r="BO55" s="7">
        <f t="shared" si="80"/>
        <v>0</v>
      </c>
      <c r="BP55" s="7">
        <f t="shared" si="80"/>
        <v>0</v>
      </c>
      <c r="BQ55" s="7">
        <f t="shared" ref="BQ55:EB55" si="81">-BQ20+BQ51</f>
        <v>0</v>
      </c>
      <c r="BR55" s="7">
        <f t="shared" si="81"/>
        <v>4000000</v>
      </c>
      <c r="BS55" s="7">
        <f t="shared" si="81"/>
        <v>-4000000</v>
      </c>
      <c r="BT55" s="7">
        <f t="shared" si="81"/>
        <v>0</v>
      </c>
      <c r="BU55" s="7">
        <f t="shared" si="81"/>
        <v>0</v>
      </c>
      <c r="BV55" s="7">
        <f t="shared" si="81"/>
        <v>0</v>
      </c>
      <c r="BW55" s="7">
        <f t="shared" si="81"/>
        <v>0</v>
      </c>
      <c r="BX55" s="354">
        <f t="shared" si="81"/>
        <v>0</v>
      </c>
      <c r="BY55" s="7">
        <f t="shared" si="81"/>
        <v>0</v>
      </c>
      <c r="BZ55" s="7">
        <f t="shared" si="81"/>
        <v>0</v>
      </c>
      <c r="CA55" s="7">
        <f t="shared" si="81"/>
        <v>0</v>
      </c>
      <c r="CB55" s="7">
        <f t="shared" si="81"/>
        <v>0</v>
      </c>
      <c r="CC55" s="7">
        <f t="shared" si="81"/>
        <v>0</v>
      </c>
      <c r="CD55" s="7">
        <f t="shared" si="81"/>
        <v>0</v>
      </c>
      <c r="CE55" s="7">
        <f t="shared" si="81"/>
        <v>0</v>
      </c>
      <c r="CF55" s="7">
        <f t="shared" si="81"/>
        <v>0</v>
      </c>
      <c r="CG55" s="7">
        <f t="shared" si="81"/>
        <v>0</v>
      </c>
      <c r="CH55" s="7">
        <f t="shared" si="81"/>
        <v>0</v>
      </c>
      <c r="CI55" s="7">
        <f t="shared" si="81"/>
        <v>0</v>
      </c>
      <c r="CJ55" s="7">
        <f t="shared" si="81"/>
        <v>0</v>
      </c>
      <c r="CK55" s="7">
        <f t="shared" si="81"/>
        <v>0</v>
      </c>
      <c r="CL55" s="7">
        <f t="shared" si="81"/>
        <v>0</v>
      </c>
      <c r="CM55" s="7">
        <f t="shared" si="81"/>
        <v>0</v>
      </c>
      <c r="CN55" s="7">
        <f t="shared" si="81"/>
        <v>0</v>
      </c>
      <c r="CO55" s="7">
        <f t="shared" si="81"/>
        <v>0</v>
      </c>
      <c r="CP55" s="7">
        <f t="shared" si="81"/>
        <v>4000000</v>
      </c>
      <c r="CQ55" s="7">
        <f t="shared" si="81"/>
        <v>0</v>
      </c>
      <c r="CR55" s="7">
        <f t="shared" si="81"/>
        <v>0</v>
      </c>
      <c r="CS55" s="7">
        <f t="shared" si="81"/>
        <v>0</v>
      </c>
      <c r="CT55" s="354">
        <f t="shared" si="81"/>
        <v>0</v>
      </c>
      <c r="CU55" s="7">
        <f t="shared" si="81"/>
        <v>0</v>
      </c>
      <c r="CV55" s="7">
        <f t="shared" si="81"/>
        <v>0</v>
      </c>
      <c r="CW55" s="7">
        <f t="shared" si="81"/>
        <v>0</v>
      </c>
      <c r="CX55" s="7">
        <f t="shared" si="81"/>
        <v>0</v>
      </c>
      <c r="CY55" s="7">
        <f t="shared" si="81"/>
        <v>0</v>
      </c>
      <c r="CZ55" s="7">
        <f t="shared" si="81"/>
        <v>0</v>
      </c>
      <c r="DA55" s="7">
        <f t="shared" si="81"/>
        <v>0</v>
      </c>
      <c r="DB55" s="7">
        <f t="shared" si="81"/>
        <v>0</v>
      </c>
      <c r="DC55" s="7">
        <f t="shared" si="81"/>
        <v>0</v>
      </c>
      <c r="DD55" s="7">
        <f t="shared" si="81"/>
        <v>0</v>
      </c>
      <c r="DE55" s="7">
        <f t="shared" si="81"/>
        <v>0</v>
      </c>
      <c r="DF55" s="7">
        <f t="shared" si="81"/>
        <v>0</v>
      </c>
      <c r="DG55" s="7">
        <f t="shared" si="81"/>
        <v>0</v>
      </c>
      <c r="DH55" s="7">
        <f t="shared" si="81"/>
        <v>0</v>
      </c>
      <c r="DI55" s="7">
        <f t="shared" si="81"/>
        <v>0</v>
      </c>
      <c r="DJ55" s="7">
        <f t="shared" si="81"/>
        <v>0</v>
      </c>
      <c r="DK55" s="7">
        <f t="shared" si="81"/>
        <v>0</v>
      </c>
      <c r="DL55" s="7">
        <f t="shared" si="81"/>
        <v>0</v>
      </c>
      <c r="DM55" s="7">
        <f t="shared" si="81"/>
        <v>0</v>
      </c>
      <c r="DN55" s="7">
        <f t="shared" si="81"/>
        <v>0</v>
      </c>
      <c r="DO55" s="354">
        <f t="shared" si="81"/>
        <v>0</v>
      </c>
      <c r="DP55" s="7">
        <f t="shared" si="81"/>
        <v>0</v>
      </c>
      <c r="DQ55" s="7">
        <f t="shared" si="81"/>
        <v>0</v>
      </c>
      <c r="DR55" s="7">
        <f t="shared" si="81"/>
        <v>0</v>
      </c>
      <c r="DS55" s="7">
        <f t="shared" si="81"/>
        <v>0</v>
      </c>
      <c r="DT55" s="7">
        <f t="shared" si="81"/>
        <v>0</v>
      </c>
      <c r="DU55" s="7">
        <f t="shared" si="81"/>
        <v>0</v>
      </c>
      <c r="DV55" s="7">
        <f t="shared" si="81"/>
        <v>0</v>
      </c>
      <c r="DW55" s="7">
        <f t="shared" si="81"/>
        <v>0</v>
      </c>
      <c r="DX55" s="7">
        <f t="shared" si="81"/>
        <v>0</v>
      </c>
      <c r="DY55" s="7">
        <f t="shared" si="81"/>
        <v>0</v>
      </c>
      <c r="DZ55" s="7">
        <f t="shared" si="81"/>
        <v>0</v>
      </c>
      <c r="EA55" s="7">
        <f t="shared" si="81"/>
        <v>0</v>
      </c>
      <c r="EB55" s="7">
        <f t="shared" si="81"/>
        <v>0</v>
      </c>
      <c r="EC55" s="7">
        <f t="shared" ref="EC55:GN55" si="82">-EC20+EC51</f>
        <v>0</v>
      </c>
      <c r="ED55" s="7">
        <f t="shared" si="82"/>
        <v>0</v>
      </c>
      <c r="EE55" s="7">
        <f t="shared" si="82"/>
        <v>0</v>
      </c>
      <c r="EF55" s="7">
        <f t="shared" si="82"/>
        <v>0</v>
      </c>
      <c r="EG55" s="7">
        <f t="shared" si="82"/>
        <v>0</v>
      </c>
      <c r="EH55" s="7">
        <f t="shared" si="82"/>
        <v>0</v>
      </c>
      <c r="EI55" s="7">
        <f t="shared" si="82"/>
        <v>0</v>
      </c>
      <c r="EJ55" s="229">
        <f t="shared" si="82"/>
        <v>0</v>
      </c>
      <c r="EK55" s="7">
        <f t="shared" si="82"/>
        <v>0</v>
      </c>
      <c r="EL55" s="7">
        <f t="shared" si="82"/>
        <v>0</v>
      </c>
      <c r="EM55" s="7">
        <f t="shared" si="82"/>
        <v>0</v>
      </c>
      <c r="EN55" s="7">
        <f t="shared" si="82"/>
        <v>0</v>
      </c>
      <c r="EO55" s="7">
        <f t="shared" si="82"/>
        <v>0</v>
      </c>
      <c r="EP55" s="7">
        <f t="shared" si="82"/>
        <v>0</v>
      </c>
      <c r="EQ55" s="7">
        <f t="shared" si="82"/>
        <v>0</v>
      </c>
      <c r="ER55" s="7">
        <f t="shared" si="82"/>
        <v>0</v>
      </c>
      <c r="ES55" s="7">
        <f t="shared" si="82"/>
        <v>0</v>
      </c>
      <c r="ET55" s="7">
        <f t="shared" si="82"/>
        <v>0</v>
      </c>
      <c r="EU55" s="7">
        <f t="shared" si="82"/>
        <v>0</v>
      </c>
      <c r="EV55" s="7">
        <f t="shared" si="82"/>
        <v>0</v>
      </c>
      <c r="EW55" s="7">
        <f t="shared" si="82"/>
        <v>0</v>
      </c>
      <c r="EX55" s="7">
        <f t="shared" si="82"/>
        <v>0</v>
      </c>
      <c r="EY55" s="7">
        <f t="shared" si="82"/>
        <v>0</v>
      </c>
      <c r="EZ55" s="7">
        <f t="shared" si="82"/>
        <v>0</v>
      </c>
      <c r="FA55" s="7">
        <f t="shared" si="82"/>
        <v>0</v>
      </c>
      <c r="FB55" s="7">
        <f t="shared" si="82"/>
        <v>0</v>
      </c>
      <c r="FC55" s="7">
        <f t="shared" si="82"/>
        <v>0</v>
      </c>
      <c r="FD55" s="7">
        <f t="shared" si="82"/>
        <v>0</v>
      </c>
      <c r="FE55" s="7">
        <f t="shared" si="82"/>
        <v>0</v>
      </c>
      <c r="FF55" s="354">
        <f t="shared" si="82"/>
        <v>0</v>
      </c>
      <c r="FG55" s="7">
        <f t="shared" si="82"/>
        <v>0</v>
      </c>
      <c r="FH55" s="7">
        <f t="shared" si="82"/>
        <v>0</v>
      </c>
      <c r="FI55" s="7">
        <f t="shared" si="82"/>
        <v>0</v>
      </c>
      <c r="FJ55" s="7">
        <f t="shared" si="82"/>
        <v>0</v>
      </c>
      <c r="FK55" s="7">
        <f t="shared" si="82"/>
        <v>0</v>
      </c>
      <c r="FL55" s="7">
        <f t="shared" si="82"/>
        <v>0</v>
      </c>
      <c r="FM55" s="7">
        <f t="shared" si="82"/>
        <v>0</v>
      </c>
      <c r="FN55" s="7">
        <f t="shared" si="82"/>
        <v>0</v>
      </c>
      <c r="FO55" s="7">
        <f t="shared" si="82"/>
        <v>0</v>
      </c>
      <c r="FP55" s="7">
        <f t="shared" si="82"/>
        <v>0</v>
      </c>
      <c r="FQ55" s="7">
        <f t="shared" si="82"/>
        <v>0</v>
      </c>
      <c r="FR55" s="7">
        <f t="shared" si="82"/>
        <v>0</v>
      </c>
      <c r="FS55" s="7">
        <f t="shared" si="82"/>
        <v>0</v>
      </c>
      <c r="FT55" s="7">
        <f t="shared" si="82"/>
        <v>0</v>
      </c>
      <c r="FU55" s="7">
        <f t="shared" si="82"/>
        <v>0</v>
      </c>
      <c r="FV55" s="7">
        <f t="shared" si="82"/>
        <v>0</v>
      </c>
      <c r="FW55" s="7">
        <f t="shared" si="82"/>
        <v>0</v>
      </c>
      <c r="FX55" s="7">
        <f t="shared" si="82"/>
        <v>0</v>
      </c>
      <c r="FY55" s="7">
        <f t="shared" si="82"/>
        <v>0</v>
      </c>
      <c r="FZ55" s="354">
        <f t="shared" si="82"/>
        <v>0</v>
      </c>
      <c r="GA55" s="7">
        <f t="shared" si="82"/>
        <v>0</v>
      </c>
      <c r="GB55" s="7">
        <f t="shared" si="82"/>
        <v>0</v>
      </c>
      <c r="GC55" s="7">
        <f t="shared" si="82"/>
        <v>0</v>
      </c>
      <c r="GD55" s="7">
        <f t="shared" si="82"/>
        <v>0</v>
      </c>
      <c r="GE55" s="7">
        <f t="shared" si="82"/>
        <v>0</v>
      </c>
      <c r="GF55" s="7">
        <f t="shared" si="82"/>
        <v>0</v>
      </c>
      <c r="GG55" s="7">
        <f t="shared" si="82"/>
        <v>0</v>
      </c>
      <c r="GH55" s="7">
        <f t="shared" si="82"/>
        <v>0</v>
      </c>
      <c r="GI55" s="7">
        <f t="shared" si="82"/>
        <v>0</v>
      </c>
      <c r="GJ55" s="7">
        <f t="shared" si="82"/>
        <v>0</v>
      </c>
      <c r="GK55" s="7">
        <f t="shared" si="82"/>
        <v>0</v>
      </c>
      <c r="GL55" s="7">
        <f t="shared" si="82"/>
        <v>0</v>
      </c>
      <c r="GM55" s="7">
        <f t="shared" si="82"/>
        <v>0</v>
      </c>
      <c r="GN55" s="7">
        <f t="shared" si="82"/>
        <v>0</v>
      </c>
      <c r="GO55" s="7">
        <f t="shared" ref="GO55:JC55" si="83">-GO20+GO51</f>
        <v>0</v>
      </c>
      <c r="GP55" s="7">
        <f t="shared" si="83"/>
        <v>0</v>
      </c>
      <c r="GQ55" s="7">
        <f t="shared" si="83"/>
        <v>0</v>
      </c>
      <c r="GR55" s="7">
        <f t="shared" si="83"/>
        <v>0</v>
      </c>
      <c r="GS55" s="7">
        <f t="shared" si="83"/>
        <v>0</v>
      </c>
      <c r="GT55" s="7">
        <f t="shared" si="83"/>
        <v>0</v>
      </c>
      <c r="GU55" s="354">
        <f t="shared" si="83"/>
        <v>0</v>
      </c>
      <c r="GV55" s="7">
        <f t="shared" si="83"/>
        <v>0</v>
      </c>
      <c r="GW55" s="7">
        <f t="shared" si="83"/>
        <v>0</v>
      </c>
      <c r="GX55" s="7">
        <f t="shared" si="83"/>
        <v>0</v>
      </c>
      <c r="GY55" s="7">
        <f t="shared" si="83"/>
        <v>0</v>
      </c>
      <c r="GZ55" s="7">
        <f t="shared" si="83"/>
        <v>0</v>
      </c>
      <c r="HA55" s="7">
        <f t="shared" si="83"/>
        <v>0</v>
      </c>
      <c r="HB55" s="7">
        <f t="shared" si="83"/>
        <v>0</v>
      </c>
      <c r="HC55" s="7">
        <f t="shared" si="83"/>
        <v>0</v>
      </c>
      <c r="HD55" s="7">
        <f>-HD20+HD51</f>
        <v>0</v>
      </c>
      <c r="HE55" s="7">
        <f t="shared" si="83"/>
        <v>0</v>
      </c>
      <c r="HF55" s="7">
        <f t="shared" si="83"/>
        <v>0</v>
      </c>
      <c r="HG55" s="7">
        <f t="shared" si="83"/>
        <v>0</v>
      </c>
      <c r="HH55" s="7">
        <f t="shared" si="83"/>
        <v>0</v>
      </c>
      <c r="HI55" s="7">
        <f t="shared" si="83"/>
        <v>0</v>
      </c>
      <c r="HJ55" s="7">
        <f t="shared" si="83"/>
        <v>0</v>
      </c>
      <c r="HK55" s="7">
        <f t="shared" si="83"/>
        <v>0</v>
      </c>
      <c r="HL55" s="7">
        <f t="shared" si="83"/>
        <v>0</v>
      </c>
      <c r="HM55" s="7">
        <f t="shared" si="83"/>
        <v>0</v>
      </c>
      <c r="HN55" s="7">
        <f t="shared" si="83"/>
        <v>0</v>
      </c>
      <c r="HO55" s="7">
        <f t="shared" si="83"/>
        <v>0</v>
      </c>
      <c r="HP55" s="354">
        <f t="shared" si="83"/>
        <v>0</v>
      </c>
      <c r="HQ55" s="7">
        <f t="shared" si="83"/>
        <v>0</v>
      </c>
      <c r="HR55" s="7">
        <f t="shared" si="83"/>
        <v>0</v>
      </c>
      <c r="HS55" s="7">
        <f t="shared" si="83"/>
        <v>0</v>
      </c>
      <c r="HT55" s="7">
        <f t="shared" si="83"/>
        <v>0</v>
      </c>
      <c r="HU55" s="7">
        <f t="shared" si="83"/>
        <v>0</v>
      </c>
      <c r="HV55" s="7">
        <f t="shared" si="83"/>
        <v>0</v>
      </c>
      <c r="HW55" s="7"/>
      <c r="HX55" s="7">
        <f t="shared" si="83"/>
        <v>0</v>
      </c>
      <c r="HY55" s="7">
        <f t="shared" si="83"/>
        <v>0</v>
      </c>
      <c r="HZ55" s="7">
        <f t="shared" si="83"/>
        <v>0</v>
      </c>
      <c r="IA55" s="7">
        <f t="shared" si="83"/>
        <v>0</v>
      </c>
      <c r="IB55" s="7">
        <f t="shared" si="83"/>
        <v>0</v>
      </c>
      <c r="IC55" s="7">
        <f t="shared" si="83"/>
        <v>0</v>
      </c>
      <c r="ID55" s="7">
        <f t="shared" si="83"/>
        <v>0</v>
      </c>
      <c r="IE55" s="7">
        <f t="shared" si="83"/>
        <v>0</v>
      </c>
      <c r="IF55" s="7">
        <f t="shared" si="83"/>
        <v>0</v>
      </c>
      <c r="IG55" s="7">
        <f t="shared" si="83"/>
        <v>0</v>
      </c>
      <c r="IH55" s="7">
        <f t="shared" si="83"/>
        <v>0</v>
      </c>
      <c r="II55" s="7">
        <f t="shared" si="83"/>
        <v>0</v>
      </c>
      <c r="IJ55" s="7">
        <f t="shared" si="83"/>
        <v>0</v>
      </c>
      <c r="IK55" s="7">
        <f t="shared" si="83"/>
        <v>0</v>
      </c>
      <c r="IL55" s="354">
        <f t="shared" si="83"/>
        <v>0</v>
      </c>
      <c r="IM55" s="7">
        <f t="shared" si="83"/>
        <v>0</v>
      </c>
      <c r="IN55" s="7">
        <f t="shared" si="83"/>
        <v>0</v>
      </c>
      <c r="IO55" s="7">
        <f t="shared" si="83"/>
        <v>0</v>
      </c>
      <c r="IP55" s="7">
        <f t="shared" si="83"/>
        <v>0</v>
      </c>
      <c r="IQ55" s="7">
        <f t="shared" si="83"/>
        <v>0</v>
      </c>
      <c r="IR55" s="7">
        <f t="shared" si="83"/>
        <v>0</v>
      </c>
      <c r="IS55" s="7">
        <f t="shared" si="83"/>
        <v>0</v>
      </c>
      <c r="IT55" s="7">
        <f t="shared" si="83"/>
        <v>0</v>
      </c>
      <c r="IU55" s="7">
        <f t="shared" si="83"/>
        <v>0</v>
      </c>
      <c r="IV55" s="7">
        <f t="shared" si="83"/>
        <v>0</v>
      </c>
      <c r="IW55" s="876"/>
      <c r="IX55" s="7">
        <f t="shared" si="83"/>
        <v>0</v>
      </c>
      <c r="IY55" s="7">
        <f t="shared" si="83"/>
        <v>0</v>
      </c>
      <c r="IZ55" s="7">
        <f t="shared" si="83"/>
        <v>0</v>
      </c>
      <c r="JA55" s="7">
        <f t="shared" si="83"/>
        <v>0</v>
      </c>
      <c r="JB55" s="7">
        <f t="shared" si="83"/>
        <v>0</v>
      </c>
      <c r="JC55" s="7">
        <f t="shared" si="83"/>
        <v>0</v>
      </c>
      <c r="JD55" s="7">
        <f t="shared" ref="JD55:JH55" si="84">-JD20+JD51</f>
        <v>0</v>
      </c>
      <c r="JE55" s="7">
        <f t="shared" si="84"/>
        <v>0</v>
      </c>
      <c r="JF55" s="7">
        <f t="shared" si="84"/>
        <v>0</v>
      </c>
      <c r="JG55" s="7">
        <f t="shared" si="84"/>
        <v>0</v>
      </c>
      <c r="JH55" s="7">
        <f t="shared" si="84"/>
        <v>0</v>
      </c>
      <c r="JI55" s="754">
        <f>+JI27-JI49-JI54</f>
        <v>0</v>
      </c>
      <c r="JJ55" s="7">
        <f>-JJ20+JJ51</f>
        <v>0</v>
      </c>
      <c r="JK55" s="7">
        <f>-JK20+JK51</f>
        <v>0</v>
      </c>
    </row>
    <row r="56" spans="1:271" ht="14.1" customHeight="1">
      <c r="A56" s="21"/>
      <c r="B56" s="14"/>
      <c r="C56" s="213"/>
      <c r="N56" s="213"/>
      <c r="T56" s="124"/>
      <c r="AG56" s="213"/>
      <c r="BD56" s="213"/>
      <c r="BX56" s="213"/>
      <c r="CT56" s="213"/>
      <c r="CZ56" s="8"/>
      <c r="DO56" s="213"/>
      <c r="DR56" s="8"/>
      <c r="EB56" s="8"/>
      <c r="EJ56" s="213"/>
      <c r="EK56" s="140"/>
      <c r="EQ56" s="8"/>
      <c r="FD56" s="8"/>
      <c r="FF56" s="213"/>
      <c r="FJ56" s="140"/>
      <c r="FZ56" s="213"/>
      <c r="GU56" s="213"/>
      <c r="HP56" s="213"/>
      <c r="IL56" s="213"/>
      <c r="JH56" s="804"/>
      <c r="JI56" s="805"/>
      <c r="JJ56" s="8"/>
    </row>
    <row r="57" spans="1:271" ht="14.1" customHeight="1">
      <c r="A57" s="22" t="s">
        <v>23</v>
      </c>
      <c r="B57" s="22" t="s">
        <v>42</v>
      </c>
      <c r="C57" s="213"/>
      <c r="N57" s="213"/>
      <c r="AG57" s="213"/>
      <c r="BD57" s="213"/>
      <c r="BX57" s="213"/>
      <c r="CT57" s="213"/>
      <c r="CZ57" s="8"/>
      <c r="DO57" s="213"/>
      <c r="DR57" s="8"/>
      <c r="EB57" s="8"/>
      <c r="EJ57" s="213"/>
      <c r="EK57" s="140"/>
      <c r="EQ57" s="8"/>
      <c r="FD57" s="8"/>
      <c r="FF57" s="213"/>
      <c r="FJ57" s="140"/>
      <c r="FZ57" s="213"/>
      <c r="GU57" s="213"/>
      <c r="HP57" s="213"/>
      <c r="IL57" s="213"/>
      <c r="JH57" s="806"/>
      <c r="JI57" s="807"/>
      <c r="JJ57" s="8"/>
    </row>
    <row r="58" spans="1:271" ht="14.1" customHeight="1">
      <c r="A58" s="14" t="s">
        <v>17</v>
      </c>
      <c r="B58" s="14"/>
      <c r="C58" s="794">
        <v>65554743</v>
      </c>
      <c r="D58" s="14">
        <f t="shared" ref="D58:I58" si="85">C58+D55</f>
        <v>65554743</v>
      </c>
      <c r="E58" s="14">
        <f t="shared" si="85"/>
        <v>66254743</v>
      </c>
      <c r="F58" s="14">
        <f t="shared" si="85"/>
        <v>125654743</v>
      </c>
      <c r="G58" s="14">
        <f t="shared" si="85"/>
        <v>91854743</v>
      </c>
      <c r="H58" s="14">
        <f t="shared" si="85"/>
        <v>72354743</v>
      </c>
      <c r="I58" s="14">
        <f t="shared" si="85"/>
        <v>89254743</v>
      </c>
      <c r="J58" s="14">
        <f t="shared" ref="J58:V58" si="86">I58+J55</f>
        <v>89254743</v>
      </c>
      <c r="K58" s="14">
        <f t="shared" si="86"/>
        <v>136554743</v>
      </c>
      <c r="L58" s="14">
        <f t="shared" si="86"/>
        <v>65554743</v>
      </c>
      <c r="M58" s="14">
        <f t="shared" si="86"/>
        <v>65104743</v>
      </c>
      <c r="N58" s="230">
        <f t="shared" si="86"/>
        <v>22104743</v>
      </c>
      <c r="O58" s="14">
        <f t="shared" si="86"/>
        <v>14004743</v>
      </c>
      <c r="P58" s="14">
        <f t="shared" si="86"/>
        <v>15204743</v>
      </c>
      <c r="Q58" s="14">
        <f t="shared" si="86"/>
        <v>15804743</v>
      </c>
      <c r="R58" s="14">
        <f t="shared" si="86"/>
        <v>8704743</v>
      </c>
      <c r="S58" s="14">
        <f t="shared" si="86"/>
        <v>3304743</v>
      </c>
      <c r="T58" s="14">
        <f t="shared" si="86"/>
        <v>1304743</v>
      </c>
      <c r="U58" s="14">
        <f t="shared" si="86"/>
        <v>7804743</v>
      </c>
      <c r="V58" s="39">
        <f t="shared" si="86"/>
        <v>7054743</v>
      </c>
      <c r="W58" s="14">
        <f t="shared" ref="W58" si="87">V58+W55</f>
        <v>7854743</v>
      </c>
      <c r="X58" s="14">
        <f t="shared" ref="X58" si="88">W58+X55</f>
        <v>14804743</v>
      </c>
      <c r="Y58" s="14">
        <f t="shared" ref="Y58" si="89">X58+Y55</f>
        <v>15354743</v>
      </c>
      <c r="Z58" s="14">
        <f t="shared" ref="Z58" si="90">Y58+Z55</f>
        <v>4743</v>
      </c>
      <c r="AA58" s="14">
        <f t="shared" ref="AA58" si="91">Z58+AA55</f>
        <v>4743</v>
      </c>
      <c r="AB58" s="14">
        <f t="shared" ref="AB58" si="92">AA58+AB55</f>
        <v>11604743</v>
      </c>
      <c r="AC58" s="14">
        <f t="shared" ref="AC58" si="93">AB58+AC55</f>
        <v>7604743</v>
      </c>
      <c r="AD58" s="14">
        <f t="shared" ref="AD58" si="94">AC58+AD55</f>
        <v>8104743</v>
      </c>
      <c r="AE58" s="14">
        <f t="shared" ref="AE58" si="95">AD58+AE55</f>
        <v>8404743</v>
      </c>
      <c r="AF58" s="14">
        <f t="shared" ref="AF58" si="96">AE58+AF55</f>
        <v>3054743</v>
      </c>
      <c r="AG58" s="230">
        <f t="shared" ref="AG58" si="97">AF58+AG55</f>
        <v>15704743</v>
      </c>
      <c r="AH58" s="14">
        <f t="shared" ref="AH58" si="98">AG58+AH55</f>
        <v>8354743</v>
      </c>
      <c r="AI58" s="14">
        <f t="shared" ref="AI58" si="99">AH58+AI55</f>
        <v>6604743</v>
      </c>
      <c r="AJ58" s="14">
        <f t="shared" ref="AJ58" si="100">AI58+AJ55</f>
        <v>1254743</v>
      </c>
      <c r="AK58" s="14">
        <f t="shared" ref="AK58" si="101">AJ58+AK55</f>
        <v>4754743</v>
      </c>
      <c r="AL58" s="14">
        <f t="shared" ref="AL58" si="102">AK58+AL55</f>
        <v>4754743</v>
      </c>
      <c r="AM58" s="14">
        <f t="shared" ref="AM58" si="103">AL58+AM55</f>
        <v>4604743</v>
      </c>
      <c r="AN58" s="14">
        <f t="shared" ref="AN58" si="104">AM58+AN55</f>
        <v>18054743</v>
      </c>
      <c r="AO58" s="582">
        <f t="shared" ref="AO58" si="105">AN58+AO55</f>
        <v>24654743</v>
      </c>
      <c r="AP58" s="14">
        <f t="shared" ref="AP58" si="106">AO58+AP55</f>
        <v>19204743</v>
      </c>
      <c r="AQ58" s="14">
        <f t="shared" ref="AQ58" si="107">AP58+AQ55</f>
        <v>18904743</v>
      </c>
      <c r="AR58" s="14">
        <f t="shared" ref="AR58" si="108">AQ58+AR55</f>
        <v>18654743</v>
      </c>
      <c r="AS58" s="421">
        <f t="shared" ref="AS58" si="109">AR58+AS55</f>
        <v>19054743</v>
      </c>
      <c r="AT58" s="14">
        <f t="shared" ref="AT58" si="110">AS58+AT55</f>
        <v>17654743</v>
      </c>
      <c r="AU58" s="14">
        <v>8163801.1200000001</v>
      </c>
      <c r="AV58" s="14">
        <f t="shared" ref="AV58" si="111">AU58+AV55</f>
        <v>7113801.1200000001</v>
      </c>
      <c r="AW58" s="14">
        <f t="shared" ref="AW58" si="112">AV58+AW55</f>
        <v>11613801.120000001</v>
      </c>
      <c r="AX58" s="14">
        <f t="shared" ref="AX58" si="113">AW58+AX55</f>
        <v>20113801.120000001</v>
      </c>
      <c r="AY58" s="14">
        <f t="shared" ref="AY58" si="114">AX58+AY55</f>
        <v>30563801.120000001</v>
      </c>
      <c r="AZ58" s="14">
        <f t="shared" ref="AZ58" si="115">AY58+AZ55</f>
        <v>27263801.120000001</v>
      </c>
      <c r="BA58" s="14">
        <f t="shared" ref="BA58" si="116">AZ58+BA55</f>
        <v>32063801.120000001</v>
      </c>
      <c r="BB58" s="14">
        <f t="shared" ref="BB58" si="117">BA58+BB55</f>
        <v>30713801.120000001</v>
      </c>
      <c r="BC58" s="14">
        <f t="shared" ref="BC58" si="118">BB58+BC55</f>
        <v>30713801.120000001</v>
      </c>
      <c r="BD58" s="230">
        <f t="shared" ref="BD58" si="119">BC58+BD55</f>
        <v>25763801.120000001</v>
      </c>
      <c r="BE58" s="14">
        <f t="shared" ref="BE58" si="120">BD58+BE55</f>
        <v>9513801.120000001</v>
      </c>
      <c r="BF58" s="14">
        <f t="shared" ref="BF58" si="121">BE58+BF55</f>
        <v>17313801.120000001</v>
      </c>
      <c r="BG58" s="14">
        <f t="shared" ref="BG58" si="122">BF58+BG55</f>
        <v>10513801.120000001</v>
      </c>
      <c r="BH58" s="14">
        <f t="shared" ref="BH58" si="123">BG58+BH55</f>
        <v>513801.12000000104</v>
      </c>
      <c r="BI58" s="14">
        <f t="shared" ref="BI58" si="124">BH58+BI55</f>
        <v>513801.12000000104</v>
      </c>
      <c r="BJ58" s="14">
        <f t="shared" ref="BJ58" si="125">BI58+BJ55</f>
        <v>513801.12000000104</v>
      </c>
      <c r="BK58" s="14">
        <f t="shared" ref="BK58" si="126">BJ58+BK55</f>
        <v>513801.12000000104</v>
      </c>
      <c r="BL58" s="14">
        <f t="shared" ref="BL58" si="127">BK58+BL55</f>
        <v>13801.120000001043</v>
      </c>
      <c r="BM58" s="14">
        <f t="shared" ref="BM58" si="128">BL58+BM55</f>
        <v>13801.120000001043</v>
      </c>
      <c r="BN58" s="14">
        <f t="shared" ref="BN58" si="129">BM58+BN55</f>
        <v>13801.120000001043</v>
      </c>
      <c r="BO58" s="421">
        <v>15086</v>
      </c>
      <c r="BP58" s="14">
        <f t="shared" ref="BP58" si="130">BO58+BP55</f>
        <v>15086</v>
      </c>
      <c r="BQ58" s="14">
        <f t="shared" ref="BQ58" si="131">BP58+BQ55</f>
        <v>15086</v>
      </c>
      <c r="BR58" s="14">
        <f t="shared" ref="BR58" si="132">BQ58+BR55</f>
        <v>4015086</v>
      </c>
      <c r="BS58" s="14">
        <f t="shared" ref="BS58" si="133">BR58+BS55</f>
        <v>15086</v>
      </c>
      <c r="BT58" s="14">
        <f t="shared" ref="BT58" si="134">BS58+BT55</f>
        <v>15086</v>
      </c>
      <c r="BU58" s="14">
        <f t="shared" ref="BU58" si="135">BT58+BU55</f>
        <v>15086</v>
      </c>
      <c r="BV58" s="14">
        <f t="shared" ref="BV58" si="136">BU58+BV55</f>
        <v>15086</v>
      </c>
      <c r="BW58" s="14">
        <f t="shared" ref="BW58" si="137">BV58+BW55</f>
        <v>15086</v>
      </c>
      <c r="BX58" s="230">
        <f t="shared" ref="BX58" si="138">BW58+BX55</f>
        <v>15086</v>
      </c>
      <c r="BY58" s="14">
        <f t="shared" ref="BY58" si="139">BX58+BY55</f>
        <v>15086</v>
      </c>
      <c r="BZ58" s="14">
        <f t="shared" ref="BZ58" si="140">BY58+BZ55</f>
        <v>15086</v>
      </c>
      <c r="CA58" s="14">
        <f t="shared" ref="CA58" si="141">BZ58+CA55</f>
        <v>15086</v>
      </c>
      <c r="CB58" s="14">
        <f t="shared" ref="CB58" si="142">CA58+CB55</f>
        <v>15086</v>
      </c>
      <c r="CC58" s="14">
        <f t="shared" ref="CC58" si="143">CB58+CC55</f>
        <v>15086</v>
      </c>
      <c r="CD58" s="14">
        <f t="shared" ref="CD58" si="144">CC58+CD55</f>
        <v>15086</v>
      </c>
      <c r="CE58" s="14">
        <f t="shared" ref="CE58" si="145">CD58+CE55</f>
        <v>15086</v>
      </c>
      <c r="CF58" s="14">
        <f t="shared" ref="CF58" si="146">CE58+CF55</f>
        <v>15086</v>
      </c>
      <c r="CG58" s="14">
        <f t="shared" ref="CG58" si="147">CF58+CG55</f>
        <v>15086</v>
      </c>
      <c r="CH58" s="14">
        <f t="shared" ref="CH58:CI58" si="148">CG58+CH55</f>
        <v>15086</v>
      </c>
      <c r="CI58" s="421">
        <f t="shared" si="148"/>
        <v>15086</v>
      </c>
      <c r="CJ58" s="14">
        <v>15097.5</v>
      </c>
      <c r="CK58" s="14">
        <f t="shared" ref="CK58" si="149">CJ58+CK55</f>
        <v>15097.5</v>
      </c>
      <c r="CL58" s="14">
        <f t="shared" ref="CL58" si="150">CK58+CL55</f>
        <v>15097.5</v>
      </c>
      <c r="CM58" s="14">
        <f t="shared" ref="CM58" si="151">CL58+CM55</f>
        <v>15097.5</v>
      </c>
      <c r="CN58" s="14">
        <f t="shared" ref="CN58" si="152">CM58+CN55</f>
        <v>15097.5</v>
      </c>
      <c r="CO58" s="14">
        <f t="shared" ref="CO58" si="153">CN58+CO55</f>
        <v>15097.5</v>
      </c>
      <c r="CP58" s="14">
        <f t="shared" ref="CP58" si="154">CO58+CP55</f>
        <v>4015097.5</v>
      </c>
      <c r="CQ58" s="14">
        <f t="shared" ref="CQ58" si="155">CP58+CQ55</f>
        <v>4015097.5</v>
      </c>
      <c r="CR58" s="14">
        <f t="shared" ref="CR58" si="156">CQ58+CR55</f>
        <v>4015097.5</v>
      </c>
      <c r="CS58" s="14">
        <f t="shared" ref="CS58" si="157">CR58+CS55</f>
        <v>4015097.5</v>
      </c>
      <c r="CT58" s="230">
        <f t="shared" ref="CT58" si="158">CS58+CT55</f>
        <v>4015097.5</v>
      </c>
      <c r="CU58" s="14">
        <f t="shared" ref="CU58" si="159">CT58+CU55</f>
        <v>4015097.5</v>
      </c>
      <c r="CV58" s="14">
        <f t="shared" ref="CV58" si="160">CU58+CV55</f>
        <v>4015097.5</v>
      </c>
      <c r="CW58" s="14">
        <f t="shared" ref="CW58" si="161">CV58+CW55</f>
        <v>4015097.5</v>
      </c>
      <c r="CX58" s="14">
        <f t="shared" ref="CX58" si="162">CW58+CX55</f>
        <v>4015097.5</v>
      </c>
      <c r="CY58" s="14">
        <f t="shared" ref="CY58" si="163">CX58+CY55</f>
        <v>4015097.5</v>
      </c>
      <c r="CZ58" s="14">
        <f t="shared" ref="CZ58" si="164">CY58+CZ55</f>
        <v>4015097.5</v>
      </c>
      <c r="DA58" s="14">
        <f t="shared" ref="DA58" si="165">CZ58+DA55</f>
        <v>4015097.5</v>
      </c>
      <c r="DB58" s="14">
        <f t="shared" ref="DB58" si="166">DA58+DB55</f>
        <v>4015097.5</v>
      </c>
      <c r="DC58" s="14">
        <f t="shared" ref="DC58" si="167">DB58+DC55</f>
        <v>4015097.5</v>
      </c>
      <c r="DD58" s="14">
        <f t="shared" ref="DD58" si="168">DC58+DD55</f>
        <v>4015097.5</v>
      </c>
      <c r="DE58" s="421">
        <f t="shared" ref="DE58" si="169">DD58+DE55</f>
        <v>4015097.5</v>
      </c>
      <c r="DF58" s="14">
        <v>4015266.3</v>
      </c>
      <c r="DG58" s="14">
        <f t="shared" ref="DG58" si="170">DF58+DG55</f>
        <v>4015266.3</v>
      </c>
      <c r="DH58" s="14">
        <f t="shared" ref="DH58" si="171">DG58+DH55</f>
        <v>4015266.3</v>
      </c>
      <c r="DI58" s="14">
        <f t="shared" ref="DI58" si="172">DH58+DI55</f>
        <v>4015266.3</v>
      </c>
      <c r="DJ58" s="14">
        <f t="shared" ref="DJ58" si="173">DI58+DJ55</f>
        <v>4015266.3</v>
      </c>
      <c r="DK58" s="14">
        <f t="shared" ref="DK58" si="174">DJ58+DK55</f>
        <v>4015266.3</v>
      </c>
      <c r="DL58" s="14">
        <f t="shared" ref="DL58" si="175">DK58+DL55</f>
        <v>4015266.3</v>
      </c>
      <c r="DM58" s="14">
        <f t="shared" ref="DM58" si="176">DL58+DM55</f>
        <v>4015266.3</v>
      </c>
      <c r="DN58" s="14">
        <f t="shared" ref="DN58" si="177">DM58+DN55</f>
        <v>4015266.3</v>
      </c>
      <c r="DO58" s="230">
        <f t="shared" ref="DO58" si="178">DN58+DO55</f>
        <v>4015266.3</v>
      </c>
      <c r="DP58" s="14">
        <f t="shared" ref="DP58" si="179">DO58+DP55</f>
        <v>4015266.3</v>
      </c>
      <c r="DQ58" s="14">
        <f t="shared" ref="DQ58" si="180">DP58+DQ55</f>
        <v>4015266.3</v>
      </c>
      <c r="DR58" s="14">
        <f t="shared" ref="DR58" si="181">DQ58+DR55</f>
        <v>4015266.3</v>
      </c>
      <c r="DS58" s="14">
        <f t="shared" ref="DS58" si="182">DR58+DS55</f>
        <v>4015266.3</v>
      </c>
      <c r="DT58" s="14">
        <f t="shared" ref="DT58" si="183">DS58+DT55</f>
        <v>4015266.3</v>
      </c>
      <c r="DU58" s="14">
        <f t="shared" ref="DU58" si="184">DT58+DU55</f>
        <v>4015266.3</v>
      </c>
      <c r="DV58" s="14">
        <f t="shared" ref="DV58" si="185">DU58+DV55</f>
        <v>4015266.3</v>
      </c>
      <c r="DW58" s="14">
        <f t="shared" ref="DW58" si="186">DV58+DW55</f>
        <v>4015266.3</v>
      </c>
      <c r="DX58" s="14">
        <f t="shared" ref="DX58" si="187">DW58+DX55</f>
        <v>4015266.3</v>
      </c>
      <c r="DY58" s="14">
        <f t="shared" ref="DY58" si="188">DX58+DY55</f>
        <v>4015266.3</v>
      </c>
      <c r="DZ58" s="421">
        <f t="shared" ref="DZ58" si="189">DY58+DZ55</f>
        <v>4015266.3</v>
      </c>
      <c r="EA58" s="14">
        <f t="shared" ref="EA58" si="190">DZ58+EA55</f>
        <v>4015266.3</v>
      </c>
      <c r="EB58" s="14">
        <f t="shared" ref="EB58" si="191">EA58+EB55</f>
        <v>4015266.3</v>
      </c>
      <c r="EC58" s="14">
        <f t="shared" ref="EC58" si="192">EB58+EC55</f>
        <v>4015266.3</v>
      </c>
      <c r="ED58" s="14">
        <f t="shared" ref="ED58" si="193">EC58+ED55</f>
        <v>4015266.3</v>
      </c>
      <c r="EE58" s="14">
        <f t="shared" ref="EE58" si="194">ED58+EE55</f>
        <v>4015266.3</v>
      </c>
      <c r="EF58" s="14">
        <f t="shared" ref="EF58" si="195">EE58+EF55</f>
        <v>4015266.3</v>
      </c>
      <c r="EG58" s="14">
        <f t="shared" ref="EG58" si="196">EF58+EG55</f>
        <v>4015266.3</v>
      </c>
      <c r="EH58" s="14">
        <f t="shared" ref="EH58" si="197">EG58+EH55</f>
        <v>4015266.3</v>
      </c>
      <c r="EI58" s="14">
        <f t="shared" ref="EI58" si="198">EH58+EI55</f>
        <v>4015266.3</v>
      </c>
      <c r="EJ58" s="230">
        <f t="shared" ref="EJ58" si="199">EI58+EJ55</f>
        <v>4015266.3</v>
      </c>
      <c r="EK58" s="14">
        <f t="shared" ref="EK58" si="200">EJ58+EK55</f>
        <v>4015266.3</v>
      </c>
      <c r="EL58" s="14">
        <f t="shared" ref="EL58" si="201">EK58+EL55</f>
        <v>4015266.3</v>
      </c>
      <c r="EM58" s="14">
        <f t="shared" ref="EM58" si="202">EL58+EM55</f>
        <v>4015266.3</v>
      </c>
      <c r="EN58" s="14">
        <f t="shared" ref="EN58" si="203">EM58+EN55</f>
        <v>4015266.3</v>
      </c>
      <c r="EO58" s="14">
        <f t="shared" ref="EO58" si="204">EN58+EO55</f>
        <v>4015266.3</v>
      </c>
      <c r="EP58" s="14">
        <f t="shared" ref="EP58" si="205">EO58+EP55</f>
        <v>4015266.3</v>
      </c>
      <c r="EQ58" s="14">
        <f t="shared" ref="EQ58" si="206">EP58+EQ55</f>
        <v>4015266.3</v>
      </c>
      <c r="ER58" s="14">
        <f t="shared" ref="ER58" si="207">EQ58+ER55</f>
        <v>4015266.3</v>
      </c>
      <c r="ES58" s="14">
        <f t="shared" ref="ES58" si="208">ER58+ES55</f>
        <v>4015266.3</v>
      </c>
      <c r="ET58" s="14">
        <f t="shared" ref="ET58" si="209">ES58+ET55</f>
        <v>4015266.3</v>
      </c>
      <c r="EU58" s="14">
        <f t="shared" ref="EU58" si="210">ET58+EU55</f>
        <v>4015266.3</v>
      </c>
      <c r="EV58" s="421">
        <f t="shared" ref="EV58" si="211">EU58+EV55</f>
        <v>4015266.3</v>
      </c>
      <c r="EW58" s="14">
        <f t="shared" ref="EW58" si="212">EV58+EW55</f>
        <v>4015266.3</v>
      </c>
      <c r="EX58" s="14">
        <f t="shared" ref="EX58" si="213">EW58+EX55</f>
        <v>4015266.3</v>
      </c>
      <c r="EY58" s="14">
        <f t="shared" ref="EY58" si="214">EX58+EY55</f>
        <v>4015266.3</v>
      </c>
      <c r="EZ58" s="14">
        <f t="shared" ref="EZ58" si="215">EY58+EZ55</f>
        <v>4015266.3</v>
      </c>
      <c r="FA58" s="14">
        <f t="shared" ref="FA58" si="216">EZ58+FA55</f>
        <v>4015266.3</v>
      </c>
      <c r="FB58" s="14">
        <f t="shared" ref="FB58" si="217">FA58+FB55</f>
        <v>4015266.3</v>
      </c>
      <c r="FC58" s="14">
        <f t="shared" ref="FC58" si="218">FB58+FC55</f>
        <v>4015266.3</v>
      </c>
      <c r="FD58" s="14">
        <f t="shared" ref="FD58" si="219">FC58+FD55</f>
        <v>4015266.3</v>
      </c>
      <c r="FE58" s="14">
        <f t="shared" ref="FE58" si="220">FD58+FE55</f>
        <v>4015266.3</v>
      </c>
      <c r="FF58" s="230">
        <f t="shared" ref="FF58" si="221">FE58+FF55</f>
        <v>4015266.3</v>
      </c>
      <c r="FG58" s="14">
        <f t="shared" ref="FG58" si="222">FF58+FG55</f>
        <v>4015266.3</v>
      </c>
      <c r="FH58" s="14">
        <f t="shared" ref="FH58" si="223">FG58+FH55</f>
        <v>4015266.3</v>
      </c>
      <c r="FI58" s="14">
        <f t="shared" ref="FI58" si="224">FH58+FI55</f>
        <v>4015266.3</v>
      </c>
      <c r="FJ58" s="14">
        <f t="shared" ref="FJ58" si="225">FI58+FJ55</f>
        <v>4015266.3</v>
      </c>
      <c r="FK58" s="14">
        <f t="shared" ref="FK58" si="226">FJ58+FK55</f>
        <v>4015266.3</v>
      </c>
      <c r="FL58" s="14">
        <f t="shared" ref="FL58" si="227">FK58+FL55</f>
        <v>4015266.3</v>
      </c>
      <c r="FM58" s="14">
        <f t="shared" ref="FM58" si="228">FL58+FM55</f>
        <v>4015266.3</v>
      </c>
      <c r="FN58" s="14">
        <f t="shared" ref="FN58" si="229">FM58+FN55</f>
        <v>4015266.3</v>
      </c>
      <c r="FO58" s="14">
        <f t="shared" ref="FO58" si="230">FN58+FO55</f>
        <v>4015266.3</v>
      </c>
      <c r="FP58" s="14">
        <f t="shared" ref="FP58" si="231">FO58+FP55</f>
        <v>4015266.3</v>
      </c>
      <c r="FQ58" s="421">
        <f t="shared" ref="FQ58" si="232">FP58+FQ55</f>
        <v>4015266.3</v>
      </c>
      <c r="FR58" s="14">
        <f t="shared" ref="FR58" si="233">FQ58+FR55</f>
        <v>4015266.3</v>
      </c>
      <c r="FS58" s="14">
        <f t="shared" ref="FS58" si="234">FR58+FS55</f>
        <v>4015266.3</v>
      </c>
      <c r="FT58" s="14">
        <f t="shared" ref="FT58" si="235">FS58+FT55</f>
        <v>4015266.3</v>
      </c>
      <c r="FU58" s="14">
        <f t="shared" ref="FU58" si="236">FT58+FU55</f>
        <v>4015266.3</v>
      </c>
      <c r="FV58" s="14">
        <f t="shared" ref="FV58" si="237">FU58+FV55</f>
        <v>4015266.3</v>
      </c>
      <c r="FW58" s="14">
        <f t="shared" ref="FW58" si="238">FV58+FW55</f>
        <v>4015266.3</v>
      </c>
      <c r="FX58" s="14">
        <f t="shared" ref="FX58" si="239">FW58+FX55</f>
        <v>4015266.3</v>
      </c>
      <c r="FY58" s="14">
        <f t="shared" ref="FY58" si="240">FX58+FY55</f>
        <v>4015266.3</v>
      </c>
      <c r="FZ58" s="230">
        <f t="shared" ref="FZ58" si="241">FY58+FZ55</f>
        <v>4015266.3</v>
      </c>
      <c r="GA58" s="14">
        <f t="shared" ref="GA58" si="242">FZ58+GA55</f>
        <v>4015266.3</v>
      </c>
      <c r="GB58" s="14">
        <f t="shared" ref="GB58" si="243">GA58+GB55</f>
        <v>4015266.3</v>
      </c>
      <c r="GC58" s="14">
        <f t="shared" ref="GC58" si="244">GB58+GC55</f>
        <v>4015266.3</v>
      </c>
      <c r="GD58" s="14">
        <f t="shared" ref="GD58" si="245">GC58+GD55</f>
        <v>4015266.3</v>
      </c>
      <c r="GE58" s="14">
        <f t="shared" ref="GE58" si="246">GD58+GE55</f>
        <v>4015266.3</v>
      </c>
      <c r="GF58" s="14">
        <f t="shared" ref="GF58" si="247">GE58+GF55</f>
        <v>4015266.3</v>
      </c>
      <c r="GG58" s="14">
        <f t="shared" ref="GG58" si="248">GF58+GG55</f>
        <v>4015266.3</v>
      </c>
      <c r="GH58" s="14">
        <f t="shared" ref="GH58" si="249">GG58+GH55</f>
        <v>4015266.3</v>
      </c>
      <c r="GI58" s="14">
        <f t="shared" ref="GI58" si="250">GH58+GI55</f>
        <v>4015266.3</v>
      </c>
      <c r="GJ58" s="14">
        <f t="shared" ref="GJ58" si="251">GI58+GJ55</f>
        <v>4015266.3</v>
      </c>
      <c r="GK58" s="421">
        <f t="shared" ref="GK58" si="252">GJ58+GK55</f>
        <v>4015266.3</v>
      </c>
      <c r="GL58" s="14">
        <f t="shared" ref="GL58" si="253">GK58+GL55</f>
        <v>4015266.3</v>
      </c>
      <c r="GM58" s="14">
        <f t="shared" ref="GM58" si="254">GL58+GM55</f>
        <v>4015266.3</v>
      </c>
      <c r="GN58" s="14">
        <f t="shared" ref="GN58" si="255">GM58+GN55</f>
        <v>4015266.3</v>
      </c>
      <c r="GO58" s="14">
        <f t="shared" ref="GO58" si="256">GN58+GO55</f>
        <v>4015266.3</v>
      </c>
      <c r="GP58" s="14">
        <f t="shared" ref="GP58" si="257">GO58+GP55</f>
        <v>4015266.3</v>
      </c>
      <c r="GQ58" s="14">
        <f t="shared" ref="GQ58" si="258">GP58+GQ55</f>
        <v>4015266.3</v>
      </c>
      <c r="GR58" s="14">
        <f t="shared" ref="GR58" si="259">GQ58+GR55</f>
        <v>4015266.3</v>
      </c>
      <c r="GS58" s="14">
        <f t="shared" ref="GS58" si="260">GR58+GS55</f>
        <v>4015266.3</v>
      </c>
      <c r="GT58" s="14">
        <f t="shared" ref="GT58" si="261">GS58+GT55</f>
        <v>4015266.3</v>
      </c>
      <c r="GU58" s="230">
        <f t="shared" ref="GU58" si="262">GT58+GU55</f>
        <v>4015266.3</v>
      </c>
      <c r="GV58" s="14">
        <f t="shared" ref="GV58" si="263">GU58+GV55</f>
        <v>4015266.3</v>
      </c>
      <c r="GW58" s="14">
        <f t="shared" ref="GW58" si="264">GV58+GW55</f>
        <v>4015266.3</v>
      </c>
      <c r="GX58" s="14">
        <f t="shared" ref="GX58" si="265">GW58+GX55</f>
        <v>4015266.3</v>
      </c>
      <c r="GY58" s="14">
        <f t="shared" ref="GY58" si="266">GX58+GY55</f>
        <v>4015266.3</v>
      </c>
      <c r="GZ58" s="14">
        <f t="shared" ref="GZ58" si="267">GY58+GZ55</f>
        <v>4015266.3</v>
      </c>
      <c r="HA58" s="14">
        <f t="shared" ref="HA58" si="268">GZ58+HA55</f>
        <v>4015266.3</v>
      </c>
      <c r="HB58" s="14">
        <f t="shared" ref="HB58" si="269">HA58+HB55</f>
        <v>4015266.3</v>
      </c>
      <c r="HC58" s="14">
        <f t="shared" ref="HC58" si="270">HB58+HC55</f>
        <v>4015266.3</v>
      </c>
      <c r="HD58" s="14">
        <f t="shared" ref="HD58" si="271">HC58+HD55</f>
        <v>4015266.3</v>
      </c>
      <c r="HE58" s="421">
        <f t="shared" ref="HE58" si="272">HD58+HE55</f>
        <v>4015266.3</v>
      </c>
      <c r="HF58" s="14">
        <f t="shared" ref="HF58" si="273">HE58+HF55</f>
        <v>4015266.3</v>
      </c>
      <c r="HG58" s="14">
        <f t="shared" ref="HG58" si="274">HF58+HG55</f>
        <v>4015266.3</v>
      </c>
      <c r="HH58" s="14">
        <f t="shared" ref="HH58" si="275">HG58+HH55</f>
        <v>4015266.3</v>
      </c>
      <c r="HI58" s="14">
        <f t="shared" ref="HI58" si="276">HH58+HI55</f>
        <v>4015266.3</v>
      </c>
      <c r="HJ58" s="14">
        <f t="shared" ref="HJ58" si="277">HI58+HJ55</f>
        <v>4015266.3</v>
      </c>
      <c r="HK58" s="14">
        <f t="shared" ref="HK58" si="278">HJ58+HK55</f>
        <v>4015266.3</v>
      </c>
      <c r="HL58" s="14">
        <f t="shared" ref="HL58" si="279">HK58+HL55</f>
        <v>4015266.3</v>
      </c>
      <c r="HM58" s="14">
        <f t="shared" ref="HM58" si="280">HL58+HM55</f>
        <v>4015266.3</v>
      </c>
      <c r="HN58" s="14">
        <f t="shared" ref="HN58" si="281">HM58+HN55</f>
        <v>4015266.3</v>
      </c>
      <c r="HO58" s="14">
        <f t="shared" ref="HO58" si="282">HN58+HO55</f>
        <v>4015266.3</v>
      </c>
      <c r="HP58" s="230">
        <f t="shared" ref="HP58" si="283">HO58+HP55</f>
        <v>4015266.3</v>
      </c>
      <c r="HQ58" s="14">
        <f t="shared" ref="HQ58" si="284">HP58+HQ55</f>
        <v>4015266.3</v>
      </c>
      <c r="HR58" s="14">
        <f t="shared" ref="HR58" si="285">HQ58+HR55</f>
        <v>4015266.3</v>
      </c>
      <c r="HS58" s="14">
        <f t="shared" ref="HS58" si="286">HR58+HS55</f>
        <v>4015266.3</v>
      </c>
      <c r="HT58" s="14">
        <f t="shared" ref="HT58" si="287">HS58+HT55</f>
        <v>4015266.3</v>
      </c>
      <c r="HU58" s="14">
        <f t="shared" ref="HU58" si="288">HT58+HU55</f>
        <v>4015266.3</v>
      </c>
      <c r="HV58" s="14">
        <f t="shared" ref="HV58" si="289">HU58+HV55</f>
        <v>4015266.3</v>
      </c>
      <c r="HW58" s="14">
        <f t="shared" ref="HW58" si="290">HV58+HW55</f>
        <v>4015266.3</v>
      </c>
      <c r="HX58" s="14">
        <f t="shared" ref="HX58" si="291">HW58+HX55</f>
        <v>4015266.3</v>
      </c>
      <c r="HY58" s="14">
        <f t="shared" ref="HY58" si="292">HX58+HY55</f>
        <v>4015266.3</v>
      </c>
      <c r="HZ58" s="14">
        <f t="shared" ref="HZ58" si="293">HY58+HZ55</f>
        <v>4015266.3</v>
      </c>
      <c r="IA58" s="421">
        <f t="shared" ref="IA58" si="294">HZ58+IA55</f>
        <v>4015266.3</v>
      </c>
      <c r="IB58" s="14">
        <f t="shared" ref="IB58" si="295">IA58+IB55</f>
        <v>4015266.3</v>
      </c>
      <c r="IC58" s="14">
        <f t="shared" ref="IC58" si="296">IB58+IC55</f>
        <v>4015266.3</v>
      </c>
      <c r="ID58" s="14">
        <f t="shared" ref="ID58" si="297">IC58+ID55</f>
        <v>4015266.3</v>
      </c>
      <c r="IE58" s="14">
        <f t="shared" ref="IE58" si="298">ID58+IE55</f>
        <v>4015266.3</v>
      </c>
      <c r="IF58" s="14">
        <f t="shared" ref="IF58" si="299">IE58+IF55</f>
        <v>4015266.3</v>
      </c>
      <c r="IG58" s="14">
        <f t="shared" ref="IG58" si="300">IF58+IG55</f>
        <v>4015266.3</v>
      </c>
      <c r="IH58" s="14">
        <f t="shared" ref="IH58" si="301">IG58+IH55</f>
        <v>4015266.3</v>
      </c>
      <c r="II58" s="14">
        <f t="shared" ref="II58" si="302">IH58+II55</f>
        <v>4015266.3</v>
      </c>
      <c r="IJ58" s="14">
        <f t="shared" ref="IJ58" si="303">II58+IJ55</f>
        <v>4015266.3</v>
      </c>
      <c r="IK58" s="14">
        <f t="shared" ref="IK58" si="304">IJ58+IK55</f>
        <v>4015266.3</v>
      </c>
      <c r="IL58" s="230">
        <f t="shared" ref="IL58" si="305">IK58+IL55</f>
        <v>4015266.3</v>
      </c>
      <c r="IM58" s="14">
        <f t="shared" ref="IM58" si="306">IL58+IM55</f>
        <v>4015266.3</v>
      </c>
      <c r="IN58" s="14">
        <f t="shared" ref="IN58" si="307">IM58+IN55</f>
        <v>4015266.3</v>
      </c>
      <c r="IO58" s="14">
        <f t="shared" ref="IO58" si="308">IN58+IO55</f>
        <v>4015266.3</v>
      </c>
      <c r="IP58" s="14">
        <f t="shared" ref="IP58" si="309">IO58+IP55</f>
        <v>4015266.3</v>
      </c>
      <c r="IQ58" s="14">
        <f t="shared" ref="IQ58" si="310">IP58+IQ55</f>
        <v>4015266.3</v>
      </c>
      <c r="IR58" s="14">
        <f t="shared" ref="IR58" si="311">IQ58+IR55</f>
        <v>4015266.3</v>
      </c>
      <c r="IS58" s="14">
        <f t="shared" ref="IS58" si="312">IR58+IS55</f>
        <v>4015266.3</v>
      </c>
      <c r="IT58" s="14">
        <f t="shared" ref="IT58" si="313">IS58+IT55</f>
        <v>4015266.3</v>
      </c>
      <c r="IU58" s="14">
        <f t="shared" ref="IU58" si="314">IT58+IU55</f>
        <v>4015266.3</v>
      </c>
      <c r="IV58" s="14">
        <f t="shared" ref="IV58" si="315">IU58+IV55</f>
        <v>4015266.3</v>
      </c>
      <c r="IW58" s="877"/>
      <c r="IX58" s="14">
        <f t="shared" ref="IX58" si="316">IV58+IX55</f>
        <v>4015266.3</v>
      </c>
      <c r="IY58" s="14">
        <f t="shared" ref="IY58" si="317">IX58+IY55</f>
        <v>4015266.3</v>
      </c>
      <c r="IZ58" s="14">
        <f t="shared" ref="IZ58" si="318">IY58+IZ55</f>
        <v>4015266.3</v>
      </c>
      <c r="JA58" s="14">
        <f t="shared" ref="JA58" si="319">IZ58+JA55</f>
        <v>4015266.3</v>
      </c>
      <c r="JB58" s="14">
        <f t="shared" ref="JB58" si="320">JA58+JB55</f>
        <v>4015266.3</v>
      </c>
      <c r="JC58" s="14">
        <f t="shared" ref="JC58" si="321">JB58+JC55</f>
        <v>4015266.3</v>
      </c>
      <c r="JD58" s="14">
        <f t="shared" ref="JD58" si="322">JC58+JD55</f>
        <v>4015266.3</v>
      </c>
      <c r="JE58" s="14">
        <f t="shared" ref="JE58" si="323">JD58+JE55</f>
        <v>4015266.3</v>
      </c>
      <c r="JF58" s="14">
        <f t="shared" ref="JF58" si="324">JE58+JF55</f>
        <v>4015266.3</v>
      </c>
      <c r="JG58" s="14">
        <f t="shared" ref="JG58" si="325">JF58+JG55</f>
        <v>4015266.3</v>
      </c>
      <c r="JH58" s="14">
        <f t="shared" ref="JH58" si="326">JG58+JH55</f>
        <v>4015266.3</v>
      </c>
      <c r="JI58" s="804"/>
      <c r="JJ58" s="39">
        <f>JI61+JJ55</f>
        <v>0</v>
      </c>
      <c r="JK58" s="14"/>
    </row>
    <row r="59" spans="1:271" ht="14.1" customHeight="1">
      <c r="A59" s="14" t="s">
        <v>140</v>
      </c>
      <c r="B59" s="14"/>
      <c r="C59" s="794">
        <v>49268212</v>
      </c>
      <c r="D59" s="14">
        <f t="shared" ref="D59:I59" si="327">+C59-D21+D52</f>
        <v>49268212</v>
      </c>
      <c r="E59" s="14">
        <f t="shared" si="327"/>
        <v>49268212</v>
      </c>
      <c r="F59" s="14">
        <f t="shared" si="327"/>
        <v>49268212</v>
      </c>
      <c r="G59" s="14">
        <f t="shared" si="327"/>
        <v>49268212</v>
      </c>
      <c r="H59" s="14">
        <f t="shared" si="327"/>
        <v>49268212</v>
      </c>
      <c r="I59" s="14">
        <f t="shared" si="327"/>
        <v>49268212</v>
      </c>
      <c r="J59" s="14">
        <f t="shared" ref="J59:V59" si="328">+I59-J21+J52</f>
        <v>49268212</v>
      </c>
      <c r="K59" s="14">
        <f t="shared" si="328"/>
        <v>49268212</v>
      </c>
      <c r="L59" s="14">
        <f t="shared" si="328"/>
        <v>49268212</v>
      </c>
      <c r="M59" s="14">
        <f t="shared" si="328"/>
        <v>49268212</v>
      </c>
      <c r="N59" s="230">
        <f t="shared" si="328"/>
        <v>49268212</v>
      </c>
      <c r="O59" s="14">
        <f t="shared" si="328"/>
        <v>49268212</v>
      </c>
      <c r="P59" s="14">
        <f t="shared" si="328"/>
        <v>49268212</v>
      </c>
      <c r="Q59" s="14">
        <f t="shared" si="328"/>
        <v>49268212</v>
      </c>
      <c r="R59" s="14">
        <f t="shared" si="328"/>
        <v>49268212</v>
      </c>
      <c r="S59" s="14">
        <f t="shared" si="328"/>
        <v>49268212</v>
      </c>
      <c r="T59" s="14">
        <f t="shared" si="328"/>
        <v>49268212</v>
      </c>
      <c r="U59" s="14">
        <f t="shared" si="328"/>
        <v>49268212</v>
      </c>
      <c r="V59" s="421">
        <f t="shared" si="328"/>
        <v>49268212</v>
      </c>
      <c r="W59" s="14">
        <f>+V59-W21+W52+31861</f>
        <v>49300073</v>
      </c>
      <c r="X59" s="14">
        <f t="shared" ref="X59" si="329">+W59-X21+X52</f>
        <v>49300073</v>
      </c>
      <c r="Y59" s="14">
        <f t="shared" ref="Y59" si="330">+X59-Y21+Y52</f>
        <v>49300073</v>
      </c>
      <c r="Z59" s="14">
        <f t="shared" ref="Z59" si="331">+Y59-Z21+Z52</f>
        <v>49300073</v>
      </c>
      <c r="AA59" s="14">
        <f t="shared" ref="AA59" si="332">+Z59-AA21+AA52</f>
        <v>43850073</v>
      </c>
      <c r="AB59" s="14">
        <f t="shared" ref="AB59" si="333">+AA59-AB21+AB52</f>
        <v>49850073</v>
      </c>
      <c r="AC59" s="14">
        <f t="shared" ref="AC59" si="334">+AB59-AC21+AC52</f>
        <v>49850073</v>
      </c>
      <c r="AD59" s="14">
        <f t="shared" ref="AD59" si="335">+AC59-AD21+AD52</f>
        <v>49850073</v>
      </c>
      <c r="AE59" s="14">
        <f t="shared" ref="AE59" si="336">+AD59-AE21+AE52</f>
        <v>49850073</v>
      </c>
      <c r="AF59" s="14">
        <f t="shared" ref="AF59" si="337">+AE59-AF21+AF52</f>
        <v>49850073</v>
      </c>
      <c r="AG59" s="230">
        <f t="shared" ref="AG59" si="338">+AF59-AG21+AG52</f>
        <v>49849774.950000003</v>
      </c>
      <c r="AH59" s="14">
        <f t="shared" ref="AH59" si="339">+AG59-AH21+AH52</f>
        <v>49849774.950000003</v>
      </c>
      <c r="AI59" s="14">
        <f t="shared" ref="AI59" si="340">+AH59-AI21+AI52</f>
        <v>49849774.950000003</v>
      </c>
      <c r="AJ59" s="14">
        <f t="shared" ref="AJ59" si="341">+AI59-AJ21+AJ52</f>
        <v>49849774.950000003</v>
      </c>
      <c r="AK59" s="14">
        <f t="shared" ref="AK59" si="342">+AJ59-AK21+AK52</f>
        <v>49849774.950000003</v>
      </c>
      <c r="AL59" s="14">
        <f t="shared" ref="AL59" si="343">+AK59-AL21+AL52</f>
        <v>49849774.950000003</v>
      </c>
      <c r="AM59" s="14">
        <f t="shared" ref="AM59" si="344">+AL59-AM21+AM52</f>
        <v>49849774.950000003</v>
      </c>
      <c r="AN59" s="14">
        <f t="shared" ref="AN59" si="345">+AM59-AN21+AN52</f>
        <v>49849774.950000003</v>
      </c>
      <c r="AO59" s="582">
        <f t="shared" ref="AO59" si="346">+AN59-AO21+AO52</f>
        <v>49849774.950000003</v>
      </c>
      <c r="AP59" s="14">
        <f t="shared" ref="AP59" si="347">+AO59-AP21+AP52</f>
        <v>49849774.950000003</v>
      </c>
      <c r="AQ59" s="14">
        <f t="shared" ref="AQ59" si="348">+AP59-AQ21+AQ52</f>
        <v>49849774.950000003</v>
      </c>
      <c r="AR59" s="14">
        <f t="shared" ref="AR59" si="349">+AQ59-AR21+AR52</f>
        <v>49849774.950000003</v>
      </c>
      <c r="AS59" s="421">
        <f t="shared" ref="AS59" si="350">+AR59-AS21+AS52</f>
        <v>49849774.950000003</v>
      </c>
      <c r="AT59" s="14">
        <v>49866906.359999999</v>
      </c>
      <c r="AU59" s="14">
        <f t="shared" ref="AU59" si="351">+AT59-AU21+AU52</f>
        <v>49866906.359999999</v>
      </c>
      <c r="AV59" s="14">
        <f t="shared" ref="AV59" si="352">+AU59-AV21+AV52</f>
        <v>49866906.359999999</v>
      </c>
      <c r="AW59" s="14">
        <f t="shared" ref="AW59" si="353">+AV59-AW21+AW52</f>
        <v>49866906.359999999</v>
      </c>
      <c r="AX59" s="14">
        <f t="shared" ref="AX59" si="354">+AW59-AX21+AX52</f>
        <v>49866906.359999999</v>
      </c>
      <c r="AY59" s="14">
        <f t="shared" ref="AY59" si="355">+AX59-AY21+AY52</f>
        <v>49866906.359999999</v>
      </c>
      <c r="AZ59" s="14">
        <f t="shared" ref="AZ59" si="356">+AY59-AZ21+AZ52</f>
        <v>49866906.359999999</v>
      </c>
      <c r="BA59" s="14">
        <f t="shared" ref="BA59" si="357">+AZ59-BA21+BA52</f>
        <v>49866906.359999999</v>
      </c>
      <c r="BB59" s="14">
        <f t="shared" ref="BB59" si="358">+BA59-BB21+BB52</f>
        <v>49866906.359999999</v>
      </c>
      <c r="BC59" s="14">
        <f t="shared" ref="BC59" si="359">+BB59-BC21+BC52</f>
        <v>49866906.359999999</v>
      </c>
      <c r="BD59" s="230">
        <f t="shared" ref="BD59" si="360">+BC59-BD21+BD52</f>
        <v>49866906.359999999</v>
      </c>
      <c r="BE59" s="14">
        <f t="shared" ref="BE59" si="361">+BD59-BE21+BE52</f>
        <v>49866906.359999999</v>
      </c>
      <c r="BF59" s="14">
        <f t="shared" ref="BF59" si="362">+BE59-BF21+BF52</f>
        <v>49866906.359999999</v>
      </c>
      <c r="BG59" s="14">
        <f t="shared" ref="BG59" si="363">+BF59-BG21+BG52</f>
        <v>49866906.359999999</v>
      </c>
      <c r="BH59" s="14">
        <f t="shared" ref="BH59" si="364">+BG59-BH21+BH52</f>
        <v>49866906.359999999</v>
      </c>
      <c r="BI59" s="14">
        <f t="shared" ref="BI59" si="365">+BH59-BI21+BI52</f>
        <v>49866906.359999999</v>
      </c>
      <c r="BJ59" s="14">
        <f t="shared" ref="BJ59" si="366">+BI59-BJ21+BJ52</f>
        <v>49866906.359999999</v>
      </c>
      <c r="BK59" s="14">
        <f t="shared" ref="BK59" si="367">+BJ59-BK21+BK52</f>
        <v>49866906.359999999</v>
      </c>
      <c r="BL59" s="14">
        <f t="shared" ref="BL59" si="368">+BK59-BL21+BL52</f>
        <v>49866906.359999999</v>
      </c>
      <c r="BM59" s="14">
        <f t="shared" ref="BM59" si="369">+BL59-BM21+BM52</f>
        <v>49866906.359999999</v>
      </c>
      <c r="BN59" s="14">
        <f t="shared" ref="BN59" si="370">+BM59-BN21+BN52</f>
        <v>49866906.359999999</v>
      </c>
      <c r="BO59" s="421">
        <v>49879202</v>
      </c>
      <c r="BP59" s="14">
        <f t="shared" ref="BP59" si="371">+BO59-BP21+BP52</f>
        <v>49879202</v>
      </c>
      <c r="BQ59" s="14">
        <f t="shared" ref="BQ59" si="372">+BP59-BQ21+BQ52</f>
        <v>49879202</v>
      </c>
      <c r="BR59" s="14">
        <f t="shared" ref="BR59" si="373">+BQ59-BR21+BR52</f>
        <v>49879202</v>
      </c>
      <c r="BS59" s="14">
        <f t="shared" ref="BS59" si="374">+BR59-BS21+BS52</f>
        <v>49879202</v>
      </c>
      <c r="BT59" s="14">
        <f t="shared" ref="BT59" si="375">+BS59-BT21+BT52</f>
        <v>49879202</v>
      </c>
      <c r="BU59" s="14">
        <f t="shared" ref="BU59" si="376">+BT59-BU21+BU52</f>
        <v>49879202</v>
      </c>
      <c r="BV59" s="14">
        <f t="shared" ref="BV59" si="377">+BU59-BV21+BV52</f>
        <v>49879202</v>
      </c>
      <c r="BW59" s="14">
        <f t="shared" ref="BW59" si="378">+BV59-BW21+BW52</f>
        <v>49879202</v>
      </c>
      <c r="BX59" s="230">
        <f t="shared" ref="BX59" si="379">+BW59-BX21+BX52</f>
        <v>49879202</v>
      </c>
      <c r="BY59" s="14">
        <f t="shared" ref="BY59" si="380">+BX59-BY21+BY52</f>
        <v>39879202</v>
      </c>
      <c r="BZ59" s="14">
        <f t="shared" ref="BZ59" si="381">+BY59-BZ21+BZ52</f>
        <v>39879202</v>
      </c>
      <c r="CA59" s="14">
        <f t="shared" ref="CA59" si="382">+BZ59-CA21+CA52</f>
        <v>31879202</v>
      </c>
      <c r="CB59" s="14">
        <f t="shared" ref="CB59" si="383">+CA59-CB21+CB52</f>
        <v>31879202</v>
      </c>
      <c r="CC59" s="14">
        <f t="shared" ref="CC59" si="384">+CB59-CC21+CC52</f>
        <v>31879202</v>
      </c>
      <c r="CD59" s="14">
        <f t="shared" ref="CD59" si="385">+CC59-CD21+CD52</f>
        <v>31879202</v>
      </c>
      <c r="CE59" s="14">
        <f t="shared" ref="CE59" si="386">+CD59-CE21+CE52</f>
        <v>37879202</v>
      </c>
      <c r="CF59" s="14">
        <f t="shared" ref="CF59" si="387">+CE59-CF21+CF52</f>
        <v>37879202</v>
      </c>
      <c r="CG59" s="14">
        <f t="shared" ref="CG59" si="388">+CF59-CG21+CG52</f>
        <v>37879202</v>
      </c>
      <c r="CH59" s="14">
        <f t="shared" ref="CH59:CI59" si="389">+CG59-CH21+CH52</f>
        <v>32879202</v>
      </c>
      <c r="CI59" s="421">
        <f t="shared" si="389"/>
        <v>26879202</v>
      </c>
      <c r="CJ59" s="14">
        <v>26889815.149999999</v>
      </c>
      <c r="CK59" s="14">
        <f>+CJ59-CK21+CK52+10000000</f>
        <v>36889815.149999999</v>
      </c>
      <c r="CL59" s="14">
        <f t="shared" ref="CL59" si="390">+CK59-CL21+CL52</f>
        <v>36889815.149999999</v>
      </c>
      <c r="CM59" s="14">
        <f t="shared" ref="CM59" si="391">+CL59-CM21+CM52</f>
        <v>36889815.149999999</v>
      </c>
      <c r="CN59" s="14">
        <f t="shared" ref="CN59" si="392">+CM59-CN21+CN52</f>
        <v>36889815.149999999</v>
      </c>
      <c r="CO59" s="14">
        <f t="shared" ref="CO59" si="393">+CN59-CO21+CO52</f>
        <v>36889815.149999999</v>
      </c>
      <c r="CP59" s="14">
        <f t="shared" ref="CP59" si="394">+CO59-CP21+CP52</f>
        <v>36889815.149999999</v>
      </c>
      <c r="CQ59" s="14">
        <f t="shared" ref="CQ59" si="395">+CP59-CQ21+CQ52</f>
        <v>49889815.149999999</v>
      </c>
      <c r="CR59" s="14">
        <f t="shared" ref="CR59" si="396">+CQ59-CR21+CR52</f>
        <v>49889815.149999999</v>
      </c>
      <c r="CS59" s="14">
        <f t="shared" ref="CS59" si="397">+CR59-CS21+CS52</f>
        <v>49889815.149999999</v>
      </c>
      <c r="CT59" s="230">
        <f t="shared" ref="CT59" si="398">+CS59-CT21+CT52</f>
        <v>37889815.149999999</v>
      </c>
      <c r="CU59" s="14">
        <f t="shared" ref="CU59" si="399">+CT59-CU21+CU52</f>
        <v>30889815.149999999</v>
      </c>
      <c r="CV59" s="14">
        <f t="shared" ref="CV59" si="400">+CU59-CV21+CV52</f>
        <v>30889815.149999999</v>
      </c>
      <c r="CW59" s="14">
        <f t="shared" ref="CW59" si="401">+CV59-CW21+CW52</f>
        <v>44889815.149999999</v>
      </c>
      <c r="CX59" s="14">
        <f t="shared" ref="CX59" si="402">+CW59-CX21+CX52</f>
        <v>44889815.149999999</v>
      </c>
      <c r="CY59" s="14">
        <f t="shared" ref="CY59" si="403">+CX59-CY21+CY52</f>
        <v>44889815.149999999</v>
      </c>
      <c r="CZ59" s="14">
        <f t="shared" ref="CZ59" si="404">+CY59-CZ21+CZ52</f>
        <v>44889815.149999999</v>
      </c>
      <c r="DA59" s="14">
        <f t="shared" ref="DA59" si="405">+CZ59-DA21+DA52</f>
        <v>44889815.149999999</v>
      </c>
      <c r="DB59" s="14">
        <f t="shared" ref="DB59" si="406">+DA59-DB21+DB52</f>
        <v>44889815.149999999</v>
      </c>
      <c r="DC59" s="14">
        <f t="shared" ref="DC59" si="407">+DB59-DC21+DC52</f>
        <v>44889815.149999999</v>
      </c>
      <c r="DD59" s="14">
        <f t="shared" ref="DD59" si="408">+DC59-DD21+DD52</f>
        <v>44889815.149999999</v>
      </c>
      <c r="DE59" s="421">
        <f t="shared" ref="DE59" si="409">+DD59-DE21+DE52</f>
        <v>44889815.149999999</v>
      </c>
      <c r="DF59" s="14">
        <v>44899897.469999999</v>
      </c>
      <c r="DG59" s="14">
        <f t="shared" ref="DG59" si="410">+DF59-DG21+DG52</f>
        <v>44899897.469999999</v>
      </c>
      <c r="DH59" s="14">
        <f t="shared" ref="DH59" si="411">+DG59-DH21+DH52</f>
        <v>44899897.469999999</v>
      </c>
      <c r="DI59" s="14">
        <f t="shared" ref="DI59" si="412">+DH59-DI21+DI52</f>
        <v>44899897.469999999</v>
      </c>
      <c r="DJ59" s="14">
        <f t="shared" ref="DJ59" si="413">+DI59-DJ21+DJ52</f>
        <v>44899897.469999999</v>
      </c>
      <c r="DK59" s="14">
        <f t="shared" ref="DK59" si="414">+DJ59-DK21+DK52</f>
        <v>44899897.469999999</v>
      </c>
      <c r="DL59" s="14">
        <f t="shared" ref="DL59" si="415">+DK59-DL21+DL52</f>
        <v>44899897.469999999</v>
      </c>
      <c r="DM59" s="14">
        <f t="shared" ref="DM59" si="416">+DL59-DM21+DM52</f>
        <v>44899897.469999999</v>
      </c>
      <c r="DN59" s="14">
        <f t="shared" ref="DN59" si="417">+DM59-DN21+DN52</f>
        <v>44899897.469999999</v>
      </c>
      <c r="DO59" s="230">
        <f t="shared" ref="DO59" si="418">+DN59-DO21+DO52</f>
        <v>44899897.469999999</v>
      </c>
      <c r="DP59" s="14">
        <f t="shared" ref="DP59" si="419">+DO59-DP21+DP52</f>
        <v>44899897.469999999</v>
      </c>
      <c r="DQ59" s="14">
        <f t="shared" ref="DQ59" si="420">+DP59-DQ21+DQ52</f>
        <v>44899897.469999999</v>
      </c>
      <c r="DR59" s="14">
        <f t="shared" ref="DR59" si="421">+DQ59-DR21+DR52</f>
        <v>44899897.469999999</v>
      </c>
      <c r="DS59" s="14">
        <f t="shared" ref="DS59" si="422">+DR59-DS21+DS52</f>
        <v>44899897.469999999</v>
      </c>
      <c r="DT59" s="14">
        <f t="shared" ref="DT59" si="423">+DS59-DT21+DT52</f>
        <v>44899897.469999999</v>
      </c>
      <c r="DU59" s="14">
        <f t="shared" ref="DU59" si="424">+DT59-DU21+DU52</f>
        <v>44899897.469999999</v>
      </c>
      <c r="DV59" s="14">
        <f t="shared" ref="DV59" si="425">+DU59-DV21+DV52</f>
        <v>44899897.469999999</v>
      </c>
      <c r="DW59" s="14">
        <f t="shared" ref="DW59" si="426">+DV59-DW21+DW52</f>
        <v>44899897.469999999</v>
      </c>
      <c r="DX59" s="14">
        <f t="shared" ref="DX59" si="427">+DW59-DX21+DX52</f>
        <v>44899897.469999999</v>
      </c>
      <c r="DY59" s="14">
        <f t="shared" ref="DY59" si="428">+DX59-DY21+DY52</f>
        <v>44899897.469999999</v>
      </c>
      <c r="DZ59" s="421">
        <f t="shared" ref="DZ59" si="429">+DY59-DZ21+DZ52</f>
        <v>44899897.469999999</v>
      </c>
      <c r="EA59" s="14">
        <f t="shared" ref="EA59" si="430">+DZ59-EA21+EA52</f>
        <v>44899897.469999999</v>
      </c>
      <c r="EB59" s="14">
        <f t="shared" ref="EB59" si="431">+EA59-EB21+EB52</f>
        <v>44899897.469999999</v>
      </c>
      <c r="EC59" s="14">
        <f t="shared" ref="EC59" si="432">+EB59-EC21+EC52</f>
        <v>44899897.469999999</v>
      </c>
      <c r="ED59" s="14">
        <f t="shared" ref="ED59" si="433">+EC59-ED21+ED52</f>
        <v>44899897.469999999</v>
      </c>
      <c r="EE59" s="14">
        <f t="shared" ref="EE59" si="434">+ED59-EE21+EE52</f>
        <v>44899897.469999999</v>
      </c>
      <c r="EF59" s="14">
        <f t="shared" ref="EF59" si="435">+EE59-EF21+EF52</f>
        <v>44899897.469999999</v>
      </c>
      <c r="EG59" s="14">
        <f t="shared" ref="EG59" si="436">+EF59-EG21+EG52</f>
        <v>44899897.469999999</v>
      </c>
      <c r="EH59" s="14">
        <f t="shared" ref="EH59" si="437">+EG59-EH21+EH52</f>
        <v>44899897.469999999</v>
      </c>
      <c r="EI59" s="14">
        <f t="shared" ref="EI59" si="438">+EH59-EI21+EI52</f>
        <v>44899897.469999999</v>
      </c>
      <c r="EJ59" s="230">
        <f t="shared" ref="EJ59" si="439">+EI59-EJ21+EJ52</f>
        <v>44899897.469999999</v>
      </c>
      <c r="EK59" s="14">
        <f t="shared" ref="EK59" si="440">+EJ59-EK21+EK52</f>
        <v>44899897.469999999</v>
      </c>
      <c r="EL59" s="14">
        <f t="shared" ref="EL59" si="441">+EK59-EL21+EL52</f>
        <v>44899897.469999999</v>
      </c>
      <c r="EM59" s="14">
        <f t="shared" ref="EM59" si="442">+EL59-EM21+EM52</f>
        <v>44899897.469999999</v>
      </c>
      <c r="EN59" s="14">
        <f t="shared" ref="EN59" si="443">+EM59-EN21+EN52</f>
        <v>44899897.469999999</v>
      </c>
      <c r="EO59" s="14">
        <f t="shared" ref="EO59" si="444">+EN59-EO21+EO52</f>
        <v>44899897.469999999</v>
      </c>
      <c r="EP59" s="14">
        <f t="shared" ref="EP59" si="445">+EO59-EP21+EP52</f>
        <v>44899897.469999999</v>
      </c>
      <c r="EQ59" s="14">
        <f t="shared" ref="EQ59" si="446">+EP59-EQ21+EQ52</f>
        <v>44899897.469999999</v>
      </c>
      <c r="ER59" s="14">
        <f t="shared" ref="ER59" si="447">+EQ59-ER21+ER52</f>
        <v>44899897.469999999</v>
      </c>
      <c r="ES59" s="14">
        <f t="shared" ref="ES59" si="448">+ER59-ES21+ES52</f>
        <v>44899897.469999999</v>
      </c>
      <c r="ET59" s="14">
        <f t="shared" ref="ET59" si="449">+ES59-ET21+ET52</f>
        <v>44899897.469999999</v>
      </c>
      <c r="EU59" s="14">
        <f t="shared" ref="EU59" si="450">+ET59-EU21+EU52</f>
        <v>44899897.469999999</v>
      </c>
      <c r="EV59" s="421">
        <f t="shared" ref="EV59" si="451">+EU59-EV21+EV52</f>
        <v>44899897.469999999</v>
      </c>
      <c r="EW59" s="14">
        <f t="shared" ref="EW59" si="452">+EV59-EW21+EW52</f>
        <v>44899897.469999999</v>
      </c>
      <c r="EX59" s="14">
        <f t="shared" ref="EX59" si="453">+EW59-EX21+EX52</f>
        <v>44899897.469999999</v>
      </c>
      <c r="EY59" s="14">
        <f t="shared" ref="EY59" si="454">+EX59-EY21+EY52</f>
        <v>44899897.469999999</v>
      </c>
      <c r="EZ59" s="14">
        <f t="shared" ref="EZ59" si="455">+EY59-EZ21+EZ52</f>
        <v>44899897.469999999</v>
      </c>
      <c r="FA59" s="14">
        <f t="shared" ref="FA59" si="456">+EZ59-FA21+FA52</f>
        <v>44899897.469999999</v>
      </c>
      <c r="FB59" s="14">
        <f t="shared" ref="FB59" si="457">+FA59-FB21+FB52</f>
        <v>44899897.469999999</v>
      </c>
      <c r="FC59" s="14">
        <f t="shared" ref="FC59" si="458">+FB59-FC21+FC52</f>
        <v>44899897.469999999</v>
      </c>
      <c r="FD59" s="14">
        <f t="shared" ref="FD59" si="459">+FC59-FD21+FD52</f>
        <v>44899897.469999999</v>
      </c>
      <c r="FE59" s="14">
        <f t="shared" ref="FE59" si="460">+FD59-FE21+FE52</f>
        <v>44899897.469999999</v>
      </c>
      <c r="FF59" s="230">
        <f t="shared" ref="FF59" si="461">+FE59-FF21+FF52</f>
        <v>44899897.469999999</v>
      </c>
      <c r="FG59" s="14">
        <f t="shared" ref="FG59" si="462">+FF59-FG21+FG52</f>
        <v>44899897.469999999</v>
      </c>
      <c r="FH59" s="14">
        <f t="shared" ref="FH59" si="463">+FG59-FH21+FH52</f>
        <v>44899897.469999999</v>
      </c>
      <c r="FI59" s="14">
        <f t="shared" ref="FI59" si="464">+FH59-FI21+FI52</f>
        <v>44899897.469999999</v>
      </c>
      <c r="FJ59" s="14">
        <f t="shared" ref="FJ59" si="465">+FI59-FJ21+FJ52</f>
        <v>44899897.469999999</v>
      </c>
      <c r="FK59" s="14">
        <f t="shared" ref="FK59" si="466">+FJ59-FK21+FK52</f>
        <v>44899897.469999999</v>
      </c>
      <c r="FL59" s="14">
        <f t="shared" ref="FL59" si="467">+FK59-FL21+FL52</f>
        <v>44899897.469999999</v>
      </c>
      <c r="FM59" s="14">
        <f t="shared" ref="FM59" si="468">+FL59-FM21+FM52</f>
        <v>44899897.469999999</v>
      </c>
      <c r="FN59" s="14">
        <f t="shared" ref="FN59" si="469">+FM59-FN21+FN52</f>
        <v>44899897.469999999</v>
      </c>
      <c r="FO59" s="14">
        <f t="shared" ref="FO59" si="470">+FN59-FO21+FO52</f>
        <v>44899897.469999999</v>
      </c>
      <c r="FP59" s="14">
        <f t="shared" ref="FP59" si="471">+FO59-FP21+FP52</f>
        <v>44899897.469999999</v>
      </c>
      <c r="FQ59" s="421">
        <f t="shared" ref="FQ59" si="472">+FP59-FQ21+FQ52</f>
        <v>44899897.469999999</v>
      </c>
      <c r="FR59" s="14">
        <f t="shared" ref="FR59" si="473">+FQ59-FR21+FR52</f>
        <v>44899897.469999999</v>
      </c>
      <c r="FS59" s="14">
        <f t="shared" ref="FS59" si="474">+FR59-FS21+FS52</f>
        <v>44899897.469999999</v>
      </c>
      <c r="FT59" s="14">
        <f t="shared" ref="FT59" si="475">+FS59-FT21+FT52</f>
        <v>44899897.469999999</v>
      </c>
      <c r="FU59" s="14">
        <f t="shared" ref="FU59" si="476">+FT59-FU21+FU52</f>
        <v>44899897.469999999</v>
      </c>
      <c r="FV59" s="14">
        <f t="shared" ref="FV59" si="477">+FU59-FV21+FV52</f>
        <v>44899897.469999999</v>
      </c>
      <c r="FW59" s="14">
        <f t="shared" ref="FW59" si="478">+FV59-FW21+FW52</f>
        <v>44899897.469999999</v>
      </c>
      <c r="FX59" s="14">
        <f t="shared" ref="FX59" si="479">+FW59-FX21+FX52</f>
        <v>44899897.469999999</v>
      </c>
      <c r="FY59" s="14">
        <f t="shared" ref="FY59" si="480">+FX59-FY21+FY52</f>
        <v>44899897.469999999</v>
      </c>
      <c r="FZ59" s="230">
        <f t="shared" ref="FZ59" si="481">+FY59-FZ21+FZ52</f>
        <v>44899897.469999999</v>
      </c>
      <c r="GA59" s="14">
        <f t="shared" ref="GA59" si="482">+FZ59-GA21+GA52</f>
        <v>44899897.469999999</v>
      </c>
      <c r="GB59" s="14">
        <f t="shared" ref="GB59" si="483">+GA59-GB21+GB52</f>
        <v>44899897.469999999</v>
      </c>
      <c r="GC59" s="14">
        <f t="shared" ref="GC59" si="484">+GB59-GC21+GC52</f>
        <v>44899897.469999999</v>
      </c>
      <c r="GD59" s="14">
        <f t="shared" ref="GD59" si="485">+GC59-GD21+GD52</f>
        <v>44899897.469999999</v>
      </c>
      <c r="GE59" s="14">
        <f t="shared" ref="GE59" si="486">+GD59-GE21+GE52</f>
        <v>44899897.469999999</v>
      </c>
      <c r="GF59" s="14">
        <f t="shared" ref="GF59" si="487">+GE59-GF21+GF52</f>
        <v>44899897.469999999</v>
      </c>
      <c r="GG59" s="14">
        <f t="shared" ref="GG59" si="488">+GF59-GG21+GG52</f>
        <v>44899897.469999999</v>
      </c>
      <c r="GH59" s="14">
        <f t="shared" ref="GH59" si="489">+GG59-GH21+GH52</f>
        <v>44899897.469999999</v>
      </c>
      <c r="GI59" s="14">
        <f t="shared" ref="GI59" si="490">+GH59-GI21+GI52</f>
        <v>44899897.469999999</v>
      </c>
      <c r="GJ59" s="14">
        <f t="shared" ref="GJ59" si="491">+GI59-GJ21+GJ52</f>
        <v>44899897.469999999</v>
      </c>
      <c r="GK59" s="421">
        <f t="shared" ref="GK59" si="492">+GJ59-GK21+GK52</f>
        <v>44899897.469999999</v>
      </c>
      <c r="GL59" s="14">
        <f t="shared" ref="GL59" si="493">+GK59-GL21+GL52</f>
        <v>44899897.469999999</v>
      </c>
      <c r="GM59" s="14">
        <f t="shared" ref="GM59" si="494">+GL59-GM21+GM52</f>
        <v>44899897.469999999</v>
      </c>
      <c r="GN59" s="14">
        <f t="shared" ref="GN59" si="495">+GM59-GN21+GN52</f>
        <v>44899897.469999999</v>
      </c>
      <c r="GO59" s="14">
        <f t="shared" ref="GO59" si="496">+GN59-GO21+GO52</f>
        <v>44899897.469999999</v>
      </c>
      <c r="GP59" s="14">
        <f t="shared" ref="GP59" si="497">+GO59-GP21+GP52</f>
        <v>44899897.469999999</v>
      </c>
      <c r="GQ59" s="14">
        <f t="shared" ref="GQ59" si="498">+GP59-GQ21+GQ52</f>
        <v>44899897.469999999</v>
      </c>
      <c r="GR59" s="14">
        <f t="shared" ref="GR59" si="499">+GQ59-GR21+GR52</f>
        <v>44899897.469999999</v>
      </c>
      <c r="GS59" s="14">
        <f t="shared" ref="GS59" si="500">+GR59-GS21+GS52</f>
        <v>44899897.469999999</v>
      </c>
      <c r="GT59" s="14">
        <f t="shared" ref="GT59" si="501">+GS59-GT21+GT52</f>
        <v>44899897.469999999</v>
      </c>
      <c r="GU59" s="230">
        <f t="shared" ref="GU59" si="502">+GT59-GU21+GU52</f>
        <v>44899897.469999999</v>
      </c>
      <c r="GV59" s="14">
        <f t="shared" ref="GV59" si="503">+GU59-GV21+GV52</f>
        <v>44899897.469999999</v>
      </c>
      <c r="GW59" s="14">
        <f t="shared" ref="GW59" si="504">+GV59-GW21+GW52</f>
        <v>44899897.469999999</v>
      </c>
      <c r="GX59" s="14">
        <f t="shared" ref="GX59" si="505">+GW59-GX21+GX52</f>
        <v>44899897.469999999</v>
      </c>
      <c r="GY59" s="14">
        <f t="shared" ref="GY59" si="506">+GX59-GY21+GY52</f>
        <v>44899897.469999999</v>
      </c>
      <c r="GZ59" s="14">
        <f t="shared" ref="GZ59" si="507">+GY59-GZ21+GZ52</f>
        <v>44899897.469999999</v>
      </c>
      <c r="HA59" s="14">
        <f t="shared" ref="HA59" si="508">+GZ59-HA21+HA52</f>
        <v>44899897.469999999</v>
      </c>
      <c r="HB59" s="14">
        <f t="shared" ref="HB59" si="509">+HA59-HB21+HB52</f>
        <v>44899897.469999999</v>
      </c>
      <c r="HC59" s="14">
        <f t="shared" ref="HC59" si="510">+HB59-HC21+HC52</f>
        <v>44899897.469999999</v>
      </c>
      <c r="HD59" s="14">
        <f t="shared" ref="HD59" si="511">+HC59-HD21+HD52</f>
        <v>44899897.469999999</v>
      </c>
      <c r="HE59" s="421">
        <f t="shared" ref="HE59" si="512">+HD59-HE21+HE52</f>
        <v>44899897.469999999</v>
      </c>
      <c r="HF59" s="14">
        <f t="shared" ref="HF59" si="513">+HE59-HF21+HF52</f>
        <v>44899897.469999999</v>
      </c>
      <c r="HG59" s="14">
        <f t="shared" ref="HG59" si="514">+HF59-HG21+HG52</f>
        <v>44899897.469999999</v>
      </c>
      <c r="HH59" s="14">
        <f t="shared" ref="HH59" si="515">+HG59-HH21+HH52</f>
        <v>44899897.469999999</v>
      </c>
      <c r="HI59" s="14">
        <f t="shared" ref="HI59" si="516">+HH59-HI21+HI52</f>
        <v>44899897.469999999</v>
      </c>
      <c r="HJ59" s="14">
        <f t="shared" ref="HJ59" si="517">+HI59-HJ21+HJ52</f>
        <v>44899897.469999999</v>
      </c>
      <c r="HK59" s="14">
        <f t="shared" ref="HK59" si="518">+HJ59-HK21+HK52</f>
        <v>44899897.469999999</v>
      </c>
      <c r="HL59" s="14">
        <f t="shared" ref="HL59" si="519">+HK59-HL21+HL52</f>
        <v>44899897.469999999</v>
      </c>
      <c r="HM59" s="14">
        <f t="shared" ref="HM59" si="520">+HL59-HM21+HM52</f>
        <v>44899897.469999999</v>
      </c>
      <c r="HN59" s="14">
        <f t="shared" ref="HN59" si="521">+HM59-HN21+HN52</f>
        <v>44899897.469999999</v>
      </c>
      <c r="HO59" s="14">
        <f t="shared" ref="HO59" si="522">+HN59-HO21+HO52</f>
        <v>44899897.469999999</v>
      </c>
      <c r="HP59" s="230">
        <f t="shared" ref="HP59" si="523">+HO59-HP21+HP52</f>
        <v>44899897.469999999</v>
      </c>
      <c r="HQ59" s="14">
        <f t="shared" ref="HQ59" si="524">+HP59-HQ21+HQ52</f>
        <v>44899897.469999999</v>
      </c>
      <c r="HR59" s="14">
        <f t="shared" ref="HR59" si="525">+HQ59-HR21+HR52</f>
        <v>44899897.469999999</v>
      </c>
      <c r="HS59" s="14">
        <f t="shared" ref="HS59" si="526">+HR59-HS21+HS52</f>
        <v>44899897.469999999</v>
      </c>
      <c r="HT59" s="14">
        <f t="shared" ref="HT59" si="527">+HS59-HT21+HT52</f>
        <v>44899897.469999999</v>
      </c>
      <c r="HU59" s="14">
        <f t="shared" ref="HU59" si="528">+HT59-HU21+HU52</f>
        <v>44899897.469999999</v>
      </c>
      <c r="HV59" s="14">
        <f t="shared" ref="HV59" si="529">+HU59-HV21+HV52</f>
        <v>44899897.469999999</v>
      </c>
      <c r="HW59" s="14">
        <f t="shared" ref="HW59" si="530">+HV59-HW21+HW52</f>
        <v>44899897.469999999</v>
      </c>
      <c r="HX59" s="14">
        <f t="shared" ref="HX59" si="531">+HW59-HX21+HX52</f>
        <v>44899897.469999999</v>
      </c>
      <c r="HY59" s="14">
        <f t="shared" ref="HY59" si="532">+HX59-HY21+HY52</f>
        <v>44899897.469999999</v>
      </c>
      <c r="HZ59" s="14">
        <f t="shared" ref="HZ59" si="533">+HY59-HZ21+HZ52</f>
        <v>44899897.469999999</v>
      </c>
      <c r="IA59" s="421">
        <f t="shared" ref="IA59" si="534">+HZ59-IA21+IA52</f>
        <v>44899897.469999999</v>
      </c>
      <c r="IB59" s="14">
        <f t="shared" ref="IB59" si="535">+IA59-IB21+IB52</f>
        <v>44899897.469999999</v>
      </c>
      <c r="IC59" s="14">
        <f t="shared" ref="IC59" si="536">+IB59-IC21+IC52</f>
        <v>44899897.469999999</v>
      </c>
      <c r="ID59" s="14">
        <f t="shared" ref="ID59" si="537">+IC59-ID21+ID52</f>
        <v>44899897.469999999</v>
      </c>
      <c r="IE59" s="14">
        <f t="shared" ref="IE59" si="538">+ID59-IE21+IE52</f>
        <v>44899897.469999999</v>
      </c>
      <c r="IF59" s="14">
        <f t="shared" ref="IF59" si="539">+IE59-IF21+IF52</f>
        <v>44899897.469999999</v>
      </c>
      <c r="IG59" s="14">
        <f t="shared" ref="IG59" si="540">+IF59-IG21+IG52</f>
        <v>44899897.469999999</v>
      </c>
      <c r="IH59" s="14">
        <f t="shared" ref="IH59" si="541">+IG59-IH21+IH52</f>
        <v>44899897.469999999</v>
      </c>
      <c r="II59" s="14">
        <f t="shared" ref="II59" si="542">+IH59-II21+II52</f>
        <v>44899897.469999999</v>
      </c>
      <c r="IJ59" s="14">
        <f t="shared" ref="IJ59" si="543">+II59-IJ21+IJ52</f>
        <v>44899897.469999999</v>
      </c>
      <c r="IK59" s="14">
        <f t="shared" ref="IK59" si="544">+IJ59-IK21+IK52</f>
        <v>44899897.469999999</v>
      </c>
      <c r="IL59" s="230">
        <f t="shared" ref="IL59" si="545">+IK59-IL21+IL52</f>
        <v>44899897.469999999</v>
      </c>
      <c r="IM59" s="14">
        <f t="shared" ref="IM59" si="546">+IL59-IM21+IM52</f>
        <v>44899897.469999999</v>
      </c>
      <c r="IN59" s="14">
        <f t="shared" ref="IN59" si="547">+IM59-IN21+IN52</f>
        <v>44899897.469999999</v>
      </c>
      <c r="IO59" s="14">
        <f t="shared" ref="IO59" si="548">+IN59-IO21+IO52</f>
        <v>44899897.469999999</v>
      </c>
      <c r="IP59" s="14">
        <f t="shared" ref="IP59" si="549">+IO59-IP21+IP52</f>
        <v>44899897.469999999</v>
      </c>
      <c r="IQ59" s="14">
        <f t="shared" ref="IQ59" si="550">+IP59-IQ21+IQ52</f>
        <v>44899897.469999999</v>
      </c>
      <c r="IR59" s="14">
        <f t="shared" ref="IR59" si="551">+IQ59-IR21+IR52</f>
        <v>44899897.469999999</v>
      </c>
      <c r="IS59" s="14">
        <f t="shared" ref="IS59" si="552">+IR59-IS21+IS52</f>
        <v>44899897.469999999</v>
      </c>
      <c r="IT59" s="14">
        <f t="shared" ref="IT59" si="553">+IS59-IT21+IT52</f>
        <v>44899897.469999999</v>
      </c>
      <c r="IU59" s="14">
        <f t="shared" ref="IU59" si="554">+IT59-IU21+IU52</f>
        <v>44899897.469999999</v>
      </c>
      <c r="IV59" s="14">
        <f t="shared" ref="IV59" si="555">+IU59-IV21+IV52</f>
        <v>44899897.469999999</v>
      </c>
      <c r="IW59" s="877"/>
      <c r="IX59" s="14">
        <f t="shared" ref="IX59" si="556">+IV59-IX21+IX52</f>
        <v>44899897.469999999</v>
      </c>
      <c r="IY59" s="14">
        <f t="shared" ref="IY59" si="557">+IX59-IY21+IY52</f>
        <v>44899897.469999999</v>
      </c>
      <c r="IZ59" s="14">
        <f t="shared" ref="IZ59" si="558">+IY59-IZ21+IZ52</f>
        <v>44899897.469999999</v>
      </c>
      <c r="JA59" s="14">
        <f t="shared" ref="JA59" si="559">+IZ59-JA21+JA52</f>
        <v>44899897.469999999</v>
      </c>
      <c r="JB59" s="14">
        <f t="shared" ref="JB59" si="560">+JA59-JB21+JB52</f>
        <v>44899897.469999999</v>
      </c>
      <c r="JC59" s="14">
        <f t="shared" ref="JC59" si="561">+JB59-JC21+JC52</f>
        <v>44899897.469999999</v>
      </c>
      <c r="JD59" s="14">
        <f t="shared" ref="JD59" si="562">+JC59-JD21+JD52</f>
        <v>44899897.469999999</v>
      </c>
      <c r="JE59" s="14">
        <f t="shared" ref="JE59" si="563">+JD59-JE21+JE52</f>
        <v>44899897.469999999</v>
      </c>
      <c r="JF59" s="14">
        <f t="shared" ref="JF59" si="564">+JE59-JF21+JF52</f>
        <v>44899897.469999999</v>
      </c>
      <c r="JG59" s="14">
        <f t="shared" ref="JG59" si="565">+JF59-JG21+JG52</f>
        <v>44899897.469999999</v>
      </c>
      <c r="JH59" s="14">
        <f t="shared" ref="JH59" si="566">+JG59-JH21+JH52</f>
        <v>44899897.469999999</v>
      </c>
      <c r="JI59" s="808"/>
      <c r="JJ59" s="14" t="e">
        <f>+#REF!-JJ21+JJ52</f>
        <v>#REF!</v>
      </c>
      <c r="JK59" s="14" t="e">
        <f>+JJ59-JK21+JK52</f>
        <v>#REF!</v>
      </c>
    </row>
    <row r="60" spans="1:271" ht="14.1" customHeight="1">
      <c r="A60" s="14" t="s">
        <v>69</v>
      </c>
      <c r="B60" s="14"/>
      <c r="C60" s="794">
        <v>0</v>
      </c>
      <c r="D60" s="14">
        <f t="shared" ref="D60:I60" si="567">+C60</f>
        <v>0</v>
      </c>
      <c r="E60" s="14">
        <f t="shared" si="567"/>
        <v>0</v>
      </c>
      <c r="F60" s="14">
        <f t="shared" si="567"/>
        <v>0</v>
      </c>
      <c r="G60" s="14">
        <f t="shared" si="567"/>
        <v>0</v>
      </c>
      <c r="H60" s="14">
        <f t="shared" si="567"/>
        <v>0</v>
      </c>
      <c r="I60" s="14">
        <f t="shared" si="567"/>
        <v>0</v>
      </c>
      <c r="J60" s="14">
        <f t="shared" ref="J60:V60" si="568">+I60</f>
        <v>0</v>
      </c>
      <c r="K60" s="14">
        <f t="shared" si="568"/>
        <v>0</v>
      </c>
      <c r="L60" s="14">
        <f t="shared" si="568"/>
        <v>0</v>
      </c>
      <c r="M60" s="14">
        <f t="shared" si="568"/>
        <v>0</v>
      </c>
      <c r="N60" s="230">
        <f t="shared" si="568"/>
        <v>0</v>
      </c>
      <c r="O60" s="14">
        <f t="shared" si="568"/>
        <v>0</v>
      </c>
      <c r="P60" s="14">
        <f t="shared" si="568"/>
        <v>0</v>
      </c>
      <c r="Q60" s="14">
        <f t="shared" si="568"/>
        <v>0</v>
      </c>
      <c r="R60" s="14">
        <f t="shared" si="568"/>
        <v>0</v>
      </c>
      <c r="S60" s="14">
        <f t="shared" si="568"/>
        <v>0</v>
      </c>
      <c r="T60" s="14">
        <f t="shared" si="568"/>
        <v>0</v>
      </c>
      <c r="U60" s="14">
        <f t="shared" si="568"/>
        <v>0</v>
      </c>
      <c r="V60" s="421">
        <f t="shared" si="568"/>
        <v>0</v>
      </c>
      <c r="W60" s="14">
        <f t="shared" ref="W60" si="569">+V60</f>
        <v>0</v>
      </c>
      <c r="X60" s="14">
        <f t="shared" ref="X60" si="570">+W60</f>
        <v>0</v>
      </c>
      <c r="Y60" s="14">
        <f t="shared" ref="Y60" si="571">+X60</f>
        <v>0</v>
      </c>
      <c r="Z60" s="14">
        <f t="shared" ref="Z60" si="572">+Y60</f>
        <v>0</v>
      </c>
      <c r="AA60" s="14">
        <f t="shared" ref="AA60" si="573">+Z60</f>
        <v>0</v>
      </c>
      <c r="AB60" s="14">
        <f t="shared" ref="AB60" si="574">+AA60</f>
        <v>0</v>
      </c>
      <c r="AC60" s="14">
        <f t="shared" ref="AC60" si="575">+AB60</f>
        <v>0</v>
      </c>
      <c r="AD60" s="14">
        <f t="shared" ref="AD60" si="576">+AC60</f>
        <v>0</v>
      </c>
      <c r="AE60" s="14">
        <f t="shared" ref="AE60" si="577">+AD60</f>
        <v>0</v>
      </c>
      <c r="AF60" s="14">
        <f t="shared" ref="AF60" si="578">+AE60</f>
        <v>0</v>
      </c>
      <c r="AG60" s="230">
        <f t="shared" ref="AG60" si="579">+AF60</f>
        <v>0</v>
      </c>
      <c r="AH60" s="14">
        <f t="shared" ref="AH60" si="580">+AG60</f>
        <v>0</v>
      </c>
      <c r="AI60" s="14">
        <f t="shared" ref="AI60" si="581">+AH60</f>
        <v>0</v>
      </c>
      <c r="AJ60" s="14">
        <f t="shared" ref="AJ60" si="582">+AI60</f>
        <v>0</v>
      </c>
      <c r="AK60" s="14">
        <f t="shared" ref="AK60" si="583">+AJ60</f>
        <v>0</v>
      </c>
      <c r="AL60" s="14">
        <f t="shared" ref="AL60" si="584">+AK60</f>
        <v>0</v>
      </c>
      <c r="AM60" s="14">
        <f t="shared" ref="AM60" si="585">+AL60</f>
        <v>0</v>
      </c>
      <c r="AN60" s="14">
        <f t="shared" ref="AN60" si="586">+AM60</f>
        <v>0</v>
      </c>
      <c r="AO60" s="582">
        <f t="shared" ref="AO60" si="587">+AN60</f>
        <v>0</v>
      </c>
      <c r="AP60" s="14">
        <f t="shared" ref="AP60" si="588">+AO60</f>
        <v>0</v>
      </c>
      <c r="AQ60" s="14">
        <f t="shared" ref="AQ60" si="589">+AP60</f>
        <v>0</v>
      </c>
      <c r="AR60" s="14">
        <f t="shared" ref="AR60" si="590">+AQ60</f>
        <v>0</v>
      </c>
      <c r="AS60" s="421">
        <f t="shared" ref="AS60" si="591">+AR60</f>
        <v>0</v>
      </c>
      <c r="AT60" s="14">
        <f t="shared" ref="AT60" si="592">+AS60</f>
        <v>0</v>
      </c>
      <c r="AU60" s="14">
        <f t="shared" ref="AU60" si="593">+AT60</f>
        <v>0</v>
      </c>
      <c r="AV60" s="14">
        <f t="shared" ref="AV60" si="594">+AU60</f>
        <v>0</v>
      </c>
      <c r="AW60" s="14">
        <f t="shared" ref="AW60" si="595">+AV60</f>
        <v>0</v>
      </c>
      <c r="AX60" s="14">
        <f t="shared" ref="AX60" si="596">+AW60</f>
        <v>0</v>
      </c>
      <c r="AY60" s="14">
        <f t="shared" ref="AY60" si="597">+AX60</f>
        <v>0</v>
      </c>
      <c r="AZ60" s="14">
        <f t="shared" ref="AZ60" si="598">+AY60</f>
        <v>0</v>
      </c>
      <c r="BA60" s="14">
        <f t="shared" ref="BA60" si="599">+AZ60</f>
        <v>0</v>
      </c>
      <c r="BB60" s="14">
        <f t="shared" ref="BB60" si="600">+BA60</f>
        <v>0</v>
      </c>
      <c r="BC60" s="14">
        <f t="shared" ref="BC60" si="601">+BB60</f>
        <v>0</v>
      </c>
      <c r="BD60" s="230">
        <f t="shared" ref="BD60" si="602">+BC60</f>
        <v>0</v>
      </c>
      <c r="BE60" s="14">
        <f t="shared" ref="BE60" si="603">+BD60</f>
        <v>0</v>
      </c>
      <c r="BF60" s="14">
        <f t="shared" ref="BF60" si="604">+BE60</f>
        <v>0</v>
      </c>
      <c r="BG60" s="14">
        <f t="shared" ref="BG60" si="605">+BF60</f>
        <v>0</v>
      </c>
      <c r="BH60" s="14">
        <f t="shared" ref="BH60" si="606">+BG60</f>
        <v>0</v>
      </c>
      <c r="BI60" s="14">
        <f t="shared" ref="BI60" si="607">+BH60</f>
        <v>0</v>
      </c>
      <c r="BJ60" s="14">
        <v>0</v>
      </c>
      <c r="BK60" s="14">
        <f t="shared" ref="BK60" si="608">+BJ60</f>
        <v>0</v>
      </c>
      <c r="BL60" s="14">
        <f t="shared" ref="BL60" si="609">+BK60</f>
        <v>0</v>
      </c>
      <c r="BM60" s="14">
        <f t="shared" ref="BM60" si="610">+BL60</f>
        <v>0</v>
      </c>
      <c r="BN60" s="14">
        <f t="shared" ref="BN60" si="611">+BM60</f>
        <v>0</v>
      </c>
      <c r="BO60" s="900">
        <f t="shared" ref="BO60:BP60" si="612">+BN60</f>
        <v>0</v>
      </c>
      <c r="BP60" s="14">
        <f t="shared" si="612"/>
        <v>0</v>
      </c>
      <c r="BQ60" s="14">
        <f t="shared" ref="BQ60" si="613">+BP60</f>
        <v>0</v>
      </c>
      <c r="BR60" s="14">
        <f t="shared" ref="BR60" si="614">+BQ60</f>
        <v>0</v>
      </c>
      <c r="BS60" s="14">
        <f t="shared" ref="BS60" si="615">+BR60</f>
        <v>0</v>
      </c>
      <c r="BT60" s="14">
        <f t="shared" ref="BT60" si="616">+BS60</f>
        <v>0</v>
      </c>
      <c r="BU60" s="14">
        <f t="shared" ref="BU60" si="617">+BT60</f>
        <v>0</v>
      </c>
      <c r="BV60" s="14">
        <f t="shared" ref="BV60" si="618">+BU60</f>
        <v>0</v>
      </c>
      <c r="BW60" s="14">
        <f t="shared" ref="BW60" si="619">+BV60</f>
        <v>0</v>
      </c>
      <c r="BX60" s="230">
        <f t="shared" ref="BX60" si="620">+BW60</f>
        <v>0</v>
      </c>
      <c r="BY60" s="14">
        <f t="shared" ref="BY60" si="621">+BX60</f>
        <v>0</v>
      </c>
      <c r="BZ60" s="14">
        <f t="shared" ref="BZ60" si="622">+BY60</f>
        <v>0</v>
      </c>
      <c r="CA60" s="14">
        <f t="shared" ref="CA60" si="623">+BZ60</f>
        <v>0</v>
      </c>
      <c r="CB60" s="14">
        <f t="shared" ref="CB60" si="624">+CA60</f>
        <v>0</v>
      </c>
      <c r="CC60" s="14">
        <f t="shared" ref="CC60" si="625">+CB60</f>
        <v>0</v>
      </c>
      <c r="CD60" s="14">
        <f t="shared" ref="CD60" si="626">+CC60</f>
        <v>0</v>
      </c>
      <c r="CE60" s="14">
        <f t="shared" ref="CE60" si="627">+CD60</f>
        <v>0</v>
      </c>
      <c r="CF60" s="14">
        <f t="shared" ref="CF60" si="628">+CE60</f>
        <v>0</v>
      </c>
      <c r="CG60" s="14">
        <f t="shared" ref="CG60" si="629">+CF60</f>
        <v>0</v>
      </c>
      <c r="CH60" s="14">
        <f t="shared" ref="CH60" si="630">+CG60</f>
        <v>0</v>
      </c>
      <c r="CI60" s="901">
        <f>(+CH66-CH6)*$BO$71</f>
        <v>0</v>
      </c>
      <c r="CJ60" s="14">
        <f t="shared" ref="CJ60" si="631">+CI60</f>
        <v>0</v>
      </c>
      <c r="CK60" s="14">
        <f t="shared" ref="CK60" si="632">+CJ60</f>
        <v>0</v>
      </c>
      <c r="CL60" s="14">
        <f t="shared" ref="CL60" si="633">+CK60</f>
        <v>0</v>
      </c>
      <c r="CM60" s="14">
        <f t="shared" ref="CM60" si="634">+CL60</f>
        <v>0</v>
      </c>
      <c r="CN60" s="14">
        <f t="shared" ref="CN60" si="635">+CM60</f>
        <v>0</v>
      </c>
      <c r="CO60" s="14">
        <f t="shared" ref="CO60" si="636">+CN60</f>
        <v>0</v>
      </c>
      <c r="CP60" s="14">
        <f t="shared" ref="CP60" si="637">+CO60</f>
        <v>0</v>
      </c>
      <c r="CQ60" s="14">
        <f t="shared" ref="CQ60" si="638">+CP60</f>
        <v>0</v>
      </c>
      <c r="CR60" s="14">
        <f t="shared" ref="CR60" si="639">+CQ60</f>
        <v>0</v>
      </c>
      <c r="CS60" s="14">
        <f t="shared" ref="CS60" si="640">+CR60</f>
        <v>0</v>
      </c>
      <c r="CT60" s="230">
        <f t="shared" ref="CT60" si="641">+CS60</f>
        <v>0</v>
      </c>
      <c r="CU60" s="14">
        <f t="shared" ref="CU60" si="642">+CT60</f>
        <v>0</v>
      </c>
      <c r="CV60" s="14">
        <f t="shared" ref="CV60" si="643">+CU60</f>
        <v>0</v>
      </c>
      <c r="CW60" s="14">
        <f t="shared" ref="CW60" si="644">+CV60</f>
        <v>0</v>
      </c>
      <c r="CX60" s="14">
        <f t="shared" ref="CX60" si="645">+CW60</f>
        <v>0</v>
      </c>
      <c r="CY60" s="14">
        <f t="shared" ref="CY60" si="646">+CX60</f>
        <v>0</v>
      </c>
      <c r="CZ60" s="14">
        <f t="shared" ref="CZ60" si="647">+CY60</f>
        <v>0</v>
      </c>
      <c r="DA60" s="14">
        <f t="shared" ref="DA60" si="648">+CZ60</f>
        <v>0</v>
      </c>
      <c r="DB60" s="14">
        <f t="shared" ref="DB60" si="649">+DA60</f>
        <v>0</v>
      </c>
      <c r="DC60" s="14">
        <f t="shared" ref="DC60" si="650">+DB60</f>
        <v>0</v>
      </c>
      <c r="DD60" s="14">
        <f t="shared" ref="DD60" si="651">+DC60</f>
        <v>0</v>
      </c>
      <c r="DE60" s="901">
        <f>(+DD66-DD6)*$BO$71</f>
        <v>0</v>
      </c>
      <c r="DF60" s="14">
        <f t="shared" ref="DF60" si="652">+DE60</f>
        <v>0</v>
      </c>
      <c r="DG60" s="14">
        <f t="shared" ref="DG60" si="653">+DF60</f>
        <v>0</v>
      </c>
      <c r="DH60" s="14">
        <f t="shared" ref="DH60" si="654">+DG60</f>
        <v>0</v>
      </c>
      <c r="DI60" s="14">
        <f t="shared" ref="DI60" si="655">+DH60</f>
        <v>0</v>
      </c>
      <c r="DJ60" s="14">
        <f t="shared" ref="DJ60" si="656">+DI60</f>
        <v>0</v>
      </c>
      <c r="DK60" s="14">
        <f t="shared" ref="DK60" si="657">+DJ60</f>
        <v>0</v>
      </c>
      <c r="DL60" s="14">
        <f t="shared" ref="DL60" si="658">+DK60</f>
        <v>0</v>
      </c>
      <c r="DM60" s="14">
        <f t="shared" ref="DM60" si="659">+DL60</f>
        <v>0</v>
      </c>
      <c r="DN60" s="14">
        <f t="shared" ref="DN60" si="660">+DM60</f>
        <v>0</v>
      </c>
      <c r="DO60" s="230">
        <f t="shared" ref="DO60" si="661">+DN60</f>
        <v>0</v>
      </c>
      <c r="DP60" s="14">
        <f t="shared" ref="DP60" si="662">+DO60</f>
        <v>0</v>
      </c>
      <c r="DQ60" s="14">
        <f t="shared" ref="DQ60" si="663">+DP60</f>
        <v>0</v>
      </c>
      <c r="DR60" s="14">
        <f t="shared" ref="DR60" si="664">+DQ60</f>
        <v>0</v>
      </c>
      <c r="DS60" s="14">
        <f t="shared" ref="DS60" si="665">+DR60</f>
        <v>0</v>
      </c>
      <c r="DT60" s="14">
        <f t="shared" ref="DT60" si="666">+DS60</f>
        <v>0</v>
      </c>
      <c r="DU60" s="14">
        <f t="shared" ref="DU60" si="667">+DT60</f>
        <v>0</v>
      </c>
      <c r="DV60" s="14">
        <f t="shared" ref="DV60" si="668">+DU60</f>
        <v>0</v>
      </c>
      <c r="DW60" s="14">
        <f t="shared" ref="DW60" si="669">+DV60</f>
        <v>0</v>
      </c>
      <c r="DX60" s="14">
        <f t="shared" ref="DX60" si="670">+DW60</f>
        <v>0</v>
      </c>
      <c r="DY60" s="14">
        <f t="shared" ref="DY60" si="671">+DX60</f>
        <v>0</v>
      </c>
      <c r="DZ60" s="901">
        <f>(+DY66-DY6)*$BO$71</f>
        <v>0</v>
      </c>
      <c r="EA60" s="14">
        <f t="shared" ref="EA60" si="672">+DZ60</f>
        <v>0</v>
      </c>
      <c r="EB60" s="14">
        <f t="shared" ref="EB60" si="673">+EA60</f>
        <v>0</v>
      </c>
      <c r="EC60" s="14">
        <f t="shared" ref="EC60" si="674">+EB60</f>
        <v>0</v>
      </c>
      <c r="ED60" s="14">
        <f t="shared" ref="ED60" si="675">+EC60</f>
        <v>0</v>
      </c>
      <c r="EE60" s="14">
        <f t="shared" ref="EE60" si="676">+ED60</f>
        <v>0</v>
      </c>
      <c r="EF60" s="14">
        <f t="shared" ref="EF60" si="677">+EE60</f>
        <v>0</v>
      </c>
      <c r="EG60" s="14">
        <f t="shared" ref="EG60" si="678">+EF60</f>
        <v>0</v>
      </c>
      <c r="EH60" s="14">
        <f t="shared" ref="EH60" si="679">+EG60</f>
        <v>0</v>
      </c>
      <c r="EI60" s="14">
        <f t="shared" ref="EI60" si="680">+EH60</f>
        <v>0</v>
      </c>
      <c r="EJ60" s="230">
        <f t="shared" ref="EJ60" si="681">+EI60</f>
        <v>0</v>
      </c>
      <c r="EK60" s="14">
        <f t="shared" ref="EK60" si="682">+EJ60</f>
        <v>0</v>
      </c>
      <c r="EL60" s="14">
        <f t="shared" ref="EL60" si="683">+EK60</f>
        <v>0</v>
      </c>
      <c r="EM60" s="14">
        <f t="shared" ref="EM60" si="684">+EL60</f>
        <v>0</v>
      </c>
      <c r="EN60" s="14">
        <f t="shared" ref="EN60" si="685">+EM60</f>
        <v>0</v>
      </c>
      <c r="EO60" s="14">
        <f t="shared" ref="EO60" si="686">+EN60</f>
        <v>0</v>
      </c>
      <c r="EP60" s="14">
        <f t="shared" ref="EP60" si="687">+EO60</f>
        <v>0</v>
      </c>
      <c r="EQ60" s="14">
        <f t="shared" ref="EQ60" si="688">+EP60</f>
        <v>0</v>
      </c>
      <c r="ER60" s="14">
        <f t="shared" ref="ER60" si="689">+EQ60</f>
        <v>0</v>
      </c>
      <c r="ES60" s="14">
        <f t="shared" ref="ES60" si="690">+ER60</f>
        <v>0</v>
      </c>
      <c r="ET60" s="14">
        <f t="shared" ref="ET60" si="691">+ES60</f>
        <v>0</v>
      </c>
      <c r="EU60" s="14">
        <f t="shared" ref="EU60" si="692">+ET60</f>
        <v>0</v>
      </c>
      <c r="EV60" s="901">
        <f>+EU60</f>
        <v>0</v>
      </c>
      <c r="EW60" s="14">
        <f t="shared" ref="EW60" si="693">+EV60</f>
        <v>0</v>
      </c>
      <c r="EX60" s="14">
        <f t="shared" ref="EX60" si="694">+EW60</f>
        <v>0</v>
      </c>
      <c r="EY60" s="14">
        <f t="shared" ref="EY60" si="695">+EX60</f>
        <v>0</v>
      </c>
      <c r="EZ60" s="14">
        <f t="shared" ref="EZ60" si="696">+EY60</f>
        <v>0</v>
      </c>
      <c r="FA60" s="14">
        <f t="shared" ref="FA60" si="697">+EZ60</f>
        <v>0</v>
      </c>
      <c r="FB60" s="14">
        <f t="shared" ref="FB60" si="698">+FA60</f>
        <v>0</v>
      </c>
      <c r="FC60" s="14">
        <f t="shared" ref="FC60" si="699">+FB60</f>
        <v>0</v>
      </c>
      <c r="FD60" s="14">
        <f t="shared" ref="FD60" si="700">+FC60</f>
        <v>0</v>
      </c>
      <c r="FE60" s="14">
        <f t="shared" ref="FE60" si="701">+FD60</f>
        <v>0</v>
      </c>
      <c r="FF60" s="495">
        <f t="shared" ref="FF60" si="702">+FE60</f>
        <v>0</v>
      </c>
      <c r="FG60" s="14">
        <f t="shared" ref="FG60" si="703">+FF60</f>
        <v>0</v>
      </c>
      <c r="FH60" s="14">
        <f t="shared" ref="FH60" si="704">+FG60</f>
        <v>0</v>
      </c>
      <c r="FI60" s="14">
        <f t="shared" ref="FI60" si="705">+FH60</f>
        <v>0</v>
      </c>
      <c r="FJ60" s="14">
        <f t="shared" ref="FJ60" si="706">+FI60</f>
        <v>0</v>
      </c>
      <c r="FK60" s="14">
        <f t="shared" ref="FK60" si="707">+FJ60</f>
        <v>0</v>
      </c>
      <c r="FL60" s="14">
        <f t="shared" ref="FL60" si="708">+FK60</f>
        <v>0</v>
      </c>
      <c r="FM60" s="14">
        <f t="shared" ref="FM60" si="709">+FL60</f>
        <v>0</v>
      </c>
      <c r="FN60" s="14">
        <f t="shared" ref="FN60" si="710">+FM60</f>
        <v>0</v>
      </c>
      <c r="FO60" s="14">
        <f t="shared" ref="FO60" si="711">+FN60</f>
        <v>0</v>
      </c>
      <c r="FP60" s="14">
        <f t="shared" ref="FP60" si="712">+FO60</f>
        <v>0</v>
      </c>
      <c r="FQ60" s="421">
        <f t="shared" ref="FQ60" si="713">+FP60</f>
        <v>0</v>
      </c>
      <c r="FR60" s="14">
        <f t="shared" ref="FR60" si="714">+FQ60</f>
        <v>0</v>
      </c>
      <c r="FS60" s="14">
        <f t="shared" ref="FS60" si="715">+FR60</f>
        <v>0</v>
      </c>
      <c r="FT60" s="14">
        <f t="shared" ref="FT60" si="716">+FS60</f>
        <v>0</v>
      </c>
      <c r="FU60" s="14">
        <f t="shared" ref="FU60" si="717">+FT60</f>
        <v>0</v>
      </c>
      <c r="FV60" s="14">
        <f t="shared" ref="FV60" si="718">+FU60</f>
        <v>0</v>
      </c>
      <c r="FW60" s="14">
        <f t="shared" ref="FW60" si="719">+FV60</f>
        <v>0</v>
      </c>
      <c r="FX60" s="14">
        <f t="shared" ref="FX60" si="720">+FW60</f>
        <v>0</v>
      </c>
      <c r="FY60" s="14">
        <f t="shared" ref="FY60" si="721">+FX60</f>
        <v>0</v>
      </c>
      <c r="FZ60" s="230">
        <f t="shared" ref="FZ60" si="722">+FY60</f>
        <v>0</v>
      </c>
      <c r="GA60" s="14">
        <f t="shared" ref="GA60" si="723">+FZ60</f>
        <v>0</v>
      </c>
      <c r="GB60" s="14">
        <f t="shared" ref="GB60" si="724">+GA60</f>
        <v>0</v>
      </c>
      <c r="GC60" s="14">
        <f t="shared" ref="GC60" si="725">+GB60</f>
        <v>0</v>
      </c>
      <c r="GD60" s="14">
        <f t="shared" ref="GD60" si="726">+GC60</f>
        <v>0</v>
      </c>
      <c r="GE60" s="14">
        <f t="shared" ref="GE60" si="727">+GD60</f>
        <v>0</v>
      </c>
      <c r="GF60" s="14">
        <f t="shared" ref="GF60" si="728">+GE60</f>
        <v>0</v>
      </c>
      <c r="GG60" s="14">
        <f t="shared" ref="GG60" si="729">+GF60</f>
        <v>0</v>
      </c>
      <c r="GH60" s="14">
        <f t="shared" ref="GH60" si="730">+GG60</f>
        <v>0</v>
      </c>
      <c r="GI60" s="14">
        <f t="shared" ref="GI60" si="731">+GH60</f>
        <v>0</v>
      </c>
      <c r="GJ60" s="14">
        <f t="shared" ref="GJ60" si="732">+GI60</f>
        <v>0</v>
      </c>
      <c r="GK60" s="421">
        <f t="shared" ref="GK60" si="733">+GJ60</f>
        <v>0</v>
      </c>
      <c r="GL60" s="14">
        <f t="shared" ref="GL60" si="734">+GK60</f>
        <v>0</v>
      </c>
      <c r="GM60" s="14">
        <f t="shared" ref="GM60" si="735">+GL60</f>
        <v>0</v>
      </c>
      <c r="GN60" s="14">
        <f t="shared" ref="GN60" si="736">+GM60</f>
        <v>0</v>
      </c>
      <c r="GO60" s="14">
        <f t="shared" ref="GO60" si="737">+GN60</f>
        <v>0</v>
      </c>
      <c r="GP60" s="14">
        <f t="shared" ref="GP60" si="738">+GO60</f>
        <v>0</v>
      </c>
      <c r="GQ60" s="14">
        <f t="shared" ref="GQ60" si="739">+GP60</f>
        <v>0</v>
      </c>
      <c r="GR60" s="14">
        <f t="shared" ref="GR60" si="740">+GQ60</f>
        <v>0</v>
      </c>
      <c r="GS60" s="14">
        <f t="shared" ref="GS60" si="741">+GR60</f>
        <v>0</v>
      </c>
      <c r="GT60" s="14">
        <f t="shared" ref="GT60" si="742">+GS60</f>
        <v>0</v>
      </c>
      <c r="GU60" s="230">
        <f t="shared" ref="GU60" si="743">+GT60</f>
        <v>0</v>
      </c>
      <c r="GV60" s="14">
        <f t="shared" ref="GV60" si="744">+GU60</f>
        <v>0</v>
      </c>
      <c r="GW60" s="14">
        <f t="shared" ref="GW60" si="745">+GV60</f>
        <v>0</v>
      </c>
      <c r="GX60" s="14">
        <f t="shared" ref="GX60" si="746">+GW60</f>
        <v>0</v>
      </c>
      <c r="GY60" s="14">
        <f t="shared" ref="GY60" si="747">+GX60</f>
        <v>0</v>
      </c>
      <c r="GZ60" s="14">
        <f t="shared" ref="GZ60" si="748">+GY60</f>
        <v>0</v>
      </c>
      <c r="HA60" s="14">
        <f t="shared" ref="HA60" si="749">+GZ60</f>
        <v>0</v>
      </c>
      <c r="HB60" s="14">
        <f t="shared" ref="HB60" si="750">+HA60</f>
        <v>0</v>
      </c>
      <c r="HC60" s="14">
        <f t="shared" ref="HC60" si="751">+HB60</f>
        <v>0</v>
      </c>
      <c r="HD60" s="14">
        <f t="shared" ref="HD60" si="752">+HC60</f>
        <v>0</v>
      </c>
      <c r="HE60" s="421">
        <f t="shared" ref="HE60" si="753">+HD60</f>
        <v>0</v>
      </c>
      <c r="HF60" s="14">
        <f t="shared" ref="HF60" si="754">+HE60</f>
        <v>0</v>
      </c>
      <c r="HG60" s="14">
        <f t="shared" ref="HG60" si="755">+HF60</f>
        <v>0</v>
      </c>
      <c r="HH60" s="14">
        <f t="shared" ref="HH60" si="756">+HG60</f>
        <v>0</v>
      </c>
      <c r="HI60" s="14">
        <f t="shared" ref="HI60" si="757">+HH60</f>
        <v>0</v>
      </c>
      <c r="HJ60" s="14">
        <f t="shared" ref="HJ60" si="758">+HI60</f>
        <v>0</v>
      </c>
      <c r="HK60" s="14">
        <f t="shared" ref="HK60" si="759">+HJ60</f>
        <v>0</v>
      </c>
      <c r="HL60" s="14">
        <f t="shared" ref="HL60" si="760">+HK60</f>
        <v>0</v>
      </c>
      <c r="HM60" s="14">
        <f t="shared" ref="HM60" si="761">+HL60</f>
        <v>0</v>
      </c>
      <c r="HN60" s="14">
        <f t="shared" ref="HN60" si="762">+HM60</f>
        <v>0</v>
      </c>
      <c r="HO60" s="14">
        <f t="shared" ref="HO60" si="763">+HN60</f>
        <v>0</v>
      </c>
      <c r="HP60" s="230">
        <f t="shared" ref="HP60" si="764">+HO60</f>
        <v>0</v>
      </c>
      <c r="HQ60" s="14">
        <f t="shared" ref="HQ60" si="765">+HP60</f>
        <v>0</v>
      </c>
      <c r="HR60" s="14">
        <f t="shared" ref="HR60" si="766">+HQ60</f>
        <v>0</v>
      </c>
      <c r="HS60" s="14">
        <f t="shared" ref="HS60" si="767">+HR60</f>
        <v>0</v>
      </c>
      <c r="HT60" s="14">
        <f t="shared" ref="HT60" si="768">+HS60</f>
        <v>0</v>
      </c>
      <c r="HU60" s="14">
        <f t="shared" ref="HU60" si="769">+HT60</f>
        <v>0</v>
      </c>
      <c r="HV60" s="14">
        <f t="shared" ref="HV60" si="770">+HU60</f>
        <v>0</v>
      </c>
      <c r="HW60" s="14">
        <f t="shared" ref="HW60" si="771">+HV60</f>
        <v>0</v>
      </c>
      <c r="HX60" s="14">
        <f t="shared" ref="HX60" si="772">+HW60</f>
        <v>0</v>
      </c>
      <c r="HY60" s="14">
        <f t="shared" ref="HY60" si="773">+HX60</f>
        <v>0</v>
      </c>
      <c r="HZ60" s="14">
        <f t="shared" ref="HZ60" si="774">+HY60</f>
        <v>0</v>
      </c>
      <c r="IA60" s="421">
        <f t="shared" ref="IA60" si="775">+HZ60</f>
        <v>0</v>
      </c>
      <c r="IB60" s="14">
        <f t="shared" ref="IB60" si="776">+IA60</f>
        <v>0</v>
      </c>
      <c r="IC60" s="14">
        <f t="shared" ref="IC60" si="777">+IB60</f>
        <v>0</v>
      </c>
      <c r="ID60" s="14">
        <f t="shared" ref="ID60" si="778">+IC60</f>
        <v>0</v>
      </c>
      <c r="IE60" s="14">
        <f t="shared" ref="IE60" si="779">+ID60</f>
        <v>0</v>
      </c>
      <c r="IF60" s="14">
        <f t="shared" ref="IF60" si="780">+IE60</f>
        <v>0</v>
      </c>
      <c r="IG60" s="14">
        <f t="shared" ref="IG60" si="781">+IF60</f>
        <v>0</v>
      </c>
      <c r="IH60" s="14">
        <f t="shared" ref="IH60" si="782">+IG60</f>
        <v>0</v>
      </c>
      <c r="II60" s="14">
        <f t="shared" ref="II60" si="783">+IH60</f>
        <v>0</v>
      </c>
      <c r="IJ60" s="14">
        <f t="shared" ref="IJ60" si="784">+II60</f>
        <v>0</v>
      </c>
      <c r="IK60" s="14">
        <f t="shared" ref="IK60" si="785">+IJ60</f>
        <v>0</v>
      </c>
      <c r="IL60" s="230">
        <f t="shared" ref="IL60" si="786">+IK60</f>
        <v>0</v>
      </c>
      <c r="IM60" s="14">
        <f t="shared" ref="IM60" si="787">+IL60</f>
        <v>0</v>
      </c>
      <c r="IN60" s="14">
        <f t="shared" ref="IN60" si="788">+IM60</f>
        <v>0</v>
      </c>
      <c r="IO60" s="14">
        <f t="shared" ref="IO60" si="789">+IN60</f>
        <v>0</v>
      </c>
      <c r="IP60" s="14">
        <f t="shared" ref="IP60" si="790">+IO60</f>
        <v>0</v>
      </c>
      <c r="IQ60" s="14">
        <f t="shared" ref="IQ60" si="791">+IP60</f>
        <v>0</v>
      </c>
      <c r="IR60" s="14">
        <f t="shared" ref="IR60" si="792">+IQ60</f>
        <v>0</v>
      </c>
      <c r="IS60" s="14">
        <f t="shared" ref="IS60" si="793">+IR60</f>
        <v>0</v>
      </c>
      <c r="IT60" s="14">
        <f t="shared" ref="IT60" si="794">+IS60</f>
        <v>0</v>
      </c>
      <c r="IU60" s="14">
        <f t="shared" ref="IU60" si="795">+IT60</f>
        <v>0</v>
      </c>
      <c r="IV60" s="14">
        <f t="shared" ref="IV60" si="796">+IU60</f>
        <v>0</v>
      </c>
      <c r="IW60" s="877"/>
      <c r="IX60" s="14">
        <f t="shared" ref="IX60" si="797">+IV60</f>
        <v>0</v>
      </c>
      <c r="IY60" s="14">
        <f t="shared" ref="IY60" si="798">+IX60</f>
        <v>0</v>
      </c>
      <c r="IZ60" s="14">
        <f t="shared" ref="IZ60" si="799">+IY60</f>
        <v>0</v>
      </c>
      <c r="JA60" s="14">
        <f t="shared" ref="JA60" si="800">+IZ60</f>
        <v>0</v>
      </c>
      <c r="JB60" s="14">
        <f t="shared" ref="JB60" si="801">+JA60</f>
        <v>0</v>
      </c>
      <c r="JC60" s="14">
        <f t="shared" ref="JC60" si="802">+JB60</f>
        <v>0</v>
      </c>
      <c r="JD60" s="14">
        <f t="shared" ref="JD60" si="803">+JC60</f>
        <v>0</v>
      </c>
      <c r="JE60" s="14">
        <f t="shared" ref="JE60" si="804">+JD60</f>
        <v>0</v>
      </c>
      <c r="JF60" s="14">
        <f t="shared" ref="JF60" si="805">+JE60</f>
        <v>0</v>
      </c>
      <c r="JG60" s="14">
        <f t="shared" ref="JG60" si="806">+JF60</f>
        <v>0</v>
      </c>
      <c r="JH60" s="14">
        <f t="shared" ref="JH60" si="807">+JG60</f>
        <v>0</v>
      </c>
      <c r="JI60" s="805"/>
      <c r="JJ60" s="39" t="e">
        <f>+#REF!</f>
        <v>#REF!</v>
      </c>
      <c r="JK60" s="14"/>
    </row>
    <row r="61" spans="1:271" ht="14.1" customHeight="1">
      <c r="A61" s="14" t="s">
        <v>22</v>
      </c>
      <c r="B61" s="14"/>
      <c r="C61" s="794">
        <v>36313412</v>
      </c>
      <c r="D61" s="14">
        <f t="shared" ref="D61:I63" si="808">C61-D23</f>
        <v>36313412</v>
      </c>
      <c r="E61" s="14">
        <f t="shared" si="808"/>
        <v>36313412</v>
      </c>
      <c r="F61" s="14">
        <f t="shared" si="808"/>
        <v>36313412</v>
      </c>
      <c r="G61" s="14">
        <f>F61-G23+40000000</f>
        <v>76313412</v>
      </c>
      <c r="H61" s="14">
        <f t="shared" si="808"/>
        <v>76313412</v>
      </c>
      <c r="I61" s="14">
        <f t="shared" si="808"/>
        <v>76313412</v>
      </c>
      <c r="J61" s="14">
        <f t="shared" ref="J61:V63" si="809">I61-J23</f>
        <v>76313412</v>
      </c>
      <c r="K61" s="14">
        <f t="shared" si="809"/>
        <v>76313412</v>
      </c>
      <c r="L61" s="14">
        <f t="shared" si="809"/>
        <v>76313412</v>
      </c>
      <c r="M61" s="14">
        <f t="shared" si="809"/>
        <v>76313412</v>
      </c>
      <c r="N61" s="230">
        <f t="shared" si="809"/>
        <v>76313412</v>
      </c>
      <c r="O61" s="14">
        <f t="shared" si="809"/>
        <v>76313412</v>
      </c>
      <c r="P61" s="14">
        <f t="shared" si="809"/>
        <v>76313412</v>
      </c>
      <c r="Q61" s="14">
        <f t="shared" si="809"/>
        <v>76313412</v>
      </c>
      <c r="R61" s="14">
        <f t="shared" si="809"/>
        <v>76313412</v>
      </c>
      <c r="S61" s="14">
        <f t="shared" si="809"/>
        <v>76313412</v>
      </c>
      <c r="T61" s="14">
        <f t="shared" si="809"/>
        <v>76313412</v>
      </c>
      <c r="U61" s="14">
        <f t="shared" si="809"/>
        <v>76313412</v>
      </c>
      <c r="V61" s="39">
        <f t="shared" si="809"/>
        <v>76313412</v>
      </c>
      <c r="W61" s="14">
        <v>76321500.549999997</v>
      </c>
      <c r="X61" s="14">
        <f t="shared" ref="X61:X63" si="810">W61-X23</f>
        <v>76321500.549999997</v>
      </c>
      <c r="Y61" s="14">
        <f t="shared" ref="Y61:Y63" si="811">X61-Y23</f>
        <v>76321500.549999997</v>
      </c>
      <c r="Z61" s="14">
        <f t="shared" ref="Z61:Z63" si="812">Y61-Z23</f>
        <v>76321500.549999997</v>
      </c>
      <c r="AA61" s="14">
        <f t="shared" ref="AA61:AA63" si="813">Z61-AA23</f>
        <v>76321500.549999997</v>
      </c>
      <c r="AB61" s="14">
        <f t="shared" ref="AB61:AB63" si="814">AA61-AB23</f>
        <v>58321500.549999997</v>
      </c>
      <c r="AC61" s="14">
        <f t="shared" ref="AC61:AC63" si="815">AB61-AC23</f>
        <v>58321500.549999997</v>
      </c>
      <c r="AD61" s="14">
        <f t="shared" ref="AD61:AD63" si="816">AC61-AD23</f>
        <v>58321500.549999997</v>
      </c>
      <c r="AE61" s="14">
        <f t="shared" ref="AE61:AE63" si="817">AD61-AE23</f>
        <v>58321500.549999997</v>
      </c>
      <c r="AF61" s="14">
        <f t="shared" ref="AF61:AF63" si="818">AE61-AF23</f>
        <v>58321500.549999997</v>
      </c>
      <c r="AG61" s="230">
        <f t="shared" ref="AG61:AG63" si="819">AF61-AG23</f>
        <v>38321500.549999997</v>
      </c>
      <c r="AH61" s="14">
        <f t="shared" ref="AH61:AH63" si="820">AG61-AH23</f>
        <v>38321500.549999997</v>
      </c>
      <c r="AI61" s="14">
        <f t="shared" ref="AI61:AI63" si="821">AH61-AI23</f>
        <v>38321500.549999997</v>
      </c>
      <c r="AJ61" s="14">
        <f t="shared" ref="AJ61:AJ63" si="822">AI61-AJ23</f>
        <v>38321500.549999997</v>
      </c>
      <c r="AK61" s="14">
        <f t="shared" ref="AK61:AK63" si="823">AJ61-AK23</f>
        <v>38321500.549999997</v>
      </c>
      <c r="AL61" s="14">
        <f t="shared" ref="AL61:AL63" si="824">AK61-AL23</f>
        <v>38321500.549999997</v>
      </c>
      <c r="AM61" s="14">
        <f t="shared" ref="AM61:AM63" si="825">AL61-AM23</f>
        <v>38321500.549999997</v>
      </c>
      <c r="AN61" s="14">
        <f t="shared" ref="AN61:AN63" si="826">AM61-AN23</f>
        <v>38321500.549999997</v>
      </c>
      <c r="AO61" s="582">
        <f t="shared" ref="AO61:AO63" si="827">AN61-AO23</f>
        <v>38321500.549999997</v>
      </c>
      <c r="AP61" s="14">
        <f t="shared" ref="AP61:AP63" si="828">AO61-AP23</f>
        <v>38321500.549999997</v>
      </c>
      <c r="AQ61" s="14">
        <f t="shared" ref="AQ61:AQ63" si="829">AP61-AQ23</f>
        <v>38321500.549999997</v>
      </c>
      <c r="AR61" s="14">
        <f t="shared" ref="AR61:AR63" si="830">AQ61-AR23</f>
        <v>38321500.549999997</v>
      </c>
      <c r="AS61" s="421">
        <f t="shared" ref="AS61:AS63" si="831">AR61-AS23</f>
        <v>38321500.549999997</v>
      </c>
      <c r="AT61" s="14">
        <f t="shared" ref="AT61:AT62" si="832">AS61-AT23</f>
        <v>38321500.549999997</v>
      </c>
      <c r="AU61" s="14">
        <v>38327883.130000003</v>
      </c>
      <c r="AV61" s="14">
        <f t="shared" ref="AV61:AV63" si="833">AU61-AV23</f>
        <v>38327883.130000003</v>
      </c>
      <c r="AW61" s="14">
        <f t="shared" ref="AW61:AW63" si="834">AV61-AW23</f>
        <v>38327883.130000003</v>
      </c>
      <c r="AX61" s="14">
        <f t="shared" ref="AX61:AX63" si="835">AW61-AX23</f>
        <v>38327883.130000003</v>
      </c>
      <c r="AY61" s="14">
        <f t="shared" ref="AY61:AY63" si="836">AX61-AY23</f>
        <v>38327883.130000003</v>
      </c>
      <c r="AZ61" s="14">
        <f t="shared" ref="AZ61:AZ63" si="837">AY61-AZ23</f>
        <v>38327883.130000003</v>
      </c>
      <c r="BA61" s="14">
        <f t="shared" ref="BA61:BA63" si="838">AZ61-BA23</f>
        <v>38327883.130000003</v>
      </c>
      <c r="BB61" s="14">
        <f t="shared" ref="BB61:BB63" si="839">BA61-BB23</f>
        <v>38327883.130000003</v>
      </c>
      <c r="BC61" s="14">
        <f t="shared" ref="BC61:BC63" si="840">BB61-BC23</f>
        <v>38327883.130000003</v>
      </c>
      <c r="BD61" s="230">
        <f t="shared" ref="BD61:BD63" si="841">BC61-BD23</f>
        <v>8327883.1300000027</v>
      </c>
      <c r="BE61" s="14">
        <f t="shared" ref="BE61:BE63" si="842">BD61-BE23</f>
        <v>8327883.1300000027</v>
      </c>
      <c r="BF61" s="14">
        <f t="shared" ref="BF61:BF63" si="843">BE61-BF23</f>
        <v>8327883.1300000027</v>
      </c>
      <c r="BG61" s="14">
        <f t="shared" ref="BG61:BG63" si="844">BF61-BG23</f>
        <v>8327883.1300000027</v>
      </c>
      <c r="BH61" s="14">
        <f t="shared" ref="BH61:BH63" si="845">BG61-BH23</f>
        <v>8327883.1300000027</v>
      </c>
      <c r="BI61" s="14">
        <f t="shared" ref="BI61:BI63" si="846">BH61-BI23</f>
        <v>8327883.1300000027</v>
      </c>
      <c r="BJ61" s="14">
        <f t="shared" ref="BJ61:BJ63" si="847">BI61-BJ23</f>
        <v>8327883.1300000027</v>
      </c>
      <c r="BK61" s="14">
        <f t="shared" ref="BK61:BK63" si="848">BJ61-BK23</f>
        <v>8327883.1300000027</v>
      </c>
      <c r="BL61" s="14">
        <f t="shared" ref="BL61:BL63" si="849">BK61-BL23</f>
        <v>8327883.1300000027</v>
      </c>
      <c r="BM61" s="14">
        <f t="shared" ref="BM61:BM63" si="850">BL61-BM23</f>
        <v>1327883.1300000027</v>
      </c>
      <c r="BN61" s="14">
        <f t="shared" ref="BN61:BN63" si="851">BM61-BN23</f>
        <v>1327883.1300000027</v>
      </c>
      <c r="BO61" s="421">
        <v>1329869</v>
      </c>
      <c r="BP61" s="14">
        <f t="shared" ref="BP61:BP63" si="852">BO61-BP23</f>
        <v>1329869</v>
      </c>
      <c r="BQ61" s="14">
        <f t="shared" ref="BQ61:BQ63" si="853">BP61-BQ23</f>
        <v>1329869</v>
      </c>
      <c r="BR61" s="14">
        <f t="shared" ref="BR61:BR63" si="854">BQ61-BR23</f>
        <v>1329869</v>
      </c>
      <c r="BS61" s="14">
        <f t="shared" ref="BS61:BS63" si="855">BR61-BS23</f>
        <v>1329869</v>
      </c>
      <c r="BT61" s="14">
        <f t="shared" ref="BT61:BT63" si="856">BS61-BT23</f>
        <v>1329869</v>
      </c>
      <c r="BU61" s="14">
        <f t="shared" ref="BU61:BU63" si="857">BT61-BU23</f>
        <v>1329869</v>
      </c>
      <c r="BV61" s="14">
        <f t="shared" ref="BV61:BV63" si="858">BU61-BV23</f>
        <v>1329869</v>
      </c>
      <c r="BW61" s="14">
        <f t="shared" ref="BW61:BW63" si="859">BV61-BW23</f>
        <v>1329869</v>
      </c>
      <c r="BX61" s="230">
        <f t="shared" ref="BX61:BX63" si="860">BW61-BX23</f>
        <v>1329869</v>
      </c>
      <c r="BY61" s="14">
        <f t="shared" ref="BY61:BY63" si="861">BX61-BY23</f>
        <v>1329869</v>
      </c>
      <c r="BZ61" s="14">
        <f t="shared" ref="BZ61:BZ63" si="862">BY61-BZ23</f>
        <v>1329869</v>
      </c>
      <c r="CA61" s="14">
        <f t="shared" ref="CA61:CA63" si="863">BZ61-CA23</f>
        <v>1329869</v>
      </c>
      <c r="CB61" s="14">
        <f t="shared" ref="CB61:CB63" si="864">CA61-CB23</f>
        <v>1329869</v>
      </c>
      <c r="CC61" s="14">
        <f t="shared" ref="CC61:CC63" si="865">CB61-CC23</f>
        <v>1329869</v>
      </c>
      <c r="CD61" s="14">
        <f t="shared" ref="CD61:CD63" si="866">CC61-CD23</f>
        <v>1329869</v>
      </c>
      <c r="CE61" s="14">
        <f t="shared" ref="CE61:CE63" si="867">CD61-CE23</f>
        <v>1329869</v>
      </c>
      <c r="CF61" s="14">
        <f t="shared" ref="CF61:CF63" si="868">CE61-CF23</f>
        <v>1329869</v>
      </c>
      <c r="CG61" s="14">
        <f t="shared" ref="CG61:CG63" si="869">CF61-CG23</f>
        <v>1329869</v>
      </c>
      <c r="CH61" s="14">
        <f t="shared" ref="CH61:CH63" si="870">CG61-CH23</f>
        <v>1329869</v>
      </c>
      <c r="CI61" s="421">
        <f t="shared" ref="CI61:CI63" si="871">CH61-CI23</f>
        <v>1329869</v>
      </c>
      <c r="CJ61" s="14">
        <v>1329963.8400000001</v>
      </c>
      <c r="CK61" s="14">
        <f t="shared" ref="CK61:CK63" si="872">CJ61-CK23</f>
        <v>1329963.8400000001</v>
      </c>
      <c r="CL61" s="14">
        <f t="shared" ref="CL61:CL63" si="873">CK61-CL23</f>
        <v>1329963.8400000001</v>
      </c>
      <c r="CM61" s="14">
        <f t="shared" ref="CM61:CM63" si="874">CL61-CM23</f>
        <v>1329963.8400000001</v>
      </c>
      <c r="CN61" s="14">
        <f t="shared" ref="CN61:CN63" si="875">CM61-CN23</f>
        <v>1329963.8400000001</v>
      </c>
      <c r="CO61" s="14">
        <f t="shared" ref="CO61:CO63" si="876">CN61-CO23</f>
        <v>1329963.8400000001</v>
      </c>
      <c r="CP61" s="14">
        <f t="shared" ref="CP61:CP63" si="877">CO61-CP23</f>
        <v>1329963.8400000001</v>
      </c>
      <c r="CQ61" s="14">
        <f t="shared" ref="CQ61:CQ63" si="878">CP61-CQ23</f>
        <v>1329963.8400000001</v>
      </c>
      <c r="CR61" s="14">
        <f t="shared" ref="CR61:CR63" si="879">CQ61-CR23</f>
        <v>1329963.8400000001</v>
      </c>
      <c r="CS61" s="14">
        <f t="shared" ref="CS61:CS63" si="880">CR61-CS23</f>
        <v>1329963.8400000001</v>
      </c>
      <c r="CT61" s="230">
        <f t="shared" ref="CT61:CT63" si="881">CS61-CT23</f>
        <v>1329963.8400000001</v>
      </c>
      <c r="CU61" s="14">
        <f t="shared" ref="CU61:CU63" si="882">CT61-CU23</f>
        <v>1329963.8400000001</v>
      </c>
      <c r="CV61" s="14">
        <f t="shared" ref="CV61:CV63" si="883">CU61-CV23</f>
        <v>1329963.8400000001</v>
      </c>
      <c r="CW61" s="14">
        <f t="shared" ref="CW61:CW63" si="884">CV61-CW23</f>
        <v>1329963.8400000001</v>
      </c>
      <c r="CX61" s="14">
        <f t="shared" ref="CX61:CX63" si="885">CW61-CX23</f>
        <v>1329963.8400000001</v>
      </c>
      <c r="CY61" s="14">
        <f t="shared" ref="CY61:CY63" si="886">CX61-CY23</f>
        <v>1329963.8400000001</v>
      </c>
      <c r="CZ61" s="14">
        <f t="shared" ref="CZ61:CZ63" si="887">CY61-CZ23</f>
        <v>1329963.8400000001</v>
      </c>
      <c r="DA61" s="14">
        <f t="shared" ref="DA61:DA63" si="888">CZ61-DA23</f>
        <v>1329963.8400000001</v>
      </c>
      <c r="DB61" s="14">
        <f t="shared" ref="DB61:DB63" si="889">DA61-DB23</f>
        <v>1329963.8400000001</v>
      </c>
      <c r="DC61" s="14">
        <f t="shared" ref="DC61:DC63" si="890">DB61-DC23</f>
        <v>1329963.8400000001</v>
      </c>
      <c r="DD61" s="14">
        <f t="shared" ref="DD61:DD63" si="891">DC61-DD23</f>
        <v>1329963.8400000001</v>
      </c>
      <c r="DE61" s="421">
        <f t="shared" ref="DE61:DE63" si="892">DD61-DE23</f>
        <v>1329963.8400000001</v>
      </c>
      <c r="DF61" s="14">
        <v>1330050.57</v>
      </c>
      <c r="DG61" s="14">
        <f t="shared" ref="DG61:DG63" si="893">DF61-DG23</f>
        <v>1330050.57</v>
      </c>
      <c r="DH61" s="14">
        <f t="shared" ref="DH61:DH63" si="894">DG61-DH23</f>
        <v>1330050.57</v>
      </c>
      <c r="DI61" s="14">
        <f t="shared" ref="DI61:DI63" si="895">DH61-DI23</f>
        <v>1330050.57</v>
      </c>
      <c r="DJ61" s="14">
        <f t="shared" ref="DJ61:DJ63" si="896">DI61-DJ23</f>
        <v>1330050.57</v>
      </c>
      <c r="DK61" s="14">
        <f t="shared" ref="DK61:DK63" si="897">DJ61-DK23</f>
        <v>1330050.57</v>
      </c>
      <c r="DL61" s="14">
        <f t="shared" ref="DL61:DL63" si="898">DK61-DL23</f>
        <v>1330050.57</v>
      </c>
      <c r="DM61" s="14">
        <f t="shared" ref="DM61:DM63" si="899">DL61-DM23</f>
        <v>1330050.57</v>
      </c>
      <c r="DN61" s="14">
        <f t="shared" ref="DN61:DN63" si="900">DM61-DN23</f>
        <v>1330050.57</v>
      </c>
      <c r="DO61" s="230">
        <f t="shared" ref="DO61:DO63" si="901">DN61-DO23</f>
        <v>1330050.57</v>
      </c>
      <c r="DP61" s="14">
        <f t="shared" ref="DP61:DP63" si="902">DO61-DP23</f>
        <v>1330050.57</v>
      </c>
      <c r="DQ61" s="14">
        <f t="shared" ref="DQ61:DQ63" si="903">DP61-DQ23</f>
        <v>1330050.57</v>
      </c>
      <c r="DR61" s="14">
        <f t="shared" ref="DR61:DR63" si="904">DQ61-DR23</f>
        <v>1330050.57</v>
      </c>
      <c r="DS61" s="14">
        <f t="shared" ref="DS61:DS63" si="905">DR61-DS23</f>
        <v>1330050.57</v>
      </c>
      <c r="DT61" s="14">
        <f t="shared" ref="DT61:DT63" si="906">DS61-DT23</f>
        <v>1330050.57</v>
      </c>
      <c r="DU61" s="14">
        <f t="shared" ref="DU61:DU63" si="907">DT61-DU23</f>
        <v>1330050.57</v>
      </c>
      <c r="DV61" s="14">
        <f t="shared" ref="DV61:DV63" si="908">DU61-DV23</f>
        <v>1330050.57</v>
      </c>
      <c r="DW61" s="14">
        <f t="shared" ref="DW61:DW63" si="909">DV61-DW23</f>
        <v>1330050.57</v>
      </c>
      <c r="DX61" s="14">
        <f t="shared" ref="DX61:DX63" si="910">DW61-DX23</f>
        <v>1330050.57</v>
      </c>
      <c r="DY61" s="14">
        <f t="shared" ref="DY61:DY63" si="911">DX61-DY23</f>
        <v>1330050.57</v>
      </c>
      <c r="DZ61" s="421">
        <f t="shared" ref="DZ61:DZ63" si="912">DY61-DZ23</f>
        <v>1330050.57</v>
      </c>
      <c r="EA61" s="14">
        <f t="shared" ref="EA61:EA63" si="913">DZ61-EA23</f>
        <v>1330050.57</v>
      </c>
      <c r="EB61" s="14">
        <f t="shared" ref="EB61:EB63" si="914">EA61-EB23</f>
        <v>1330050.57</v>
      </c>
      <c r="EC61" s="14">
        <f t="shared" ref="EC61:EC63" si="915">EB61-EC23</f>
        <v>1330050.57</v>
      </c>
      <c r="ED61" s="14">
        <f t="shared" ref="ED61:ED63" si="916">EC61-ED23</f>
        <v>1330050.57</v>
      </c>
      <c r="EE61" s="14">
        <f t="shared" ref="EE61:EE63" si="917">ED61-EE23</f>
        <v>1330050.57</v>
      </c>
      <c r="EF61" s="14">
        <f t="shared" ref="EF61:EF63" si="918">EE61-EF23</f>
        <v>1330050.57</v>
      </c>
      <c r="EG61" s="14">
        <f t="shared" ref="EG61:EG63" si="919">EF61-EG23</f>
        <v>1330050.57</v>
      </c>
      <c r="EH61" s="14">
        <f t="shared" ref="EH61:EH63" si="920">EG61-EH23</f>
        <v>1330050.57</v>
      </c>
      <c r="EI61" s="14">
        <f t="shared" ref="EI61:EI63" si="921">EH61-EI23</f>
        <v>1330050.57</v>
      </c>
      <c r="EJ61" s="230">
        <f t="shared" ref="EJ61:EJ63" si="922">EI61-EJ23</f>
        <v>1330050.57</v>
      </c>
      <c r="EK61" s="14">
        <f t="shared" ref="EK61:EK63" si="923">EJ61-EK23</f>
        <v>1330050.57</v>
      </c>
      <c r="EL61" s="14">
        <f t="shared" ref="EL61:EL63" si="924">EK61-EL23</f>
        <v>1330050.57</v>
      </c>
      <c r="EM61" s="14">
        <f t="shared" ref="EM61:EM63" si="925">EL61-EM23</f>
        <v>1330050.57</v>
      </c>
      <c r="EN61" s="14">
        <f t="shared" ref="EN61:EN63" si="926">EM61-EN23</f>
        <v>1330050.57</v>
      </c>
      <c r="EO61" s="14">
        <f t="shared" ref="EO61:EO63" si="927">EN61-EO23</f>
        <v>1330050.57</v>
      </c>
      <c r="EP61" s="14">
        <f t="shared" ref="EP61:EP63" si="928">EO61-EP23</f>
        <v>1330050.57</v>
      </c>
      <c r="EQ61" s="14">
        <f t="shared" ref="EQ61:EQ63" si="929">EP61-EQ23</f>
        <v>1330050.57</v>
      </c>
      <c r="ER61" s="14">
        <f t="shared" ref="ER61:ER63" si="930">EQ61-ER23</f>
        <v>1330050.57</v>
      </c>
      <c r="ES61" s="14">
        <f t="shared" ref="ES61:ES63" si="931">ER61-ES23</f>
        <v>1330050.57</v>
      </c>
      <c r="ET61" s="14">
        <f t="shared" ref="ET61:ET63" si="932">ES61-ET23</f>
        <v>1330050.57</v>
      </c>
      <c r="EU61" s="14">
        <f t="shared" ref="EU61:EU63" si="933">ET61-EU23</f>
        <v>1330050.57</v>
      </c>
      <c r="EV61" s="421">
        <f t="shared" ref="EV61:EV63" si="934">EU61-EV23</f>
        <v>1330050.57</v>
      </c>
      <c r="EW61" s="14">
        <f t="shared" ref="EW61:EW63" si="935">EV61-EW23</f>
        <v>1330050.57</v>
      </c>
      <c r="EX61" s="14">
        <f t="shared" ref="EX61:EX63" si="936">EW61-EX23</f>
        <v>1330050.57</v>
      </c>
      <c r="EY61" s="14">
        <f t="shared" ref="EY61:EY63" si="937">EX61-EY23</f>
        <v>1330050.57</v>
      </c>
      <c r="EZ61" s="14">
        <f t="shared" ref="EZ61:EZ63" si="938">EY61-EZ23</f>
        <v>1330050.57</v>
      </c>
      <c r="FA61" s="14">
        <f t="shared" ref="FA61:FA63" si="939">EZ61-FA23</f>
        <v>1330050.57</v>
      </c>
      <c r="FB61" s="14">
        <f t="shared" ref="FB61:FB63" si="940">FA61-FB23</f>
        <v>1330050.57</v>
      </c>
      <c r="FC61" s="14">
        <f t="shared" ref="FC61:FC63" si="941">FB61-FC23</f>
        <v>1330050.57</v>
      </c>
      <c r="FD61" s="14">
        <f t="shared" ref="FD61:FD63" si="942">FC61-FD23</f>
        <v>1330050.57</v>
      </c>
      <c r="FE61" s="14">
        <f t="shared" ref="FE61:FE63" si="943">FD61-FE23</f>
        <v>1330050.57</v>
      </c>
      <c r="FF61" s="230">
        <f t="shared" ref="FF61:FF63" si="944">FE61-FF23</f>
        <v>1330050.57</v>
      </c>
      <c r="FG61" s="14">
        <f t="shared" ref="FG61:FG63" si="945">FF61-FG23</f>
        <v>1330050.57</v>
      </c>
      <c r="FH61" s="14">
        <f t="shared" ref="FH61:FH63" si="946">FG61-FH23</f>
        <v>1330050.57</v>
      </c>
      <c r="FI61" s="14">
        <f t="shared" ref="FI61:FI63" si="947">FH61-FI23</f>
        <v>1330050.57</v>
      </c>
      <c r="FJ61" s="14">
        <f t="shared" ref="FJ61:FJ63" si="948">FI61-FJ23</f>
        <v>1330050.57</v>
      </c>
      <c r="FK61" s="14">
        <f t="shared" ref="FK61:FK63" si="949">FJ61-FK23</f>
        <v>1330050.57</v>
      </c>
      <c r="FL61" s="14">
        <f t="shared" ref="FL61:FL63" si="950">FK61-FL23</f>
        <v>1330050.57</v>
      </c>
      <c r="FM61" s="14">
        <f t="shared" ref="FM61:FM63" si="951">FL61-FM23</f>
        <v>1330050.57</v>
      </c>
      <c r="FN61" s="14">
        <f t="shared" ref="FN61:FN63" si="952">FM61-FN23</f>
        <v>1330050.57</v>
      </c>
      <c r="FO61" s="14">
        <f t="shared" ref="FO61:FO63" si="953">FN61-FO23</f>
        <v>1330050.57</v>
      </c>
      <c r="FP61" s="14">
        <f t="shared" ref="FP61:FP63" si="954">FO61-FP23</f>
        <v>1330050.57</v>
      </c>
      <c r="FQ61" s="421">
        <f t="shared" ref="FQ61:FQ63" si="955">FP61-FQ23</f>
        <v>1330050.57</v>
      </c>
      <c r="FR61" s="14">
        <f t="shared" ref="FR61:FR63" si="956">FQ61-FR23</f>
        <v>1330050.57</v>
      </c>
      <c r="FS61" s="14">
        <f t="shared" ref="FS61:FS63" si="957">FR61-FS23</f>
        <v>1330050.57</v>
      </c>
      <c r="FT61" s="14">
        <f t="shared" ref="FT61:FT63" si="958">FS61-FT23</f>
        <v>1330050.57</v>
      </c>
      <c r="FU61" s="14">
        <f t="shared" ref="FU61:FU63" si="959">FT61-FU23</f>
        <v>1330050.57</v>
      </c>
      <c r="FV61" s="14">
        <f t="shared" ref="FV61:FV63" si="960">FU61-FV23</f>
        <v>1330050.57</v>
      </c>
      <c r="FW61" s="14">
        <f t="shared" ref="FW61:FW63" si="961">FV61-FW23</f>
        <v>1330050.57</v>
      </c>
      <c r="FX61" s="14">
        <f t="shared" ref="FX61:FX63" si="962">FW61-FX23</f>
        <v>1330050.57</v>
      </c>
      <c r="FY61" s="14">
        <f t="shared" ref="FY61:FY63" si="963">FX61-FY23</f>
        <v>1330050.57</v>
      </c>
      <c r="FZ61" s="230">
        <f t="shared" ref="FZ61:FZ63" si="964">FY61-FZ23</f>
        <v>1330050.57</v>
      </c>
      <c r="GA61" s="14">
        <f t="shared" ref="GA61:GA63" si="965">FZ61-GA23</f>
        <v>1330050.57</v>
      </c>
      <c r="GB61" s="14">
        <f t="shared" ref="GB61:GB63" si="966">GA61-GB23</f>
        <v>1330050.57</v>
      </c>
      <c r="GC61" s="14">
        <f t="shared" ref="GC61:GC63" si="967">GB61-GC23</f>
        <v>1330050.57</v>
      </c>
      <c r="GD61" s="14">
        <f t="shared" ref="GD61:GD63" si="968">GC61-GD23</f>
        <v>1330050.57</v>
      </c>
      <c r="GE61" s="14">
        <f t="shared" ref="GE61:GE63" si="969">GD61-GE23</f>
        <v>1330050.57</v>
      </c>
      <c r="GF61" s="14">
        <f t="shared" ref="GF61:GF63" si="970">GE61-GF23</f>
        <v>1330050.57</v>
      </c>
      <c r="GG61" s="14">
        <f t="shared" ref="GG61:GG63" si="971">GF61-GG23</f>
        <v>1330050.57</v>
      </c>
      <c r="GH61" s="14">
        <f t="shared" ref="GH61:GH63" si="972">GG61-GH23</f>
        <v>1330050.57</v>
      </c>
      <c r="GI61" s="14">
        <f t="shared" ref="GI61:GI63" si="973">GH61-GI23</f>
        <v>1330050.57</v>
      </c>
      <c r="GJ61" s="14">
        <f t="shared" ref="GJ61:GJ63" si="974">GI61-GJ23</f>
        <v>1330050.57</v>
      </c>
      <c r="GK61" s="421">
        <f t="shared" ref="GK61:GK63" si="975">GJ61-GK23</f>
        <v>1330050.57</v>
      </c>
      <c r="GL61" s="14">
        <f t="shared" ref="GL61:GL63" si="976">GK61-GL23</f>
        <v>1330050.57</v>
      </c>
      <c r="GM61" s="14">
        <f t="shared" ref="GM61:GM63" si="977">GL61-GM23</f>
        <v>1330050.57</v>
      </c>
      <c r="GN61" s="14">
        <f t="shared" ref="GN61:GN63" si="978">GM61-GN23</f>
        <v>1330050.57</v>
      </c>
      <c r="GO61" s="14">
        <f t="shared" ref="GO61:GO63" si="979">GN61-GO23</f>
        <v>1330050.57</v>
      </c>
      <c r="GP61" s="14">
        <f t="shared" ref="GP61:GP63" si="980">GO61-GP23</f>
        <v>1330050.57</v>
      </c>
      <c r="GQ61" s="14">
        <f t="shared" ref="GQ61:GQ63" si="981">GP61-GQ23</f>
        <v>1330050.57</v>
      </c>
      <c r="GR61" s="14">
        <f t="shared" ref="GR61:GR63" si="982">GQ61-GR23</f>
        <v>1330050.57</v>
      </c>
      <c r="GS61" s="14">
        <f t="shared" ref="GS61:GS63" si="983">GR61-GS23</f>
        <v>1330050.57</v>
      </c>
      <c r="GT61" s="14">
        <f t="shared" ref="GT61:GT63" si="984">GS61-GT23</f>
        <v>1330050.57</v>
      </c>
      <c r="GU61" s="230">
        <f t="shared" ref="GU61:GU63" si="985">GT61-GU23</f>
        <v>1330050.57</v>
      </c>
      <c r="GV61" s="14">
        <f t="shared" ref="GV61:GV63" si="986">GU61-GV23</f>
        <v>1330050.57</v>
      </c>
      <c r="GW61" s="14">
        <f t="shared" ref="GW61:GW63" si="987">GV61-GW23</f>
        <v>1330050.57</v>
      </c>
      <c r="GX61" s="14">
        <f t="shared" ref="GX61:GX63" si="988">GW61-GX23</f>
        <v>1330050.57</v>
      </c>
      <c r="GY61" s="14">
        <f t="shared" ref="GY61:GY63" si="989">GX61-GY23</f>
        <v>1330050.57</v>
      </c>
      <c r="GZ61" s="14">
        <f t="shared" ref="GZ61:GZ63" si="990">GY61-GZ23</f>
        <v>1330050.57</v>
      </c>
      <c r="HA61" s="14">
        <f t="shared" ref="HA61:HA63" si="991">GZ61-HA23</f>
        <v>1330050.57</v>
      </c>
      <c r="HB61" s="14">
        <f t="shared" ref="HB61:HB63" si="992">HA61-HB23</f>
        <v>1330050.57</v>
      </c>
      <c r="HC61" s="14">
        <f t="shared" ref="HC61:HC63" si="993">HB61-HC23</f>
        <v>1330050.57</v>
      </c>
      <c r="HD61" s="14">
        <f t="shared" ref="HD61:HD63" si="994">HC61-HD23</f>
        <v>1330050.57</v>
      </c>
      <c r="HE61" s="421">
        <f t="shared" ref="HE61:HE63" si="995">HD61-HE23</f>
        <v>1330050.57</v>
      </c>
      <c r="HF61" s="14">
        <f t="shared" ref="HF61:HF63" si="996">HE61-HF23</f>
        <v>1330050.57</v>
      </c>
      <c r="HG61" s="14">
        <f t="shared" ref="HG61:HG63" si="997">HF61-HG23</f>
        <v>1330050.57</v>
      </c>
      <c r="HH61" s="14">
        <f t="shared" ref="HH61:HH63" si="998">HG61-HH23</f>
        <v>1330050.57</v>
      </c>
      <c r="HI61" s="14">
        <f t="shared" ref="HI61:HI63" si="999">HH61-HI23</f>
        <v>1330050.57</v>
      </c>
      <c r="HJ61" s="14">
        <f t="shared" ref="HJ61:HJ63" si="1000">HI61-HJ23</f>
        <v>1330050.57</v>
      </c>
      <c r="HK61" s="14">
        <f t="shared" ref="HK61:HK63" si="1001">HJ61-HK23</f>
        <v>1330050.57</v>
      </c>
      <c r="HL61" s="14">
        <f t="shared" ref="HL61:HL63" si="1002">HK61-HL23</f>
        <v>1330050.57</v>
      </c>
      <c r="HM61" s="14">
        <f t="shared" ref="HM61:HM63" si="1003">HL61-HM23</f>
        <v>1330050.57</v>
      </c>
      <c r="HN61" s="14">
        <f t="shared" ref="HN61:HN63" si="1004">HM61-HN23</f>
        <v>1330050.57</v>
      </c>
      <c r="HO61" s="14">
        <f t="shared" ref="HO61:HO63" si="1005">HN61-HO23</f>
        <v>1330050.57</v>
      </c>
      <c r="HP61" s="230">
        <f t="shared" ref="HP61:HP63" si="1006">HO61-HP23</f>
        <v>1330050.57</v>
      </c>
      <c r="HQ61" s="14">
        <f t="shared" ref="HQ61:HQ63" si="1007">HP61-HQ23</f>
        <v>1330050.57</v>
      </c>
      <c r="HR61" s="14">
        <f t="shared" ref="HR61:HR63" si="1008">HQ61-HR23</f>
        <v>1330050.57</v>
      </c>
      <c r="HS61" s="14">
        <f t="shared" ref="HS61:HS63" si="1009">HR61-HS23</f>
        <v>1330050.57</v>
      </c>
      <c r="HT61" s="14">
        <f t="shared" ref="HT61:HT63" si="1010">HS61-HT23</f>
        <v>1330050.57</v>
      </c>
      <c r="HU61" s="14">
        <f t="shared" ref="HU61:HU63" si="1011">HT61-HU23</f>
        <v>1330050.57</v>
      </c>
      <c r="HV61" s="14">
        <f t="shared" ref="HV61:HV63" si="1012">HU61-HV23</f>
        <v>1330050.57</v>
      </c>
      <c r="HW61" s="14">
        <f t="shared" ref="HW61:HW63" si="1013">HV61-HW23</f>
        <v>1330050.57</v>
      </c>
      <c r="HX61" s="14">
        <f t="shared" ref="HX61:HX63" si="1014">HW61-HX23</f>
        <v>1330050.57</v>
      </c>
      <c r="HY61" s="14">
        <f t="shared" ref="HY61:HY63" si="1015">HX61-HY23</f>
        <v>1330050.57</v>
      </c>
      <c r="HZ61" s="14">
        <f t="shared" ref="HZ61:HZ63" si="1016">HY61-HZ23</f>
        <v>1330050.57</v>
      </c>
      <c r="IA61" s="421">
        <f t="shared" ref="IA61:IA63" si="1017">HZ61-IA23</f>
        <v>1330050.57</v>
      </c>
      <c r="IB61" s="14">
        <f t="shared" ref="IB61:IB63" si="1018">IA61-IB23</f>
        <v>1330050.57</v>
      </c>
      <c r="IC61" s="14">
        <f t="shared" ref="IC61:IC63" si="1019">IB61-IC23</f>
        <v>1330050.57</v>
      </c>
      <c r="ID61" s="14">
        <f t="shared" ref="ID61:ID63" si="1020">IC61-ID23</f>
        <v>1330050.57</v>
      </c>
      <c r="IE61" s="14">
        <f t="shared" ref="IE61:IE63" si="1021">ID61-IE23</f>
        <v>1330050.57</v>
      </c>
      <c r="IF61" s="14">
        <f t="shared" ref="IF61:IF63" si="1022">IE61-IF23</f>
        <v>1330050.57</v>
      </c>
      <c r="IG61" s="14">
        <f t="shared" ref="IG61:IG63" si="1023">IF61-IG23</f>
        <v>1330050.57</v>
      </c>
      <c r="IH61" s="14">
        <f t="shared" ref="IH61:IH63" si="1024">IG61-IH23</f>
        <v>1330050.57</v>
      </c>
      <c r="II61" s="14">
        <f t="shared" ref="II61:II63" si="1025">IH61-II23</f>
        <v>1330050.57</v>
      </c>
      <c r="IJ61" s="14">
        <f t="shared" ref="IJ61:IJ63" si="1026">II61-IJ23</f>
        <v>1330050.57</v>
      </c>
      <c r="IK61" s="14">
        <f t="shared" ref="IK61:IK63" si="1027">IJ61-IK23</f>
        <v>1330050.57</v>
      </c>
      <c r="IL61" s="230">
        <f t="shared" ref="IL61:IL63" si="1028">IK61-IL23</f>
        <v>1330050.57</v>
      </c>
      <c r="IM61" s="14">
        <f t="shared" ref="IM61:IM63" si="1029">IL61-IM23</f>
        <v>1330050.57</v>
      </c>
      <c r="IN61" s="14">
        <f t="shared" ref="IN61:IN63" si="1030">IM61-IN23</f>
        <v>1330050.57</v>
      </c>
      <c r="IO61" s="14">
        <f t="shared" ref="IO61:IO63" si="1031">IN61-IO23</f>
        <v>1330050.57</v>
      </c>
      <c r="IP61" s="14">
        <f t="shared" ref="IP61:IP63" si="1032">IO61-IP23</f>
        <v>1330050.57</v>
      </c>
      <c r="IQ61" s="14">
        <f t="shared" ref="IQ61:IQ63" si="1033">IP61-IQ23</f>
        <v>1330050.57</v>
      </c>
      <c r="IR61" s="14">
        <f t="shared" ref="IR61:IR63" si="1034">IQ61-IR23</f>
        <v>1330050.57</v>
      </c>
      <c r="IS61" s="14">
        <f t="shared" ref="IS61:IS63" si="1035">IR61-IS23</f>
        <v>1330050.57</v>
      </c>
      <c r="IT61" s="14">
        <f t="shared" ref="IT61:IT63" si="1036">IS61-IT23</f>
        <v>1330050.57</v>
      </c>
      <c r="IU61" s="14">
        <f t="shared" ref="IU61:IU63" si="1037">IT61-IU23</f>
        <v>1330050.57</v>
      </c>
      <c r="IV61" s="14">
        <f t="shared" ref="IV61:IV63" si="1038">IU61-IV23</f>
        <v>1330050.57</v>
      </c>
      <c r="IW61" s="877"/>
      <c r="IX61" s="14">
        <f t="shared" ref="IX61:IX63" si="1039">IV61-IX23</f>
        <v>1330050.57</v>
      </c>
      <c r="IY61" s="14">
        <f t="shared" ref="IY61:IY63" si="1040">IX61-IY23</f>
        <v>1330050.57</v>
      </c>
      <c r="IZ61" s="14">
        <f t="shared" ref="IZ61:IZ63" si="1041">IY61-IZ23</f>
        <v>1330050.57</v>
      </c>
      <c r="JA61" s="14">
        <f t="shared" ref="JA61:JA63" si="1042">IZ61-JA23</f>
        <v>1330050.57</v>
      </c>
      <c r="JB61" s="14">
        <f t="shared" ref="JB61:JB63" si="1043">JA61-JB23</f>
        <v>1330050.57</v>
      </c>
      <c r="JC61" s="14">
        <f t="shared" ref="JC61:JC63" si="1044">JB61-JC23</f>
        <v>1330050.57</v>
      </c>
      <c r="JD61" s="14">
        <f t="shared" ref="JD61:JD63" si="1045">JC61-JD23</f>
        <v>1330050.57</v>
      </c>
      <c r="JE61" s="14">
        <f t="shared" ref="JE61:JE63" si="1046">JD61-JE23</f>
        <v>1330050.57</v>
      </c>
      <c r="JF61" s="14">
        <f t="shared" ref="JF61:JF63" si="1047">JE61-JF23</f>
        <v>1330050.57</v>
      </c>
      <c r="JG61" s="14">
        <f t="shared" ref="JG61:JG63" si="1048">JF61-JG23</f>
        <v>1330050.57</v>
      </c>
      <c r="JH61" s="14">
        <f t="shared" ref="JH61:JH63" si="1049">JG61-JH23</f>
        <v>1330050.57</v>
      </c>
      <c r="JI61" s="753"/>
      <c r="JJ61" s="39" t="e">
        <f>#REF!-JJ23</f>
        <v>#REF!</v>
      </c>
      <c r="JK61" s="14"/>
    </row>
    <row r="62" spans="1:271" ht="14.1" customHeight="1">
      <c r="A62" s="14" t="s">
        <v>215</v>
      </c>
      <c r="B62" s="14"/>
      <c r="C62" s="794">
        <v>108872981</v>
      </c>
      <c r="D62" s="14">
        <f>C62-D24+49000000</f>
        <v>157872981</v>
      </c>
      <c r="E62" s="14">
        <f t="shared" si="808"/>
        <v>157872981</v>
      </c>
      <c r="F62" s="14">
        <f t="shared" si="808"/>
        <v>157872981</v>
      </c>
      <c r="G62" s="14">
        <f t="shared" si="808"/>
        <v>157872981</v>
      </c>
      <c r="H62" s="14">
        <f t="shared" si="808"/>
        <v>157872981</v>
      </c>
      <c r="I62" s="14">
        <f t="shared" si="808"/>
        <v>157872981</v>
      </c>
      <c r="J62" s="14">
        <f t="shared" si="809"/>
        <v>157872981</v>
      </c>
      <c r="K62" s="14">
        <f t="shared" si="809"/>
        <v>157872981</v>
      </c>
      <c r="L62" s="14">
        <f t="shared" si="809"/>
        <v>157872981</v>
      </c>
      <c r="M62" s="14">
        <f t="shared" si="809"/>
        <v>157872981</v>
      </c>
      <c r="N62" s="230">
        <f t="shared" si="809"/>
        <v>157872981</v>
      </c>
      <c r="O62" s="14">
        <f t="shared" si="809"/>
        <v>157872981</v>
      </c>
      <c r="P62" s="14">
        <f t="shared" si="809"/>
        <v>157872981</v>
      </c>
      <c r="Q62" s="14">
        <f t="shared" si="809"/>
        <v>157872981</v>
      </c>
      <c r="R62" s="14">
        <f t="shared" si="809"/>
        <v>157872981</v>
      </c>
      <c r="S62" s="14">
        <f t="shared" si="809"/>
        <v>157872981</v>
      </c>
      <c r="T62" s="14">
        <v>165214602.09999999</v>
      </c>
      <c r="U62" s="14">
        <f t="shared" si="809"/>
        <v>165214602.09999999</v>
      </c>
      <c r="V62" s="39">
        <f t="shared" si="809"/>
        <v>165214602.09999999</v>
      </c>
      <c r="W62" s="14">
        <v>176693632.87</v>
      </c>
      <c r="X62" s="14">
        <f t="shared" si="810"/>
        <v>176693632.87</v>
      </c>
      <c r="Y62" s="14">
        <f t="shared" si="811"/>
        <v>176693632.87</v>
      </c>
      <c r="Z62" s="14">
        <f t="shared" si="812"/>
        <v>176693632.87</v>
      </c>
      <c r="AA62" s="14">
        <f>Z62-AA24+1747571.7</f>
        <v>178441204.56999999</v>
      </c>
      <c r="AB62" s="14">
        <f t="shared" si="814"/>
        <v>178441204.56999999</v>
      </c>
      <c r="AC62" s="14">
        <f t="shared" si="815"/>
        <v>178441204.56999999</v>
      </c>
      <c r="AD62" s="14">
        <f t="shared" si="816"/>
        <v>178441204.56999999</v>
      </c>
      <c r="AE62" s="14">
        <f t="shared" si="817"/>
        <v>178441204.56999999</v>
      </c>
      <c r="AF62" s="14">
        <f t="shared" si="818"/>
        <v>178441204.56999999</v>
      </c>
      <c r="AG62" s="230">
        <f t="shared" si="819"/>
        <v>128441204.56999999</v>
      </c>
      <c r="AH62" s="14">
        <f t="shared" si="820"/>
        <v>128441204.56999999</v>
      </c>
      <c r="AI62" s="14">
        <f t="shared" si="821"/>
        <v>128441204.56999999</v>
      </c>
      <c r="AJ62" s="14">
        <f t="shared" si="822"/>
        <v>128441204.56999999</v>
      </c>
      <c r="AK62" s="14">
        <f t="shared" si="823"/>
        <v>128441204.56999999</v>
      </c>
      <c r="AL62" s="14">
        <f t="shared" si="824"/>
        <v>128441204.56999999</v>
      </c>
      <c r="AM62" s="14">
        <f t="shared" si="825"/>
        <v>128441204.56999999</v>
      </c>
      <c r="AN62" s="14">
        <f t="shared" si="826"/>
        <v>112441204.56999999</v>
      </c>
      <c r="AO62" s="582">
        <f t="shared" si="827"/>
        <v>112441204.56999999</v>
      </c>
      <c r="AP62" s="14">
        <f t="shared" si="828"/>
        <v>112441204.56999999</v>
      </c>
      <c r="AQ62" s="14">
        <f t="shared" si="829"/>
        <v>112441204.56999999</v>
      </c>
      <c r="AR62" s="14">
        <f t="shared" si="830"/>
        <v>112441204.56999999</v>
      </c>
      <c r="AS62" s="421">
        <f t="shared" si="831"/>
        <v>112441204.56999999</v>
      </c>
      <c r="AT62" s="14">
        <f t="shared" si="832"/>
        <v>112441204.56999999</v>
      </c>
      <c r="AU62" s="14">
        <v>112463674.42</v>
      </c>
      <c r="AV62" s="14">
        <f t="shared" si="833"/>
        <v>112463674.42</v>
      </c>
      <c r="AW62" s="14">
        <f t="shared" si="834"/>
        <v>112463674.42</v>
      </c>
      <c r="AX62" s="14">
        <f t="shared" si="835"/>
        <v>112463674.42</v>
      </c>
      <c r="AY62" s="14">
        <f t="shared" si="836"/>
        <v>112463674.42</v>
      </c>
      <c r="AZ62" s="14">
        <f t="shared" si="837"/>
        <v>112463674.42</v>
      </c>
      <c r="BA62" s="14">
        <f t="shared" si="838"/>
        <v>112463674.42</v>
      </c>
      <c r="BB62" s="14">
        <f t="shared" si="839"/>
        <v>112463674.42</v>
      </c>
      <c r="BC62" s="14">
        <f t="shared" si="840"/>
        <v>112463674.42</v>
      </c>
      <c r="BD62" s="230">
        <f t="shared" si="841"/>
        <v>102463674.42</v>
      </c>
      <c r="BE62" s="14">
        <f t="shared" si="842"/>
        <v>102463674.42</v>
      </c>
      <c r="BF62" s="14">
        <f t="shared" si="843"/>
        <v>102463674.42</v>
      </c>
      <c r="BG62" s="14">
        <f t="shared" si="844"/>
        <v>102463674.42</v>
      </c>
      <c r="BH62" s="14">
        <f t="shared" si="845"/>
        <v>102463674.42</v>
      </c>
      <c r="BI62" s="14">
        <f t="shared" si="846"/>
        <v>102463674.42</v>
      </c>
      <c r="BJ62" s="14">
        <v>102474272</v>
      </c>
      <c r="BK62" s="14">
        <f t="shared" si="848"/>
        <v>87474272</v>
      </c>
      <c r="BL62" s="14">
        <f t="shared" si="849"/>
        <v>87474272</v>
      </c>
      <c r="BM62" s="14">
        <f t="shared" si="850"/>
        <v>87474272</v>
      </c>
      <c r="BN62" s="14">
        <f t="shared" si="851"/>
        <v>87474272</v>
      </c>
      <c r="BO62" s="421">
        <v>87477585</v>
      </c>
      <c r="BP62" s="14">
        <f t="shared" si="852"/>
        <v>87477585</v>
      </c>
      <c r="BQ62" s="14">
        <f t="shared" si="853"/>
        <v>87477585</v>
      </c>
      <c r="BR62" s="14">
        <f t="shared" si="854"/>
        <v>87477585</v>
      </c>
      <c r="BS62" s="14">
        <f t="shared" si="855"/>
        <v>87477585</v>
      </c>
      <c r="BT62" s="14">
        <f t="shared" si="856"/>
        <v>87477585</v>
      </c>
      <c r="BU62" s="14">
        <f t="shared" si="857"/>
        <v>87477585</v>
      </c>
      <c r="BV62" s="14">
        <f t="shared" si="858"/>
        <v>77477585</v>
      </c>
      <c r="BW62" s="14">
        <f t="shared" si="859"/>
        <v>77477585</v>
      </c>
      <c r="BX62" s="230">
        <f t="shared" si="860"/>
        <v>47477585</v>
      </c>
      <c r="BY62" s="14">
        <f t="shared" si="861"/>
        <v>47477585</v>
      </c>
      <c r="BZ62" s="14">
        <f t="shared" si="862"/>
        <v>47477585</v>
      </c>
      <c r="CA62" s="14">
        <f t="shared" si="863"/>
        <v>47477585</v>
      </c>
      <c r="CB62" s="14">
        <f t="shared" si="864"/>
        <v>47477585</v>
      </c>
      <c r="CC62" s="14">
        <f t="shared" si="865"/>
        <v>47477585</v>
      </c>
      <c r="CD62" s="14">
        <f t="shared" si="866"/>
        <v>47477585</v>
      </c>
      <c r="CE62" s="14">
        <f t="shared" si="867"/>
        <v>47477585</v>
      </c>
      <c r="CF62" s="14">
        <f t="shared" si="868"/>
        <v>47477585</v>
      </c>
      <c r="CG62" s="14">
        <f t="shared" si="869"/>
        <v>47477585</v>
      </c>
      <c r="CH62" s="14">
        <f t="shared" si="870"/>
        <v>47477585</v>
      </c>
      <c r="CI62" s="421">
        <f t="shared" si="871"/>
        <v>47477585</v>
      </c>
      <c r="CJ62" s="14">
        <v>47485397.710000001</v>
      </c>
      <c r="CK62" s="14">
        <f t="shared" si="872"/>
        <v>47485397.710000001</v>
      </c>
      <c r="CL62" s="14">
        <f t="shared" si="873"/>
        <v>47485397.710000001</v>
      </c>
      <c r="CM62" s="14">
        <f t="shared" si="874"/>
        <v>47485397.710000001</v>
      </c>
      <c r="CN62" s="14">
        <f t="shared" si="875"/>
        <v>47485397.710000001</v>
      </c>
      <c r="CO62" s="14">
        <f t="shared" si="876"/>
        <v>47485397.710000001</v>
      </c>
      <c r="CP62" s="14">
        <f t="shared" si="877"/>
        <v>47485397.710000001</v>
      </c>
      <c r="CQ62" s="14">
        <f t="shared" si="878"/>
        <v>47485397.710000001</v>
      </c>
      <c r="CR62" s="14">
        <f t="shared" si="879"/>
        <v>47485397.710000001</v>
      </c>
      <c r="CS62" s="14">
        <f t="shared" si="880"/>
        <v>47485397.710000001</v>
      </c>
      <c r="CT62" s="230">
        <f t="shared" si="881"/>
        <v>7485397.7100000009</v>
      </c>
      <c r="CU62" s="14">
        <f t="shared" si="882"/>
        <v>485397.71000000089</v>
      </c>
      <c r="CV62" s="14">
        <f t="shared" si="883"/>
        <v>485397.71000000089</v>
      </c>
      <c r="CW62" s="14">
        <f t="shared" si="884"/>
        <v>485397.71000000089</v>
      </c>
      <c r="CX62" s="14">
        <f t="shared" si="885"/>
        <v>485397.71000000089</v>
      </c>
      <c r="CY62" s="14">
        <f t="shared" si="886"/>
        <v>485397.71000000089</v>
      </c>
      <c r="CZ62" s="14">
        <f t="shared" si="887"/>
        <v>485397.71000000089</v>
      </c>
      <c r="DA62" s="14">
        <f t="shared" si="888"/>
        <v>485397.71000000089</v>
      </c>
      <c r="DB62" s="14">
        <f t="shared" si="889"/>
        <v>485397.71000000089</v>
      </c>
      <c r="DC62" s="14">
        <f t="shared" si="890"/>
        <v>485397.71000000089</v>
      </c>
      <c r="DD62" s="14">
        <f t="shared" si="891"/>
        <v>485397.71000000089</v>
      </c>
      <c r="DE62" s="421">
        <f t="shared" si="892"/>
        <v>485397.71000000089</v>
      </c>
      <c r="DF62" s="14">
        <v>487216.28</v>
      </c>
      <c r="DG62" s="14">
        <f t="shared" si="893"/>
        <v>487216.28</v>
      </c>
      <c r="DH62" s="14">
        <f t="shared" si="894"/>
        <v>487216.28</v>
      </c>
      <c r="DI62" s="14">
        <f t="shared" si="895"/>
        <v>487216.28</v>
      </c>
      <c r="DJ62" s="14">
        <f t="shared" si="896"/>
        <v>487216.28</v>
      </c>
      <c r="DK62" s="14">
        <f t="shared" si="897"/>
        <v>487216.28</v>
      </c>
      <c r="DL62" s="14">
        <f t="shared" si="898"/>
        <v>487216.28</v>
      </c>
      <c r="DM62" s="14">
        <f t="shared" si="899"/>
        <v>487216.28</v>
      </c>
      <c r="DN62" s="14">
        <f t="shared" si="900"/>
        <v>487216.28</v>
      </c>
      <c r="DO62" s="230">
        <f t="shared" si="901"/>
        <v>487216.28</v>
      </c>
      <c r="DP62" s="14">
        <f t="shared" si="902"/>
        <v>487216.28</v>
      </c>
      <c r="DQ62" s="14">
        <f t="shared" si="903"/>
        <v>487216.28</v>
      </c>
      <c r="DR62" s="14">
        <f t="shared" si="904"/>
        <v>487216.28</v>
      </c>
      <c r="DS62" s="14">
        <f t="shared" si="905"/>
        <v>487216.28</v>
      </c>
      <c r="DT62" s="14">
        <f t="shared" si="906"/>
        <v>487216.28</v>
      </c>
      <c r="DU62" s="14">
        <f t="shared" si="907"/>
        <v>487216.28</v>
      </c>
      <c r="DV62" s="14">
        <f t="shared" si="908"/>
        <v>487216.28</v>
      </c>
      <c r="DW62" s="14">
        <f t="shared" si="909"/>
        <v>487216.28</v>
      </c>
      <c r="DX62" s="14">
        <f t="shared" si="910"/>
        <v>487216.28</v>
      </c>
      <c r="DY62" s="14">
        <f t="shared" si="911"/>
        <v>487216.28</v>
      </c>
      <c r="DZ62" s="421">
        <f t="shared" si="912"/>
        <v>487216.28</v>
      </c>
      <c r="EA62" s="14">
        <f t="shared" si="913"/>
        <v>487216.28</v>
      </c>
      <c r="EB62" s="14">
        <f t="shared" si="914"/>
        <v>487216.28</v>
      </c>
      <c r="EC62" s="14">
        <f t="shared" si="915"/>
        <v>487216.28</v>
      </c>
      <c r="ED62" s="14">
        <f t="shared" si="916"/>
        <v>487216.28</v>
      </c>
      <c r="EE62" s="14">
        <f t="shared" si="917"/>
        <v>487216.28</v>
      </c>
      <c r="EF62" s="14">
        <f t="shared" si="918"/>
        <v>487216.28</v>
      </c>
      <c r="EG62" s="14">
        <f t="shared" si="919"/>
        <v>487216.28</v>
      </c>
      <c r="EH62" s="14">
        <f t="shared" si="920"/>
        <v>487216.28</v>
      </c>
      <c r="EI62" s="14">
        <f t="shared" si="921"/>
        <v>487216.28</v>
      </c>
      <c r="EJ62" s="230">
        <f t="shared" si="922"/>
        <v>487216.28</v>
      </c>
      <c r="EK62" s="14">
        <f t="shared" si="923"/>
        <v>487216.28</v>
      </c>
      <c r="EL62" s="14">
        <f t="shared" si="924"/>
        <v>487216.28</v>
      </c>
      <c r="EM62" s="14">
        <f t="shared" si="925"/>
        <v>487216.28</v>
      </c>
      <c r="EN62" s="14">
        <f t="shared" si="926"/>
        <v>487216.28</v>
      </c>
      <c r="EO62" s="14">
        <f t="shared" si="927"/>
        <v>487216.28</v>
      </c>
      <c r="EP62" s="14">
        <f t="shared" si="928"/>
        <v>487216.28</v>
      </c>
      <c r="EQ62" s="14">
        <f t="shared" si="929"/>
        <v>487216.28</v>
      </c>
      <c r="ER62" s="14">
        <f t="shared" si="930"/>
        <v>487216.28</v>
      </c>
      <c r="ES62" s="14">
        <f t="shared" si="931"/>
        <v>487216.28</v>
      </c>
      <c r="ET62" s="14">
        <f t="shared" si="932"/>
        <v>487216.28</v>
      </c>
      <c r="EU62" s="14">
        <f t="shared" si="933"/>
        <v>487216.28</v>
      </c>
      <c r="EV62" s="421">
        <f t="shared" si="934"/>
        <v>487216.28</v>
      </c>
      <c r="EW62" s="14">
        <f t="shared" si="935"/>
        <v>487216.28</v>
      </c>
      <c r="EX62" s="14">
        <f t="shared" si="936"/>
        <v>487216.28</v>
      </c>
      <c r="EY62" s="14">
        <f t="shared" si="937"/>
        <v>487216.28</v>
      </c>
      <c r="EZ62" s="14">
        <f t="shared" si="938"/>
        <v>487216.28</v>
      </c>
      <c r="FA62" s="14">
        <f t="shared" si="939"/>
        <v>487216.28</v>
      </c>
      <c r="FB62" s="14">
        <f t="shared" si="940"/>
        <v>487216.28</v>
      </c>
      <c r="FC62" s="14">
        <f t="shared" si="941"/>
        <v>487216.28</v>
      </c>
      <c r="FD62" s="14">
        <f t="shared" si="942"/>
        <v>487216.28</v>
      </c>
      <c r="FE62" s="14">
        <f t="shared" si="943"/>
        <v>487216.28</v>
      </c>
      <c r="FF62" s="230">
        <f t="shared" si="944"/>
        <v>487216.28</v>
      </c>
      <c r="FG62" s="14">
        <f t="shared" si="945"/>
        <v>487216.28</v>
      </c>
      <c r="FH62" s="14">
        <f t="shared" si="946"/>
        <v>487216.28</v>
      </c>
      <c r="FI62" s="14">
        <f t="shared" si="947"/>
        <v>487216.28</v>
      </c>
      <c r="FJ62" s="14">
        <f t="shared" si="948"/>
        <v>487216.28</v>
      </c>
      <c r="FK62" s="14">
        <f t="shared" si="949"/>
        <v>487216.28</v>
      </c>
      <c r="FL62" s="14">
        <f t="shared" si="950"/>
        <v>487216.28</v>
      </c>
      <c r="FM62" s="14">
        <f t="shared" si="951"/>
        <v>487216.28</v>
      </c>
      <c r="FN62" s="14">
        <f t="shared" si="952"/>
        <v>487216.28</v>
      </c>
      <c r="FO62" s="14">
        <f t="shared" si="953"/>
        <v>487216.28</v>
      </c>
      <c r="FP62" s="14">
        <f t="shared" si="954"/>
        <v>487216.28</v>
      </c>
      <c r="FQ62" s="421">
        <f t="shared" si="955"/>
        <v>487216.28</v>
      </c>
      <c r="FR62" s="14">
        <f t="shared" si="956"/>
        <v>487216.28</v>
      </c>
      <c r="FS62" s="14">
        <f t="shared" si="957"/>
        <v>487216.28</v>
      </c>
      <c r="FT62" s="14">
        <f t="shared" si="958"/>
        <v>487216.28</v>
      </c>
      <c r="FU62" s="14">
        <f t="shared" si="959"/>
        <v>487216.28</v>
      </c>
      <c r="FV62" s="14">
        <f t="shared" si="960"/>
        <v>487216.28</v>
      </c>
      <c r="FW62" s="14">
        <f t="shared" si="961"/>
        <v>487216.28</v>
      </c>
      <c r="FX62" s="14">
        <f t="shared" si="962"/>
        <v>487216.28</v>
      </c>
      <c r="FY62" s="14">
        <f t="shared" si="963"/>
        <v>487216.28</v>
      </c>
      <c r="FZ62" s="230">
        <f t="shared" si="964"/>
        <v>487216.28</v>
      </c>
      <c r="GA62" s="14">
        <f t="shared" si="965"/>
        <v>487216.28</v>
      </c>
      <c r="GB62" s="14">
        <f t="shared" si="966"/>
        <v>487216.28</v>
      </c>
      <c r="GC62" s="14">
        <f t="shared" si="967"/>
        <v>487216.28</v>
      </c>
      <c r="GD62" s="14">
        <f t="shared" si="968"/>
        <v>487216.28</v>
      </c>
      <c r="GE62" s="14">
        <f t="shared" si="969"/>
        <v>487216.28</v>
      </c>
      <c r="GF62" s="14">
        <f t="shared" si="970"/>
        <v>487216.28</v>
      </c>
      <c r="GG62" s="14">
        <f t="shared" si="971"/>
        <v>487216.28</v>
      </c>
      <c r="GH62" s="14">
        <f t="shared" si="972"/>
        <v>487216.28</v>
      </c>
      <c r="GI62" s="14">
        <f t="shared" si="973"/>
        <v>487216.28</v>
      </c>
      <c r="GJ62" s="14">
        <f t="shared" si="974"/>
        <v>487216.28</v>
      </c>
      <c r="GK62" s="421">
        <f t="shared" si="975"/>
        <v>487216.28</v>
      </c>
      <c r="GL62" s="14">
        <f t="shared" si="976"/>
        <v>487216.28</v>
      </c>
      <c r="GM62" s="14">
        <f t="shared" si="977"/>
        <v>487216.28</v>
      </c>
      <c r="GN62" s="14">
        <f t="shared" si="978"/>
        <v>487216.28</v>
      </c>
      <c r="GO62" s="14">
        <f t="shared" si="979"/>
        <v>487216.28</v>
      </c>
      <c r="GP62" s="14">
        <f t="shared" si="980"/>
        <v>487216.28</v>
      </c>
      <c r="GQ62" s="14">
        <f t="shared" si="981"/>
        <v>487216.28</v>
      </c>
      <c r="GR62" s="14">
        <f t="shared" si="982"/>
        <v>487216.28</v>
      </c>
      <c r="GS62" s="14">
        <f t="shared" si="983"/>
        <v>487216.28</v>
      </c>
      <c r="GT62" s="14">
        <f t="shared" si="984"/>
        <v>487216.28</v>
      </c>
      <c r="GU62" s="230">
        <f t="shared" si="985"/>
        <v>487216.28</v>
      </c>
      <c r="GV62" s="14">
        <f t="shared" si="986"/>
        <v>487216.28</v>
      </c>
      <c r="GW62" s="14">
        <f t="shared" si="987"/>
        <v>487216.28</v>
      </c>
      <c r="GX62" s="14">
        <f t="shared" si="988"/>
        <v>487216.28</v>
      </c>
      <c r="GY62" s="14">
        <f t="shared" si="989"/>
        <v>487216.28</v>
      </c>
      <c r="GZ62" s="14">
        <f t="shared" si="990"/>
        <v>487216.28</v>
      </c>
      <c r="HA62" s="14">
        <f t="shared" si="991"/>
        <v>487216.28</v>
      </c>
      <c r="HB62" s="14">
        <f t="shared" si="992"/>
        <v>487216.28</v>
      </c>
      <c r="HC62" s="14">
        <f t="shared" si="993"/>
        <v>487216.28</v>
      </c>
      <c r="HD62" s="14">
        <f t="shared" si="994"/>
        <v>487216.28</v>
      </c>
      <c r="HE62" s="421">
        <f t="shared" si="995"/>
        <v>487216.28</v>
      </c>
      <c r="HF62" s="14">
        <f t="shared" si="996"/>
        <v>487216.28</v>
      </c>
      <c r="HG62" s="14">
        <f t="shared" si="997"/>
        <v>487216.28</v>
      </c>
      <c r="HH62" s="14">
        <f t="shared" si="998"/>
        <v>487216.28</v>
      </c>
      <c r="HI62" s="14">
        <f t="shared" si="999"/>
        <v>487216.28</v>
      </c>
      <c r="HJ62" s="14">
        <f t="shared" si="1000"/>
        <v>487216.28</v>
      </c>
      <c r="HK62" s="14">
        <f t="shared" si="1001"/>
        <v>487216.28</v>
      </c>
      <c r="HL62" s="14">
        <f t="shared" si="1002"/>
        <v>487216.28</v>
      </c>
      <c r="HM62" s="14">
        <f t="shared" si="1003"/>
        <v>487216.28</v>
      </c>
      <c r="HN62" s="14">
        <f t="shared" si="1004"/>
        <v>487216.28</v>
      </c>
      <c r="HO62" s="14">
        <f t="shared" si="1005"/>
        <v>487216.28</v>
      </c>
      <c r="HP62" s="230">
        <f t="shared" si="1006"/>
        <v>487216.28</v>
      </c>
      <c r="HQ62" s="14">
        <f t="shared" si="1007"/>
        <v>487216.28</v>
      </c>
      <c r="HR62" s="14">
        <f t="shared" si="1008"/>
        <v>487216.28</v>
      </c>
      <c r="HS62" s="14">
        <f t="shared" si="1009"/>
        <v>487216.28</v>
      </c>
      <c r="HT62" s="14">
        <f t="shared" si="1010"/>
        <v>487216.28</v>
      </c>
      <c r="HU62" s="14">
        <f t="shared" si="1011"/>
        <v>487216.28</v>
      </c>
      <c r="HV62" s="14">
        <f t="shared" si="1012"/>
        <v>487216.28</v>
      </c>
      <c r="HW62" s="14">
        <f t="shared" si="1013"/>
        <v>487216.28</v>
      </c>
      <c r="HX62" s="14">
        <f t="shared" si="1014"/>
        <v>487216.28</v>
      </c>
      <c r="HY62" s="14">
        <f t="shared" si="1015"/>
        <v>487216.28</v>
      </c>
      <c r="HZ62" s="14">
        <f t="shared" si="1016"/>
        <v>487216.28</v>
      </c>
      <c r="IA62" s="421">
        <f t="shared" si="1017"/>
        <v>487216.28</v>
      </c>
      <c r="IB62" s="14">
        <f t="shared" si="1018"/>
        <v>487216.28</v>
      </c>
      <c r="IC62" s="14">
        <f t="shared" si="1019"/>
        <v>487216.28</v>
      </c>
      <c r="ID62" s="14">
        <f t="shared" si="1020"/>
        <v>487216.28</v>
      </c>
      <c r="IE62" s="14">
        <f t="shared" si="1021"/>
        <v>487216.28</v>
      </c>
      <c r="IF62" s="14">
        <f t="shared" si="1022"/>
        <v>487216.28</v>
      </c>
      <c r="IG62" s="14">
        <f t="shared" si="1023"/>
        <v>487216.28</v>
      </c>
      <c r="IH62" s="14">
        <f t="shared" si="1024"/>
        <v>487216.28</v>
      </c>
      <c r="II62" s="14">
        <f t="shared" si="1025"/>
        <v>487216.28</v>
      </c>
      <c r="IJ62" s="14">
        <f t="shared" si="1026"/>
        <v>487216.28</v>
      </c>
      <c r="IK62" s="14">
        <f t="shared" si="1027"/>
        <v>487216.28</v>
      </c>
      <c r="IL62" s="230">
        <f t="shared" si="1028"/>
        <v>487216.28</v>
      </c>
      <c r="IM62" s="14">
        <f t="shared" si="1029"/>
        <v>487216.28</v>
      </c>
      <c r="IN62" s="14">
        <f t="shared" si="1030"/>
        <v>487216.28</v>
      </c>
      <c r="IO62" s="14">
        <f t="shared" si="1031"/>
        <v>487216.28</v>
      </c>
      <c r="IP62" s="14">
        <f t="shared" si="1032"/>
        <v>487216.28</v>
      </c>
      <c r="IQ62" s="14">
        <f t="shared" si="1033"/>
        <v>487216.28</v>
      </c>
      <c r="IR62" s="14">
        <f t="shared" si="1034"/>
        <v>487216.28</v>
      </c>
      <c r="IS62" s="14">
        <f t="shared" si="1035"/>
        <v>487216.28</v>
      </c>
      <c r="IT62" s="14">
        <f t="shared" si="1036"/>
        <v>487216.28</v>
      </c>
      <c r="IU62" s="14">
        <f t="shared" si="1037"/>
        <v>487216.28</v>
      </c>
      <c r="IV62" s="14">
        <f t="shared" si="1038"/>
        <v>487216.28</v>
      </c>
      <c r="IW62" s="877"/>
      <c r="IX62" s="14">
        <f t="shared" si="1039"/>
        <v>487216.28</v>
      </c>
      <c r="IY62" s="14">
        <f t="shared" si="1040"/>
        <v>487216.28</v>
      </c>
      <c r="IZ62" s="14">
        <f t="shared" si="1041"/>
        <v>487216.28</v>
      </c>
      <c r="JA62" s="14">
        <f t="shared" si="1042"/>
        <v>487216.28</v>
      </c>
      <c r="JB62" s="14">
        <f t="shared" si="1043"/>
        <v>487216.28</v>
      </c>
      <c r="JC62" s="14">
        <f t="shared" si="1044"/>
        <v>487216.28</v>
      </c>
      <c r="JD62" s="14">
        <f t="shared" si="1045"/>
        <v>487216.28</v>
      </c>
      <c r="JE62" s="14">
        <f t="shared" si="1046"/>
        <v>487216.28</v>
      </c>
      <c r="JF62" s="14">
        <f t="shared" si="1047"/>
        <v>487216.28</v>
      </c>
      <c r="JG62" s="14">
        <f t="shared" si="1048"/>
        <v>487216.28</v>
      </c>
      <c r="JH62" s="14">
        <f t="shared" si="1049"/>
        <v>487216.28</v>
      </c>
      <c r="JJ62" s="39" t="e">
        <f>#REF!-JJ24</f>
        <v>#REF!</v>
      </c>
      <c r="JK62" s="14"/>
    </row>
    <row r="63" spans="1:271" ht="14.1" customHeight="1">
      <c r="A63" s="14" t="s">
        <v>19</v>
      </c>
      <c r="B63" s="14"/>
      <c r="C63" s="794">
        <v>117327267</v>
      </c>
      <c r="D63" s="14">
        <f t="shared" si="808"/>
        <v>117327267</v>
      </c>
      <c r="E63" s="14">
        <f t="shared" si="808"/>
        <v>117327267</v>
      </c>
      <c r="F63" s="14">
        <f t="shared" si="808"/>
        <v>117327267</v>
      </c>
      <c r="G63" s="14">
        <f t="shared" si="808"/>
        <v>117327267</v>
      </c>
      <c r="H63" s="14">
        <f t="shared" si="808"/>
        <v>117327267</v>
      </c>
      <c r="I63" s="14">
        <f t="shared" si="808"/>
        <v>117327267</v>
      </c>
      <c r="J63" s="14">
        <f t="shared" si="809"/>
        <v>117327267</v>
      </c>
      <c r="K63" s="14">
        <f t="shared" si="809"/>
        <v>117327267</v>
      </c>
      <c r="L63" s="14">
        <f t="shared" si="809"/>
        <v>117327267</v>
      </c>
      <c r="M63" s="14">
        <f t="shared" si="809"/>
        <v>117327267</v>
      </c>
      <c r="N63" s="230">
        <f t="shared" si="809"/>
        <v>117327267</v>
      </c>
      <c r="O63" s="14">
        <f t="shared" si="809"/>
        <v>117327267</v>
      </c>
      <c r="P63" s="14">
        <f t="shared" si="809"/>
        <v>117327267</v>
      </c>
      <c r="Q63" s="14">
        <f t="shared" si="809"/>
        <v>117327267</v>
      </c>
      <c r="R63" s="14">
        <f t="shared" si="809"/>
        <v>117327267</v>
      </c>
      <c r="S63" s="14">
        <f t="shared" si="809"/>
        <v>117327267</v>
      </c>
      <c r="T63" s="14">
        <f t="shared" si="809"/>
        <v>117327267</v>
      </c>
      <c r="U63" s="14">
        <f t="shared" si="809"/>
        <v>117327267</v>
      </c>
      <c r="V63" s="39">
        <f t="shared" si="809"/>
        <v>117327267</v>
      </c>
      <c r="W63" s="14">
        <v>117346024.62</v>
      </c>
      <c r="X63" s="14">
        <f t="shared" si="810"/>
        <v>117346024.62</v>
      </c>
      <c r="Y63" s="14">
        <f t="shared" si="811"/>
        <v>117346024.62</v>
      </c>
      <c r="Z63" s="14">
        <f t="shared" si="812"/>
        <v>117346024.62</v>
      </c>
      <c r="AA63" s="14">
        <f t="shared" si="813"/>
        <v>117346024.62</v>
      </c>
      <c r="AB63" s="14">
        <f t="shared" si="814"/>
        <v>117346024.62</v>
      </c>
      <c r="AC63" s="14">
        <f t="shared" si="815"/>
        <v>117346024.62</v>
      </c>
      <c r="AD63" s="14">
        <f t="shared" si="816"/>
        <v>117346024.62</v>
      </c>
      <c r="AE63" s="14">
        <f t="shared" si="817"/>
        <v>117346024.62</v>
      </c>
      <c r="AF63" s="14">
        <f t="shared" si="818"/>
        <v>117346024.62</v>
      </c>
      <c r="AG63" s="230">
        <f t="shared" si="819"/>
        <v>117346024.62</v>
      </c>
      <c r="AH63" s="14">
        <f t="shared" si="820"/>
        <v>117346024.62</v>
      </c>
      <c r="AI63" s="14">
        <f t="shared" si="821"/>
        <v>117346024.62</v>
      </c>
      <c r="AJ63" s="14">
        <f t="shared" si="822"/>
        <v>117346024.62</v>
      </c>
      <c r="AK63" s="14">
        <f t="shared" si="823"/>
        <v>117346024.62</v>
      </c>
      <c r="AL63" s="14">
        <f t="shared" si="824"/>
        <v>117346024.62</v>
      </c>
      <c r="AM63" s="14">
        <f t="shared" si="825"/>
        <v>117346024.62</v>
      </c>
      <c r="AN63" s="14">
        <f t="shared" si="826"/>
        <v>117346024.62</v>
      </c>
      <c r="AO63" s="582">
        <f t="shared" si="827"/>
        <v>117346024.62</v>
      </c>
      <c r="AP63" s="14">
        <f t="shared" si="828"/>
        <v>117346024.62</v>
      </c>
      <c r="AQ63" s="14">
        <f t="shared" si="829"/>
        <v>117346024.62</v>
      </c>
      <c r="AR63" s="14">
        <f t="shared" si="830"/>
        <v>117346024.62</v>
      </c>
      <c r="AS63" s="421">
        <f t="shared" si="831"/>
        <v>117346024.62</v>
      </c>
      <c r="AT63" s="14">
        <v>117366930.64</v>
      </c>
      <c r="AU63" s="14">
        <f t="shared" ref="AU63" si="1050">AT63-AU25</f>
        <v>117366930.64</v>
      </c>
      <c r="AV63" s="14">
        <f t="shared" si="833"/>
        <v>117366930.64</v>
      </c>
      <c r="AW63" s="14">
        <f t="shared" si="834"/>
        <v>117366930.64</v>
      </c>
      <c r="AX63" s="14">
        <f t="shared" si="835"/>
        <v>117366930.64</v>
      </c>
      <c r="AY63" s="14">
        <f t="shared" si="836"/>
        <v>117366930.64</v>
      </c>
      <c r="AZ63" s="14">
        <f t="shared" si="837"/>
        <v>117366930.64</v>
      </c>
      <c r="BA63" s="14">
        <f t="shared" si="838"/>
        <v>117366930.64</v>
      </c>
      <c r="BB63" s="14">
        <f t="shared" si="839"/>
        <v>117366930.64</v>
      </c>
      <c r="BC63" s="14">
        <f t="shared" si="840"/>
        <v>117366930.64</v>
      </c>
      <c r="BD63" s="230">
        <f t="shared" si="841"/>
        <v>117366930.64</v>
      </c>
      <c r="BE63" s="14">
        <f t="shared" si="842"/>
        <v>117366930.64</v>
      </c>
      <c r="BF63" s="14">
        <f t="shared" si="843"/>
        <v>117366930.64</v>
      </c>
      <c r="BG63" s="14">
        <f t="shared" si="844"/>
        <v>117366930.64</v>
      </c>
      <c r="BH63" s="14">
        <f t="shared" si="845"/>
        <v>117366930.64</v>
      </c>
      <c r="BI63" s="14">
        <f t="shared" si="846"/>
        <v>117366930.64</v>
      </c>
      <c r="BJ63" s="14">
        <f t="shared" si="847"/>
        <v>117366930.64</v>
      </c>
      <c r="BK63" s="14">
        <f t="shared" si="848"/>
        <v>117366930.64</v>
      </c>
      <c r="BL63" s="14">
        <f t="shared" si="849"/>
        <v>117366930.64</v>
      </c>
      <c r="BM63" s="14">
        <f t="shared" si="850"/>
        <v>117366930.64</v>
      </c>
      <c r="BN63" s="14">
        <f t="shared" si="851"/>
        <v>117366930.64</v>
      </c>
      <c r="BO63" s="421">
        <f>102385881+15000000</f>
        <v>117385881</v>
      </c>
      <c r="BP63" s="14">
        <f t="shared" si="852"/>
        <v>102385881</v>
      </c>
      <c r="BQ63" s="14">
        <f t="shared" si="853"/>
        <v>102385881</v>
      </c>
      <c r="BR63" s="14">
        <f t="shared" si="854"/>
        <v>102385881</v>
      </c>
      <c r="BS63" s="14">
        <f t="shared" si="855"/>
        <v>102385881</v>
      </c>
      <c r="BT63" s="14">
        <f t="shared" si="856"/>
        <v>102385881</v>
      </c>
      <c r="BU63" s="14">
        <f t="shared" si="857"/>
        <v>102385881</v>
      </c>
      <c r="BV63" s="14">
        <f t="shared" si="858"/>
        <v>102385881</v>
      </c>
      <c r="BW63" s="14">
        <f t="shared" si="859"/>
        <v>102385881</v>
      </c>
      <c r="BX63" s="230">
        <f t="shared" si="860"/>
        <v>72385881</v>
      </c>
      <c r="BY63" s="14">
        <f t="shared" si="861"/>
        <v>72385881</v>
      </c>
      <c r="BZ63" s="14">
        <f t="shared" si="862"/>
        <v>72385881</v>
      </c>
      <c r="CA63" s="14">
        <f t="shared" si="863"/>
        <v>72385881</v>
      </c>
      <c r="CB63" s="14">
        <f t="shared" si="864"/>
        <v>72385881</v>
      </c>
      <c r="CC63" s="14">
        <f t="shared" si="865"/>
        <v>72385881</v>
      </c>
      <c r="CD63" s="14">
        <f t="shared" si="866"/>
        <v>72385881</v>
      </c>
      <c r="CE63" s="14">
        <f t="shared" si="867"/>
        <v>72385881</v>
      </c>
      <c r="CF63" s="14">
        <f t="shared" si="868"/>
        <v>72385881</v>
      </c>
      <c r="CG63" s="14">
        <f t="shared" si="869"/>
        <v>72385881</v>
      </c>
      <c r="CH63" s="14">
        <f t="shared" si="870"/>
        <v>72385881</v>
      </c>
      <c r="CI63" s="421">
        <f t="shared" si="871"/>
        <v>72385881</v>
      </c>
      <c r="CJ63" s="14">
        <v>72398799.659999996</v>
      </c>
      <c r="CK63" s="14">
        <f t="shared" si="872"/>
        <v>72398799.659999996</v>
      </c>
      <c r="CL63" s="14">
        <f t="shared" si="873"/>
        <v>72398799.659999996</v>
      </c>
      <c r="CM63" s="14">
        <f t="shared" si="874"/>
        <v>58398799.659999996</v>
      </c>
      <c r="CN63" s="14">
        <f t="shared" si="875"/>
        <v>58398799.659999996</v>
      </c>
      <c r="CO63" s="14">
        <f t="shared" si="876"/>
        <v>58398799.659999996</v>
      </c>
      <c r="CP63" s="14">
        <f t="shared" si="877"/>
        <v>58398799.659999996</v>
      </c>
      <c r="CQ63" s="14">
        <f t="shared" si="878"/>
        <v>58398799.659999996</v>
      </c>
      <c r="CR63" s="14">
        <f t="shared" si="879"/>
        <v>58398799.659999996</v>
      </c>
      <c r="CS63" s="14">
        <f t="shared" si="880"/>
        <v>58398799.659999996</v>
      </c>
      <c r="CT63" s="230">
        <f t="shared" si="881"/>
        <v>48398799.659999996</v>
      </c>
      <c r="CU63" s="14">
        <f t="shared" si="882"/>
        <v>48398799.659999996</v>
      </c>
      <c r="CV63" s="14">
        <f t="shared" si="883"/>
        <v>34398799.659999996</v>
      </c>
      <c r="CW63" s="14">
        <f t="shared" si="884"/>
        <v>34398799.659999996</v>
      </c>
      <c r="CX63" s="14">
        <f t="shared" si="885"/>
        <v>34398799.659999996</v>
      </c>
      <c r="CY63" s="14">
        <f t="shared" si="886"/>
        <v>34398799.659999996</v>
      </c>
      <c r="CZ63" s="14">
        <f t="shared" si="887"/>
        <v>34398799.659999996</v>
      </c>
      <c r="DA63" s="14">
        <f t="shared" si="888"/>
        <v>34398799.659999996</v>
      </c>
      <c r="DB63" s="14">
        <f t="shared" si="889"/>
        <v>34398799.659999996</v>
      </c>
      <c r="DC63" s="14">
        <f t="shared" si="890"/>
        <v>34398799.659999996</v>
      </c>
      <c r="DD63" s="14">
        <f t="shared" si="891"/>
        <v>34398799.659999996</v>
      </c>
      <c r="DE63" s="421">
        <f t="shared" si="892"/>
        <v>21398799.659999996</v>
      </c>
      <c r="DF63" s="14">
        <v>21405804.579999998</v>
      </c>
      <c r="DG63" s="14">
        <f t="shared" si="893"/>
        <v>21405804.579999998</v>
      </c>
      <c r="DH63" s="14">
        <f t="shared" si="894"/>
        <v>21405804.579999998</v>
      </c>
      <c r="DI63" s="14">
        <f t="shared" si="895"/>
        <v>21405804.579999998</v>
      </c>
      <c r="DJ63" s="14">
        <f t="shared" si="896"/>
        <v>21405804.579999998</v>
      </c>
      <c r="DK63" s="14">
        <f t="shared" si="897"/>
        <v>21405804.579999998</v>
      </c>
      <c r="DL63" s="14">
        <f t="shared" si="898"/>
        <v>21405804.579999998</v>
      </c>
      <c r="DM63" s="14">
        <f t="shared" si="899"/>
        <v>21405804.579999998</v>
      </c>
      <c r="DN63" s="14">
        <f t="shared" si="900"/>
        <v>21405804.579999998</v>
      </c>
      <c r="DO63" s="230">
        <f t="shared" si="901"/>
        <v>21405804.579999998</v>
      </c>
      <c r="DP63" s="14">
        <f t="shared" si="902"/>
        <v>21405804.579999998</v>
      </c>
      <c r="DQ63" s="14">
        <f t="shared" si="903"/>
        <v>21405804.579999998</v>
      </c>
      <c r="DR63" s="14">
        <f t="shared" si="904"/>
        <v>21405804.579999998</v>
      </c>
      <c r="DS63" s="14">
        <f t="shared" si="905"/>
        <v>21405804.579999998</v>
      </c>
      <c r="DT63" s="14">
        <f t="shared" si="906"/>
        <v>21405804.579999998</v>
      </c>
      <c r="DU63" s="14">
        <f t="shared" si="907"/>
        <v>21405804.579999998</v>
      </c>
      <c r="DV63" s="14">
        <f t="shared" si="908"/>
        <v>21405804.579999998</v>
      </c>
      <c r="DW63" s="14">
        <f t="shared" si="909"/>
        <v>21405804.579999998</v>
      </c>
      <c r="DX63" s="14">
        <f t="shared" si="910"/>
        <v>21405804.579999998</v>
      </c>
      <c r="DY63" s="14">
        <f t="shared" si="911"/>
        <v>21405804.579999998</v>
      </c>
      <c r="DZ63" s="421">
        <f t="shared" si="912"/>
        <v>21405804.579999998</v>
      </c>
      <c r="EA63" s="14">
        <f t="shared" si="913"/>
        <v>21405804.579999998</v>
      </c>
      <c r="EB63" s="14">
        <f t="shared" si="914"/>
        <v>21405804.579999998</v>
      </c>
      <c r="EC63" s="14">
        <f t="shared" si="915"/>
        <v>21405804.579999998</v>
      </c>
      <c r="ED63" s="14">
        <f t="shared" si="916"/>
        <v>21405804.579999998</v>
      </c>
      <c r="EE63" s="14">
        <f t="shared" si="917"/>
        <v>21405804.579999998</v>
      </c>
      <c r="EF63" s="14">
        <f t="shared" si="918"/>
        <v>21405804.579999998</v>
      </c>
      <c r="EG63" s="14">
        <f t="shared" si="919"/>
        <v>21405804.579999998</v>
      </c>
      <c r="EH63" s="14">
        <f t="shared" si="920"/>
        <v>21405804.579999998</v>
      </c>
      <c r="EI63" s="14">
        <f t="shared" si="921"/>
        <v>21405804.579999998</v>
      </c>
      <c r="EJ63" s="230">
        <f t="shared" si="922"/>
        <v>21405804.579999998</v>
      </c>
      <c r="EK63" s="14">
        <f t="shared" si="923"/>
        <v>21405804.579999998</v>
      </c>
      <c r="EL63" s="14">
        <f t="shared" si="924"/>
        <v>21405804.579999998</v>
      </c>
      <c r="EM63" s="14">
        <f t="shared" si="925"/>
        <v>21405804.579999998</v>
      </c>
      <c r="EN63" s="14">
        <f t="shared" si="926"/>
        <v>21405804.579999998</v>
      </c>
      <c r="EO63" s="14">
        <f t="shared" si="927"/>
        <v>21405804.579999998</v>
      </c>
      <c r="EP63" s="14">
        <f t="shared" si="928"/>
        <v>21405804.579999998</v>
      </c>
      <c r="EQ63" s="14">
        <f t="shared" si="929"/>
        <v>21405804.579999998</v>
      </c>
      <c r="ER63" s="14">
        <f t="shared" si="930"/>
        <v>21405804.579999998</v>
      </c>
      <c r="ES63" s="14">
        <f t="shared" si="931"/>
        <v>21405804.579999998</v>
      </c>
      <c r="ET63" s="14">
        <f t="shared" si="932"/>
        <v>21405804.579999998</v>
      </c>
      <c r="EU63" s="14">
        <f t="shared" si="933"/>
        <v>21405804.579999998</v>
      </c>
      <c r="EV63" s="421">
        <f t="shared" si="934"/>
        <v>21405804.579999998</v>
      </c>
      <c r="EW63" s="14">
        <f t="shared" si="935"/>
        <v>21405804.579999998</v>
      </c>
      <c r="EX63" s="14">
        <f t="shared" si="936"/>
        <v>21405804.579999998</v>
      </c>
      <c r="EY63" s="14">
        <f t="shared" si="937"/>
        <v>21405804.579999998</v>
      </c>
      <c r="EZ63" s="14">
        <f t="shared" si="938"/>
        <v>21405804.579999998</v>
      </c>
      <c r="FA63" s="14">
        <f t="shared" si="939"/>
        <v>21405804.579999998</v>
      </c>
      <c r="FB63" s="14">
        <f t="shared" si="940"/>
        <v>21405804.579999998</v>
      </c>
      <c r="FC63" s="14">
        <f t="shared" si="941"/>
        <v>21405804.579999998</v>
      </c>
      <c r="FD63" s="14">
        <f t="shared" si="942"/>
        <v>21405804.579999998</v>
      </c>
      <c r="FE63" s="14">
        <f t="shared" si="943"/>
        <v>21405804.579999998</v>
      </c>
      <c r="FF63" s="230">
        <f t="shared" si="944"/>
        <v>21405804.579999998</v>
      </c>
      <c r="FG63" s="14">
        <f t="shared" si="945"/>
        <v>21405804.579999998</v>
      </c>
      <c r="FH63" s="14">
        <f t="shared" si="946"/>
        <v>21405804.579999998</v>
      </c>
      <c r="FI63" s="14">
        <f t="shared" si="947"/>
        <v>21405804.579999998</v>
      </c>
      <c r="FJ63" s="14">
        <f t="shared" si="948"/>
        <v>21405804.579999998</v>
      </c>
      <c r="FK63" s="14">
        <f t="shared" si="949"/>
        <v>21405804.579999998</v>
      </c>
      <c r="FL63" s="14">
        <f t="shared" si="950"/>
        <v>21405804.579999998</v>
      </c>
      <c r="FM63" s="14">
        <f t="shared" si="951"/>
        <v>21405804.579999998</v>
      </c>
      <c r="FN63" s="14">
        <f t="shared" si="952"/>
        <v>21405804.579999998</v>
      </c>
      <c r="FO63" s="14">
        <f t="shared" si="953"/>
        <v>21405804.579999998</v>
      </c>
      <c r="FP63" s="14">
        <f t="shared" si="954"/>
        <v>21405804.579999998</v>
      </c>
      <c r="FQ63" s="421">
        <f t="shared" si="955"/>
        <v>21405804.579999998</v>
      </c>
      <c r="FR63" s="14">
        <f t="shared" si="956"/>
        <v>21405804.579999998</v>
      </c>
      <c r="FS63" s="14">
        <f t="shared" si="957"/>
        <v>21405804.579999998</v>
      </c>
      <c r="FT63" s="14">
        <f t="shared" si="958"/>
        <v>21405804.579999998</v>
      </c>
      <c r="FU63" s="14">
        <f t="shared" si="959"/>
        <v>21405804.579999998</v>
      </c>
      <c r="FV63" s="14">
        <f t="shared" si="960"/>
        <v>21405804.579999998</v>
      </c>
      <c r="FW63" s="14">
        <f t="shared" si="961"/>
        <v>21405804.579999998</v>
      </c>
      <c r="FX63" s="14">
        <f t="shared" si="962"/>
        <v>21405804.579999998</v>
      </c>
      <c r="FY63" s="14">
        <f t="shared" si="963"/>
        <v>21405804.579999998</v>
      </c>
      <c r="FZ63" s="230">
        <f t="shared" si="964"/>
        <v>21405804.579999998</v>
      </c>
      <c r="GA63" s="14">
        <f t="shared" si="965"/>
        <v>21405804.579999998</v>
      </c>
      <c r="GB63" s="14">
        <f t="shared" si="966"/>
        <v>21405804.579999998</v>
      </c>
      <c r="GC63" s="14">
        <f t="shared" si="967"/>
        <v>21405804.579999998</v>
      </c>
      <c r="GD63" s="14">
        <f t="shared" si="968"/>
        <v>21405804.579999998</v>
      </c>
      <c r="GE63" s="14">
        <f t="shared" si="969"/>
        <v>21405804.579999998</v>
      </c>
      <c r="GF63" s="14">
        <f t="shared" si="970"/>
        <v>21405804.579999998</v>
      </c>
      <c r="GG63" s="14">
        <f t="shared" si="971"/>
        <v>21405804.579999998</v>
      </c>
      <c r="GH63" s="14">
        <f t="shared" si="972"/>
        <v>21405804.579999998</v>
      </c>
      <c r="GI63" s="14">
        <f t="shared" si="973"/>
        <v>21405804.579999998</v>
      </c>
      <c r="GJ63" s="14">
        <f t="shared" si="974"/>
        <v>21405804.579999998</v>
      </c>
      <c r="GK63" s="421">
        <f t="shared" si="975"/>
        <v>21405804.579999998</v>
      </c>
      <c r="GL63" s="14">
        <f t="shared" si="976"/>
        <v>21405804.579999998</v>
      </c>
      <c r="GM63" s="14">
        <f t="shared" si="977"/>
        <v>21405804.579999998</v>
      </c>
      <c r="GN63" s="14">
        <f t="shared" si="978"/>
        <v>21405804.579999998</v>
      </c>
      <c r="GO63" s="14">
        <f t="shared" si="979"/>
        <v>21405804.579999998</v>
      </c>
      <c r="GP63" s="14">
        <f t="shared" si="980"/>
        <v>21405804.579999998</v>
      </c>
      <c r="GQ63" s="14">
        <f t="shared" si="981"/>
        <v>21405804.579999998</v>
      </c>
      <c r="GR63" s="14">
        <f t="shared" si="982"/>
        <v>21405804.579999998</v>
      </c>
      <c r="GS63" s="14">
        <f t="shared" si="983"/>
        <v>21405804.579999998</v>
      </c>
      <c r="GT63" s="14">
        <f t="shared" si="984"/>
        <v>21405804.579999998</v>
      </c>
      <c r="GU63" s="230">
        <f t="shared" si="985"/>
        <v>21405804.579999998</v>
      </c>
      <c r="GV63" s="14">
        <f t="shared" si="986"/>
        <v>21405804.579999998</v>
      </c>
      <c r="GW63" s="14">
        <f t="shared" si="987"/>
        <v>21405804.579999998</v>
      </c>
      <c r="GX63" s="14">
        <f t="shared" si="988"/>
        <v>21405804.579999998</v>
      </c>
      <c r="GY63" s="14">
        <f t="shared" si="989"/>
        <v>21405804.579999998</v>
      </c>
      <c r="GZ63" s="14">
        <f t="shared" si="990"/>
        <v>21405804.579999998</v>
      </c>
      <c r="HA63" s="14">
        <f t="shared" si="991"/>
        <v>21405804.579999998</v>
      </c>
      <c r="HB63" s="14">
        <f t="shared" si="992"/>
        <v>21405804.579999998</v>
      </c>
      <c r="HC63" s="14">
        <f t="shared" si="993"/>
        <v>21405804.579999998</v>
      </c>
      <c r="HD63" s="14">
        <f t="shared" si="994"/>
        <v>21405804.579999998</v>
      </c>
      <c r="HE63" s="421">
        <f t="shared" si="995"/>
        <v>21405804.579999998</v>
      </c>
      <c r="HF63" s="14">
        <f t="shared" si="996"/>
        <v>21405804.579999998</v>
      </c>
      <c r="HG63" s="14">
        <f t="shared" si="997"/>
        <v>21405804.579999998</v>
      </c>
      <c r="HH63" s="14">
        <f t="shared" si="998"/>
        <v>21405804.579999998</v>
      </c>
      <c r="HI63" s="14">
        <f t="shared" si="999"/>
        <v>21405804.579999998</v>
      </c>
      <c r="HJ63" s="14">
        <f t="shared" si="1000"/>
        <v>21405804.579999998</v>
      </c>
      <c r="HK63" s="14">
        <f t="shared" si="1001"/>
        <v>21405804.579999998</v>
      </c>
      <c r="HL63" s="14">
        <f t="shared" si="1002"/>
        <v>21405804.579999998</v>
      </c>
      <c r="HM63" s="14">
        <f t="shared" si="1003"/>
        <v>21405804.579999998</v>
      </c>
      <c r="HN63" s="14">
        <f t="shared" si="1004"/>
        <v>21405804.579999998</v>
      </c>
      <c r="HO63" s="14">
        <f t="shared" si="1005"/>
        <v>21405804.579999998</v>
      </c>
      <c r="HP63" s="230">
        <f t="shared" si="1006"/>
        <v>21405804.579999998</v>
      </c>
      <c r="HQ63" s="14">
        <f t="shared" si="1007"/>
        <v>21405804.579999998</v>
      </c>
      <c r="HR63" s="14">
        <f t="shared" si="1008"/>
        <v>21405804.579999998</v>
      </c>
      <c r="HS63" s="14">
        <f t="shared" si="1009"/>
        <v>21405804.579999998</v>
      </c>
      <c r="HT63" s="14">
        <f t="shared" si="1010"/>
        <v>21405804.579999998</v>
      </c>
      <c r="HU63" s="14">
        <f t="shared" si="1011"/>
        <v>21405804.579999998</v>
      </c>
      <c r="HV63" s="14">
        <f t="shared" si="1012"/>
        <v>21405804.579999998</v>
      </c>
      <c r="HW63" s="14">
        <f t="shared" si="1013"/>
        <v>21405804.579999998</v>
      </c>
      <c r="HX63" s="14">
        <f t="shared" si="1014"/>
        <v>21405804.579999998</v>
      </c>
      <c r="HY63" s="14">
        <f t="shared" si="1015"/>
        <v>21405804.579999998</v>
      </c>
      <c r="HZ63" s="14">
        <f t="shared" si="1016"/>
        <v>21405804.579999998</v>
      </c>
      <c r="IA63" s="421">
        <f t="shared" si="1017"/>
        <v>21405804.579999998</v>
      </c>
      <c r="IB63" s="14">
        <f t="shared" si="1018"/>
        <v>21405804.579999998</v>
      </c>
      <c r="IC63" s="14">
        <f t="shared" si="1019"/>
        <v>21405804.579999998</v>
      </c>
      <c r="ID63" s="14">
        <f t="shared" si="1020"/>
        <v>21405804.579999998</v>
      </c>
      <c r="IE63" s="14">
        <f t="shared" si="1021"/>
        <v>21405804.579999998</v>
      </c>
      <c r="IF63" s="14">
        <f t="shared" si="1022"/>
        <v>21405804.579999998</v>
      </c>
      <c r="IG63" s="14">
        <f t="shared" si="1023"/>
        <v>21405804.579999998</v>
      </c>
      <c r="IH63" s="14">
        <f t="shared" si="1024"/>
        <v>21405804.579999998</v>
      </c>
      <c r="II63" s="14">
        <f t="shared" si="1025"/>
        <v>21405804.579999998</v>
      </c>
      <c r="IJ63" s="14">
        <f t="shared" si="1026"/>
        <v>21405804.579999998</v>
      </c>
      <c r="IK63" s="14">
        <f t="shared" si="1027"/>
        <v>21405804.579999998</v>
      </c>
      <c r="IL63" s="230">
        <f t="shared" si="1028"/>
        <v>21405804.579999998</v>
      </c>
      <c r="IM63" s="14">
        <f t="shared" si="1029"/>
        <v>21405804.579999998</v>
      </c>
      <c r="IN63" s="14">
        <f t="shared" si="1030"/>
        <v>21405804.579999998</v>
      </c>
      <c r="IO63" s="14">
        <f t="shared" si="1031"/>
        <v>21405804.579999998</v>
      </c>
      <c r="IP63" s="14">
        <f t="shared" si="1032"/>
        <v>21405804.579999998</v>
      </c>
      <c r="IQ63" s="14">
        <f t="shared" si="1033"/>
        <v>21405804.579999998</v>
      </c>
      <c r="IR63" s="14">
        <f t="shared" si="1034"/>
        <v>21405804.579999998</v>
      </c>
      <c r="IS63" s="14">
        <f t="shared" si="1035"/>
        <v>21405804.579999998</v>
      </c>
      <c r="IT63" s="14">
        <f t="shared" si="1036"/>
        <v>21405804.579999998</v>
      </c>
      <c r="IU63" s="14">
        <f t="shared" si="1037"/>
        <v>21405804.579999998</v>
      </c>
      <c r="IV63" s="14">
        <f t="shared" si="1038"/>
        <v>21405804.579999998</v>
      </c>
      <c r="IW63" s="877"/>
      <c r="IX63" s="14">
        <f t="shared" si="1039"/>
        <v>21405804.579999998</v>
      </c>
      <c r="IY63" s="14">
        <f t="shared" si="1040"/>
        <v>21405804.579999998</v>
      </c>
      <c r="IZ63" s="14">
        <f t="shared" si="1041"/>
        <v>21405804.579999998</v>
      </c>
      <c r="JA63" s="14">
        <f t="shared" si="1042"/>
        <v>21405804.579999998</v>
      </c>
      <c r="JB63" s="14">
        <f t="shared" si="1043"/>
        <v>21405804.579999998</v>
      </c>
      <c r="JC63" s="14">
        <f t="shared" si="1044"/>
        <v>21405804.579999998</v>
      </c>
      <c r="JD63" s="14">
        <f t="shared" si="1045"/>
        <v>21405804.579999998</v>
      </c>
      <c r="JE63" s="14">
        <f t="shared" si="1046"/>
        <v>21405804.579999998</v>
      </c>
      <c r="JF63" s="14">
        <f t="shared" si="1047"/>
        <v>21405804.579999998</v>
      </c>
      <c r="JG63" s="14">
        <f t="shared" si="1048"/>
        <v>21405804.579999998</v>
      </c>
      <c r="JH63" s="14">
        <f t="shared" si="1049"/>
        <v>21405804.579999998</v>
      </c>
      <c r="JJ63" s="39" t="e">
        <f>#REF!-JJ25</f>
        <v>#REF!</v>
      </c>
      <c r="JK63" s="14"/>
    </row>
    <row r="64" spans="1:271" ht="14.1" customHeight="1">
      <c r="A64" s="14" t="s">
        <v>56</v>
      </c>
      <c r="B64" s="14"/>
      <c r="C64" s="794">
        <v>14931497</v>
      </c>
      <c r="D64" s="14">
        <f t="shared" ref="D64:I64" si="1051">+C64-D22</f>
        <v>14931497</v>
      </c>
      <c r="E64" s="14">
        <f t="shared" si="1051"/>
        <v>14931497</v>
      </c>
      <c r="F64" s="14">
        <f t="shared" si="1051"/>
        <v>14931497</v>
      </c>
      <c r="G64" s="14">
        <f t="shared" si="1051"/>
        <v>14931497</v>
      </c>
      <c r="H64" s="14">
        <f t="shared" si="1051"/>
        <v>14931497</v>
      </c>
      <c r="I64" s="14">
        <f t="shared" si="1051"/>
        <v>14931497</v>
      </c>
      <c r="J64" s="14">
        <f t="shared" ref="J64:V64" si="1052">+I64-J22</f>
        <v>14931497</v>
      </c>
      <c r="K64" s="14">
        <f t="shared" si="1052"/>
        <v>14931497</v>
      </c>
      <c r="L64" s="14">
        <f t="shared" si="1052"/>
        <v>14931497</v>
      </c>
      <c r="M64" s="14">
        <f t="shared" si="1052"/>
        <v>14931497</v>
      </c>
      <c r="N64" s="230">
        <f t="shared" si="1052"/>
        <v>14931497</v>
      </c>
      <c r="O64" s="14">
        <f t="shared" si="1052"/>
        <v>14931497</v>
      </c>
      <c r="P64" s="14">
        <f t="shared" si="1052"/>
        <v>14931497</v>
      </c>
      <c r="Q64" s="14">
        <f t="shared" si="1052"/>
        <v>14931497</v>
      </c>
      <c r="R64" s="14">
        <f t="shared" si="1052"/>
        <v>14931497</v>
      </c>
      <c r="S64" s="14">
        <f t="shared" si="1052"/>
        <v>14931497</v>
      </c>
      <c r="T64" s="14">
        <v>19670339.710000001</v>
      </c>
      <c r="U64" s="14">
        <f t="shared" si="1052"/>
        <v>19670339.710000001</v>
      </c>
      <c r="V64" s="39">
        <f t="shared" si="1052"/>
        <v>19670339.710000001</v>
      </c>
      <c r="W64" s="14">
        <v>20092219.870000001</v>
      </c>
      <c r="X64" s="14">
        <f t="shared" ref="X64" si="1053">+W64-X22</f>
        <v>20092219.870000001</v>
      </c>
      <c r="Y64" s="14">
        <f t="shared" ref="Y64" si="1054">+X64-Y22</f>
        <v>20092219.870000001</v>
      </c>
      <c r="Z64" s="14">
        <f t="shared" ref="Z64" si="1055">+Y64-Z22</f>
        <v>20092219.870000001</v>
      </c>
      <c r="AA64" s="14">
        <f t="shared" ref="AA64" si="1056">+Z64-AA22</f>
        <v>20092219.870000001</v>
      </c>
      <c r="AB64" s="14">
        <f t="shared" ref="AB64" si="1057">+AA64-AB22</f>
        <v>20092219.870000001</v>
      </c>
      <c r="AC64" s="14">
        <f t="shared" ref="AC64" si="1058">+AB64-AC22</f>
        <v>20092219.870000001</v>
      </c>
      <c r="AD64" s="14">
        <f t="shared" ref="AD64" si="1059">+AC64-AD22</f>
        <v>20092219.870000001</v>
      </c>
      <c r="AE64" s="14">
        <f t="shared" ref="AE64" si="1060">+AD64-AE22</f>
        <v>20092219.870000001</v>
      </c>
      <c r="AF64" s="14">
        <f t="shared" ref="AF64" si="1061">+AE64-AF22</f>
        <v>20092219.870000001</v>
      </c>
      <c r="AG64" s="230">
        <f t="shared" ref="AG64" si="1062">+AF64-AG22</f>
        <v>20092219.870000001</v>
      </c>
      <c r="AH64" s="14">
        <f t="shared" ref="AH64" si="1063">+AG64-AH22</f>
        <v>20092219.870000001</v>
      </c>
      <c r="AI64" s="14">
        <f t="shared" ref="AI64" si="1064">+AH64-AI22</f>
        <v>20092219.870000001</v>
      </c>
      <c r="AJ64" s="14">
        <f t="shared" ref="AJ64" si="1065">+AI64-AJ22</f>
        <v>20092219.870000001</v>
      </c>
      <c r="AK64" s="14">
        <f>+AJ64-AK22+8802.67+144581.76</f>
        <v>20245604.300000004</v>
      </c>
      <c r="AL64" s="14">
        <f t="shared" ref="AL64" si="1066">+AK64-AL22</f>
        <v>20245604.300000004</v>
      </c>
      <c r="AM64" s="14">
        <f t="shared" ref="AM64" si="1067">+AL64-AM22</f>
        <v>20245604.300000004</v>
      </c>
      <c r="AN64" s="14">
        <f t="shared" ref="AN64" si="1068">+AM64-AN22</f>
        <v>20245604.300000004</v>
      </c>
      <c r="AO64" s="582">
        <f t="shared" ref="AO64" si="1069">+AN64-AO22</f>
        <v>20245604.300000004</v>
      </c>
      <c r="AP64" s="14">
        <f>+AO64-AP22+9182702.83</f>
        <v>29428307.130000003</v>
      </c>
      <c r="AQ64" s="14">
        <f t="shared" ref="AQ64" si="1070">+AP64-AQ22</f>
        <v>29428307.130000003</v>
      </c>
      <c r="AR64" s="14">
        <f t="shared" ref="AR64" si="1071">+AQ64-AR22</f>
        <v>29428307.130000003</v>
      </c>
      <c r="AS64" s="421">
        <f t="shared" ref="AS64" si="1072">+AR64-AS22</f>
        <v>29428307.130000003</v>
      </c>
      <c r="AT64" s="14">
        <f t="shared" ref="AT64" si="1073">+AS64-AT22</f>
        <v>29428307.130000003</v>
      </c>
      <c r="AU64" s="14">
        <v>35724715.920000002</v>
      </c>
      <c r="AV64" s="14">
        <f t="shared" ref="AV64" si="1074">+AU64-AV22</f>
        <v>35724715.920000002</v>
      </c>
      <c r="AW64" s="14">
        <f t="shared" ref="AW64" si="1075">+AV64-AW22</f>
        <v>13724715.920000002</v>
      </c>
      <c r="AX64" s="14">
        <f t="shared" ref="AX64" si="1076">+AW64-AX22</f>
        <v>13724715.920000002</v>
      </c>
      <c r="AY64" s="14">
        <f t="shared" ref="AY64" si="1077">+AX64-AY22</f>
        <v>13724715.920000002</v>
      </c>
      <c r="AZ64" s="14">
        <f>+AY64-AZ22+2352381.15</f>
        <v>16077097.070000002</v>
      </c>
      <c r="BA64" s="14">
        <f t="shared" ref="BA64" si="1078">+AZ64-BA22</f>
        <v>16077097.070000002</v>
      </c>
      <c r="BB64" s="14">
        <f t="shared" ref="BB64" si="1079">+BA64-BB22</f>
        <v>16077097.070000002</v>
      </c>
      <c r="BC64" s="14">
        <f t="shared" ref="BC64" si="1080">+BB64-BC22</f>
        <v>16077097.070000002</v>
      </c>
      <c r="BD64" s="230">
        <f t="shared" ref="BD64" si="1081">+BC64-BD22</f>
        <v>1077097.0700000022</v>
      </c>
      <c r="BE64" s="14">
        <f t="shared" ref="BE64" si="1082">+BD64-BE22</f>
        <v>1077097.0700000022</v>
      </c>
      <c r="BF64" s="14">
        <f t="shared" ref="BF64" si="1083">+BE64-BF22</f>
        <v>1077097.0700000022</v>
      </c>
      <c r="BG64" s="14">
        <f t="shared" ref="BG64" si="1084">+BF64-BG22</f>
        <v>1077097.0700000022</v>
      </c>
      <c r="BH64" s="14">
        <f t="shared" ref="BH64" si="1085">+BG64-BH22</f>
        <v>1077097.0700000022</v>
      </c>
      <c r="BI64" s="14">
        <f t="shared" ref="BI64" si="1086">+BH64-BI22</f>
        <v>1077097.0700000022</v>
      </c>
      <c r="BJ64" s="14">
        <v>1002091</v>
      </c>
      <c r="BK64" s="14">
        <f t="shared" ref="BK64" si="1087">+BJ64-BK22</f>
        <v>1002091</v>
      </c>
      <c r="BL64" s="14">
        <f t="shared" ref="BL64" si="1088">+BK64-BL22</f>
        <v>1002091</v>
      </c>
      <c r="BM64" s="14">
        <f t="shared" ref="BM64" si="1089">+BL64-BM22</f>
        <v>1002091</v>
      </c>
      <c r="BN64" s="14">
        <f t="shared" ref="BN64" si="1090">+BM64-BN22</f>
        <v>1002091</v>
      </c>
      <c r="BO64" s="421">
        <v>1180860</v>
      </c>
      <c r="BP64" s="14">
        <f t="shared" ref="BP64" si="1091">+BO64-BP22</f>
        <v>1180860</v>
      </c>
      <c r="BQ64" s="14">
        <f t="shared" ref="BQ64" si="1092">+BP64-BQ22</f>
        <v>1180860</v>
      </c>
      <c r="BR64" s="14">
        <f t="shared" ref="BR64" si="1093">+BQ64-BR22</f>
        <v>1180860</v>
      </c>
      <c r="BS64" s="14">
        <f t="shared" ref="BS64" si="1094">+BR64-BS22</f>
        <v>1180860</v>
      </c>
      <c r="BT64" s="14">
        <f t="shared" ref="BT64" si="1095">+BS64-BT22</f>
        <v>1180860</v>
      </c>
      <c r="BU64" s="14">
        <f t="shared" ref="BU64" si="1096">+BT64-BU22</f>
        <v>1180860</v>
      </c>
      <c r="BV64" s="14">
        <f t="shared" ref="BV64" si="1097">+BU64-BV22</f>
        <v>1180860</v>
      </c>
      <c r="BW64" s="14">
        <f t="shared" ref="BW64" si="1098">+BV64-BW22</f>
        <v>1180860</v>
      </c>
      <c r="BX64" s="230">
        <f t="shared" ref="BX64" si="1099">+BW64-BX22</f>
        <v>1180860</v>
      </c>
      <c r="BY64" s="14">
        <f t="shared" ref="BY64" si="1100">+BX64-BY22</f>
        <v>1180860</v>
      </c>
      <c r="BZ64" s="14">
        <f t="shared" ref="BZ64" si="1101">+BY64-BZ22</f>
        <v>1180860</v>
      </c>
      <c r="CA64" s="14">
        <f t="shared" ref="CA64" si="1102">+BZ64-CA22</f>
        <v>1180860</v>
      </c>
      <c r="CB64" s="14">
        <f t="shared" ref="CB64" si="1103">+CA64-CB22</f>
        <v>1180860</v>
      </c>
      <c r="CC64" s="14">
        <f t="shared" ref="CC64" si="1104">+CB64-CC22</f>
        <v>1180860</v>
      </c>
      <c r="CD64" s="14">
        <f t="shared" ref="CD64" si="1105">+CC64-CD22</f>
        <v>1180860</v>
      </c>
      <c r="CE64" s="14">
        <f t="shared" ref="CE64" si="1106">+CD64-CE22</f>
        <v>1180860</v>
      </c>
      <c r="CF64" s="14">
        <f t="shared" ref="CF64" si="1107">+CE64-CF22</f>
        <v>1180860</v>
      </c>
      <c r="CG64" s="14">
        <f t="shared" ref="CG64" si="1108">+CF64-CG22</f>
        <v>1180860</v>
      </c>
      <c r="CH64" s="14">
        <f t="shared" ref="CH64" si="1109">+CG64-CH22</f>
        <v>1180860</v>
      </c>
      <c r="CI64" s="421">
        <f t="shared" ref="CI64" si="1110">+CH64-CI22</f>
        <v>1180860</v>
      </c>
      <c r="CJ64" s="14">
        <v>1542682.62</v>
      </c>
      <c r="CK64" s="14">
        <f t="shared" ref="CK64" si="1111">+CJ64-CK22</f>
        <v>1542682.62</v>
      </c>
      <c r="CL64" s="14">
        <f t="shared" ref="CL64" si="1112">+CK64-CL22</f>
        <v>1542682.62</v>
      </c>
      <c r="CM64" s="14">
        <f t="shared" ref="CM64" si="1113">+CL64-CM22</f>
        <v>1542682.62</v>
      </c>
      <c r="CN64" s="14">
        <f t="shared" ref="CN64" si="1114">+CM64-CN22</f>
        <v>1542682.62</v>
      </c>
      <c r="CO64" s="14">
        <f t="shared" ref="CO64" si="1115">+CN64-CO22</f>
        <v>1542682.62</v>
      </c>
      <c r="CP64" s="14">
        <f t="shared" ref="CP64" si="1116">+CO64-CP22</f>
        <v>1542682.62</v>
      </c>
      <c r="CQ64" s="14">
        <f t="shared" ref="CQ64" si="1117">+CP64-CQ22</f>
        <v>1542682.62</v>
      </c>
      <c r="CR64" s="14">
        <f>+CQ64-CR22+1486991.32</f>
        <v>3029673.9400000004</v>
      </c>
      <c r="CS64" s="14">
        <f t="shared" ref="CS64" si="1118">+CR64-CS22</f>
        <v>3029673.9400000004</v>
      </c>
      <c r="CT64" s="230">
        <f t="shared" ref="CT64" si="1119">+CS64-CT22</f>
        <v>29673.94000000041</v>
      </c>
      <c r="CU64" s="14">
        <f t="shared" ref="CU64" si="1120">+CT64-CU22</f>
        <v>29673.94000000041</v>
      </c>
      <c r="CV64" s="14">
        <f t="shared" ref="CV64" si="1121">+CU64-CV22</f>
        <v>29673.94000000041</v>
      </c>
      <c r="CW64" s="14">
        <f t="shared" ref="CW64" si="1122">+CV64-CW22</f>
        <v>29673.94000000041</v>
      </c>
      <c r="CX64" s="14">
        <f t="shared" ref="CX64" si="1123">+CW64-CX22</f>
        <v>29673.94000000041</v>
      </c>
      <c r="CY64" s="14">
        <f t="shared" ref="CY64" si="1124">+CX64-CY22</f>
        <v>29673.94000000041</v>
      </c>
      <c r="CZ64" s="14">
        <f t="shared" ref="CZ64" si="1125">+CY64-CZ22</f>
        <v>29673.94000000041</v>
      </c>
      <c r="DA64" s="14">
        <f t="shared" ref="DA64" si="1126">+CZ64-DA22</f>
        <v>29673.94000000041</v>
      </c>
      <c r="DB64" s="14">
        <f t="shared" ref="DB64" si="1127">+DA64-DB22</f>
        <v>29673.94000000041</v>
      </c>
      <c r="DC64" s="14">
        <f t="shared" ref="DC64" si="1128">+DB64-DC22</f>
        <v>29673.94000000041</v>
      </c>
      <c r="DD64" s="14">
        <f t="shared" ref="DD64" si="1129">+DC64-DD22</f>
        <v>29673.94000000041</v>
      </c>
      <c r="DE64" s="421">
        <f t="shared" ref="DE64" si="1130">+DD64-DE22</f>
        <v>29673.94000000041</v>
      </c>
      <c r="DF64" s="14">
        <v>182335.47</v>
      </c>
      <c r="DG64" s="14">
        <f t="shared" ref="DG64" si="1131">+DF64-DG22</f>
        <v>182335.47</v>
      </c>
      <c r="DH64" s="14">
        <f t="shared" ref="DH64" si="1132">+DG64-DH22</f>
        <v>182335.47</v>
      </c>
      <c r="DI64" s="14">
        <f t="shared" ref="DI64" si="1133">+DH64-DI22</f>
        <v>182335.47</v>
      </c>
      <c r="DJ64" s="14">
        <f t="shared" ref="DJ64" si="1134">+DI64-DJ22</f>
        <v>182335.47</v>
      </c>
      <c r="DK64" s="14">
        <f t="shared" ref="DK64" si="1135">+DJ64-DK22</f>
        <v>182335.47</v>
      </c>
      <c r="DL64" s="14">
        <f t="shared" ref="DL64" si="1136">+DK64-DL22</f>
        <v>182335.47</v>
      </c>
      <c r="DM64" s="14">
        <f t="shared" ref="DM64" si="1137">+DL64-DM22</f>
        <v>182335.47</v>
      </c>
      <c r="DN64" s="14">
        <f t="shared" ref="DN64" si="1138">+DM64-DN22</f>
        <v>182335.47</v>
      </c>
      <c r="DO64" s="230">
        <f t="shared" ref="DO64" si="1139">+DN64-DO22</f>
        <v>182335.47</v>
      </c>
      <c r="DP64" s="14">
        <f t="shared" ref="DP64" si="1140">+DO64-DP22</f>
        <v>182335.47</v>
      </c>
      <c r="DQ64" s="14">
        <f t="shared" ref="DQ64" si="1141">+DP64-DQ22</f>
        <v>182335.47</v>
      </c>
      <c r="DR64" s="14">
        <f t="shared" ref="DR64" si="1142">+DQ64-DR22</f>
        <v>182335.47</v>
      </c>
      <c r="DS64" s="14">
        <f t="shared" ref="DS64" si="1143">+DR64-DS22</f>
        <v>182335.47</v>
      </c>
      <c r="DT64" s="14">
        <f t="shared" ref="DT64" si="1144">+DS64-DT22</f>
        <v>182335.47</v>
      </c>
      <c r="DU64" s="14">
        <f t="shared" ref="DU64" si="1145">+DT64-DU22</f>
        <v>182335.47</v>
      </c>
      <c r="DV64" s="14">
        <f t="shared" ref="DV64" si="1146">+DU64-DV22</f>
        <v>182335.47</v>
      </c>
      <c r="DW64" s="14">
        <f t="shared" ref="DW64" si="1147">+DV64-DW22</f>
        <v>182335.47</v>
      </c>
      <c r="DX64" s="14">
        <f t="shared" ref="DX64" si="1148">+DW64-DX22</f>
        <v>182335.47</v>
      </c>
      <c r="DY64" s="14">
        <f t="shared" ref="DY64" si="1149">+DX64-DY22</f>
        <v>182335.47</v>
      </c>
      <c r="DZ64" s="421">
        <f t="shared" ref="DZ64" si="1150">+DY64-DZ22</f>
        <v>182335.47</v>
      </c>
      <c r="EA64" s="14">
        <f t="shared" ref="EA64" si="1151">+DZ64-EA22</f>
        <v>182335.47</v>
      </c>
      <c r="EB64" s="14">
        <f t="shared" ref="EB64" si="1152">+EA64-EB22</f>
        <v>182335.47</v>
      </c>
      <c r="EC64" s="14">
        <f t="shared" ref="EC64" si="1153">+EB64-EC22</f>
        <v>182335.47</v>
      </c>
      <c r="ED64" s="14">
        <f t="shared" ref="ED64" si="1154">+EC64-ED22</f>
        <v>182335.47</v>
      </c>
      <c r="EE64" s="14">
        <f t="shared" ref="EE64" si="1155">+ED64-EE22</f>
        <v>182335.47</v>
      </c>
      <c r="EF64" s="14">
        <f t="shared" ref="EF64" si="1156">+EE64-EF22</f>
        <v>182335.47</v>
      </c>
      <c r="EG64" s="14">
        <f t="shared" ref="EG64" si="1157">+EF64-EG22</f>
        <v>182335.47</v>
      </c>
      <c r="EH64" s="14">
        <f t="shared" ref="EH64" si="1158">+EG64-EH22</f>
        <v>182335.47</v>
      </c>
      <c r="EI64" s="14">
        <f t="shared" ref="EI64" si="1159">+EH64-EI22</f>
        <v>182335.47</v>
      </c>
      <c r="EJ64" s="230">
        <f t="shared" ref="EJ64" si="1160">+EI64-EJ22</f>
        <v>182335.47</v>
      </c>
      <c r="EK64" s="14">
        <f t="shared" ref="EK64" si="1161">+EJ64-EK22</f>
        <v>182335.47</v>
      </c>
      <c r="EL64" s="14">
        <f t="shared" ref="EL64" si="1162">+EK64-EL22</f>
        <v>182335.47</v>
      </c>
      <c r="EM64" s="14">
        <f t="shared" ref="EM64" si="1163">+EL64-EM22</f>
        <v>182335.47</v>
      </c>
      <c r="EN64" s="14">
        <f t="shared" ref="EN64" si="1164">+EM64-EN22</f>
        <v>182335.47</v>
      </c>
      <c r="EO64" s="14">
        <f t="shared" ref="EO64" si="1165">+EN64-EO22</f>
        <v>182335.47</v>
      </c>
      <c r="EP64" s="14">
        <f t="shared" ref="EP64" si="1166">+EO64-EP22</f>
        <v>182335.47</v>
      </c>
      <c r="EQ64" s="14">
        <f t="shared" ref="EQ64" si="1167">+EP64-EQ22</f>
        <v>182335.47</v>
      </c>
      <c r="ER64" s="14">
        <f t="shared" ref="ER64" si="1168">+EQ64-ER22</f>
        <v>182335.47</v>
      </c>
      <c r="ES64" s="14">
        <f t="shared" ref="ES64" si="1169">+ER64-ES22</f>
        <v>182335.47</v>
      </c>
      <c r="ET64" s="14">
        <f t="shared" ref="ET64" si="1170">+ES64-ET22</f>
        <v>182335.47</v>
      </c>
      <c r="EU64" s="14">
        <f t="shared" ref="EU64" si="1171">+ET64-EU22</f>
        <v>182335.47</v>
      </c>
      <c r="EV64" s="421">
        <f t="shared" ref="EV64" si="1172">+EU64-EV22</f>
        <v>182335.47</v>
      </c>
      <c r="EW64" s="14">
        <f t="shared" ref="EW64" si="1173">+EV64-EW22</f>
        <v>182335.47</v>
      </c>
      <c r="EX64" s="14">
        <f t="shared" ref="EX64" si="1174">+EW64-EX22</f>
        <v>182335.47</v>
      </c>
      <c r="EY64" s="14">
        <f t="shared" ref="EY64" si="1175">+EX64-EY22</f>
        <v>182335.47</v>
      </c>
      <c r="EZ64" s="14">
        <f t="shared" ref="EZ64" si="1176">+EY64-EZ22</f>
        <v>182335.47</v>
      </c>
      <c r="FA64" s="14">
        <f t="shared" ref="FA64" si="1177">+EZ64-FA22</f>
        <v>182335.47</v>
      </c>
      <c r="FB64" s="14">
        <f t="shared" ref="FB64" si="1178">+FA64-FB22</f>
        <v>182335.47</v>
      </c>
      <c r="FC64" s="14">
        <f t="shared" ref="FC64" si="1179">+FB64-FC22</f>
        <v>182335.47</v>
      </c>
      <c r="FD64" s="14">
        <f t="shared" ref="FD64" si="1180">+FC64-FD22</f>
        <v>182335.47</v>
      </c>
      <c r="FE64" s="14">
        <f t="shared" ref="FE64" si="1181">+FD64-FE22</f>
        <v>182335.47</v>
      </c>
      <c r="FF64" s="230">
        <f t="shared" ref="FF64" si="1182">+FE64-FF22</f>
        <v>182335.47</v>
      </c>
      <c r="FG64" s="14">
        <f t="shared" ref="FG64" si="1183">+FF64-FG22</f>
        <v>182335.47</v>
      </c>
      <c r="FH64" s="14">
        <f t="shared" ref="FH64" si="1184">+FG64-FH22</f>
        <v>182335.47</v>
      </c>
      <c r="FI64" s="14">
        <f t="shared" ref="FI64" si="1185">+FH64-FI22</f>
        <v>182335.47</v>
      </c>
      <c r="FJ64" s="14">
        <f t="shared" ref="FJ64" si="1186">+FI64-FJ22</f>
        <v>182335.47</v>
      </c>
      <c r="FK64" s="14">
        <f t="shared" ref="FK64" si="1187">+FJ64-FK22</f>
        <v>182335.47</v>
      </c>
      <c r="FL64" s="14">
        <f t="shared" ref="FL64" si="1188">+FK64-FL22</f>
        <v>182335.47</v>
      </c>
      <c r="FM64" s="14">
        <f t="shared" ref="FM64" si="1189">+FL64-FM22</f>
        <v>182335.47</v>
      </c>
      <c r="FN64" s="14">
        <f t="shared" ref="FN64" si="1190">+FM64-FN22</f>
        <v>182335.47</v>
      </c>
      <c r="FO64" s="14">
        <f t="shared" ref="FO64" si="1191">+FN64-FO22</f>
        <v>182335.47</v>
      </c>
      <c r="FP64" s="14">
        <f t="shared" ref="FP64" si="1192">+FO64-FP22</f>
        <v>182335.47</v>
      </c>
      <c r="FQ64" s="421">
        <f t="shared" ref="FQ64" si="1193">+FP64-FQ22</f>
        <v>182335.47</v>
      </c>
      <c r="FR64" s="14">
        <f t="shared" ref="FR64" si="1194">+FQ64-FR22</f>
        <v>182335.47</v>
      </c>
      <c r="FS64" s="14">
        <f t="shared" ref="FS64" si="1195">+FR64-FS22</f>
        <v>182335.47</v>
      </c>
      <c r="FT64" s="14">
        <f t="shared" ref="FT64" si="1196">+FS64-FT22</f>
        <v>182335.47</v>
      </c>
      <c r="FU64" s="14">
        <f t="shared" ref="FU64" si="1197">+FT64-FU22</f>
        <v>182335.47</v>
      </c>
      <c r="FV64" s="14">
        <f t="shared" ref="FV64" si="1198">+FU64-FV22</f>
        <v>182335.47</v>
      </c>
      <c r="FW64" s="14">
        <f t="shared" ref="FW64" si="1199">+FV64-FW22</f>
        <v>182335.47</v>
      </c>
      <c r="FX64" s="14">
        <f t="shared" ref="FX64" si="1200">+FW64-FX22</f>
        <v>182335.47</v>
      </c>
      <c r="FY64" s="14">
        <f t="shared" ref="FY64" si="1201">+FX64-FY22</f>
        <v>182335.47</v>
      </c>
      <c r="FZ64" s="230">
        <f t="shared" ref="FZ64" si="1202">+FY64-FZ22</f>
        <v>182335.47</v>
      </c>
      <c r="GA64" s="14">
        <f t="shared" ref="GA64" si="1203">+FZ64-GA22</f>
        <v>182335.47</v>
      </c>
      <c r="GB64" s="14">
        <f t="shared" ref="GB64" si="1204">+GA64-GB22</f>
        <v>182335.47</v>
      </c>
      <c r="GC64" s="14">
        <f t="shared" ref="GC64" si="1205">+GB64-GC22</f>
        <v>182335.47</v>
      </c>
      <c r="GD64" s="14">
        <f t="shared" ref="GD64" si="1206">+GC64-GD22</f>
        <v>182335.47</v>
      </c>
      <c r="GE64" s="14">
        <f t="shared" ref="GE64" si="1207">+GD64-GE22</f>
        <v>182335.47</v>
      </c>
      <c r="GF64" s="14">
        <f t="shared" ref="GF64" si="1208">+GE64-GF22</f>
        <v>182335.47</v>
      </c>
      <c r="GG64" s="14">
        <f t="shared" ref="GG64" si="1209">+GF64-GG22</f>
        <v>182335.47</v>
      </c>
      <c r="GH64" s="14">
        <f t="shared" ref="GH64" si="1210">+GG64-GH22</f>
        <v>182335.47</v>
      </c>
      <c r="GI64" s="14">
        <f t="shared" ref="GI64" si="1211">+GH64-GI22</f>
        <v>182335.47</v>
      </c>
      <c r="GJ64" s="14">
        <f t="shared" ref="GJ64" si="1212">+GI64-GJ22</f>
        <v>182335.47</v>
      </c>
      <c r="GK64" s="421">
        <f t="shared" ref="GK64" si="1213">+GJ64-GK22</f>
        <v>182335.47</v>
      </c>
      <c r="GL64" s="14">
        <f t="shared" ref="GL64" si="1214">+GK64-GL22</f>
        <v>182335.47</v>
      </c>
      <c r="GM64" s="14">
        <f t="shared" ref="GM64" si="1215">+GL64-GM22</f>
        <v>182335.47</v>
      </c>
      <c r="GN64" s="14">
        <f t="shared" ref="GN64" si="1216">+GM64-GN22</f>
        <v>182335.47</v>
      </c>
      <c r="GO64" s="14">
        <f t="shared" ref="GO64" si="1217">+GN64-GO22</f>
        <v>182335.47</v>
      </c>
      <c r="GP64" s="14">
        <f t="shared" ref="GP64" si="1218">+GO64-GP22</f>
        <v>182335.47</v>
      </c>
      <c r="GQ64" s="14">
        <f t="shared" ref="GQ64" si="1219">+GP64-GQ22</f>
        <v>182335.47</v>
      </c>
      <c r="GR64" s="14">
        <f t="shared" ref="GR64" si="1220">+GQ64-GR22</f>
        <v>182335.47</v>
      </c>
      <c r="GS64" s="14">
        <f t="shared" ref="GS64" si="1221">+GR64-GS22</f>
        <v>182335.47</v>
      </c>
      <c r="GT64" s="14">
        <f t="shared" ref="GT64" si="1222">+GS64-GT22</f>
        <v>182335.47</v>
      </c>
      <c r="GU64" s="230">
        <f t="shared" ref="GU64" si="1223">+GT64-GU22</f>
        <v>182335.47</v>
      </c>
      <c r="GV64" s="14">
        <f t="shared" ref="GV64" si="1224">+GU64-GV22</f>
        <v>182335.47</v>
      </c>
      <c r="GW64" s="14">
        <f t="shared" ref="GW64" si="1225">+GV64-GW22</f>
        <v>182335.47</v>
      </c>
      <c r="GX64" s="14">
        <f t="shared" ref="GX64" si="1226">+GW64-GX22</f>
        <v>182335.47</v>
      </c>
      <c r="GY64" s="14">
        <f t="shared" ref="GY64" si="1227">+GX64-GY22</f>
        <v>182335.47</v>
      </c>
      <c r="GZ64" s="14">
        <f t="shared" ref="GZ64" si="1228">+GY64-GZ22</f>
        <v>182335.47</v>
      </c>
      <c r="HA64" s="14">
        <f t="shared" ref="HA64" si="1229">+GZ64-HA22</f>
        <v>182335.47</v>
      </c>
      <c r="HB64" s="14">
        <f t="shared" ref="HB64" si="1230">+HA64-HB22</f>
        <v>182335.47</v>
      </c>
      <c r="HC64" s="14">
        <f t="shared" ref="HC64" si="1231">+HB64-HC22</f>
        <v>182335.47</v>
      </c>
      <c r="HD64" s="14">
        <f t="shared" ref="HD64" si="1232">+HC64-HD22</f>
        <v>182335.47</v>
      </c>
      <c r="HE64" s="421">
        <f t="shared" ref="HE64" si="1233">+HD64-HE22</f>
        <v>182335.47</v>
      </c>
      <c r="HF64" s="14">
        <f t="shared" ref="HF64" si="1234">+HE64-HF22</f>
        <v>182335.47</v>
      </c>
      <c r="HG64" s="14">
        <f t="shared" ref="HG64" si="1235">+HF64-HG22</f>
        <v>182335.47</v>
      </c>
      <c r="HH64" s="14">
        <f t="shared" ref="HH64" si="1236">+HG64-HH22</f>
        <v>182335.47</v>
      </c>
      <c r="HI64" s="14">
        <f t="shared" ref="HI64" si="1237">+HH64-HI22</f>
        <v>182335.47</v>
      </c>
      <c r="HJ64" s="14">
        <f t="shared" ref="HJ64" si="1238">+HI64-HJ22</f>
        <v>182335.47</v>
      </c>
      <c r="HK64" s="14">
        <f t="shared" ref="HK64" si="1239">+HJ64-HK22</f>
        <v>182335.47</v>
      </c>
      <c r="HL64" s="14">
        <f t="shared" ref="HL64" si="1240">+HK64-HL22</f>
        <v>182335.47</v>
      </c>
      <c r="HM64" s="14">
        <f t="shared" ref="HM64" si="1241">+HL64-HM22</f>
        <v>182335.47</v>
      </c>
      <c r="HN64" s="14">
        <f t="shared" ref="HN64" si="1242">+HM64-HN22</f>
        <v>182335.47</v>
      </c>
      <c r="HO64" s="14">
        <f t="shared" ref="HO64" si="1243">+HN64-HO22</f>
        <v>182335.47</v>
      </c>
      <c r="HP64" s="230">
        <f t="shared" ref="HP64" si="1244">+HO64-HP22</f>
        <v>182335.47</v>
      </c>
      <c r="HQ64" s="14">
        <f t="shared" ref="HQ64" si="1245">+HP64-HQ22</f>
        <v>182335.47</v>
      </c>
      <c r="HR64" s="14">
        <f t="shared" ref="HR64" si="1246">+HQ64-HR22</f>
        <v>182335.47</v>
      </c>
      <c r="HS64" s="14">
        <f t="shared" ref="HS64" si="1247">+HR64-HS22</f>
        <v>182335.47</v>
      </c>
      <c r="HT64" s="14">
        <f t="shared" ref="HT64" si="1248">+HS64-HT22</f>
        <v>182335.47</v>
      </c>
      <c r="HU64" s="14">
        <f t="shared" ref="HU64" si="1249">+HT64-HU22</f>
        <v>182335.47</v>
      </c>
      <c r="HV64" s="14">
        <f t="shared" ref="HV64" si="1250">+HU64-HV22</f>
        <v>182335.47</v>
      </c>
      <c r="HW64" s="14">
        <f t="shared" ref="HW64" si="1251">+HV64-HW22</f>
        <v>182335.47</v>
      </c>
      <c r="HX64" s="14">
        <f t="shared" ref="HX64" si="1252">+HW64-HX22</f>
        <v>182335.47</v>
      </c>
      <c r="HY64" s="14">
        <f t="shared" ref="HY64" si="1253">+HX64-HY22</f>
        <v>182335.47</v>
      </c>
      <c r="HZ64" s="14">
        <f t="shared" ref="HZ64" si="1254">+HY64-HZ22</f>
        <v>182335.47</v>
      </c>
      <c r="IA64" s="421">
        <f t="shared" ref="IA64" si="1255">+HZ64-IA22</f>
        <v>182335.47</v>
      </c>
      <c r="IB64" s="14">
        <f t="shared" ref="IB64" si="1256">+IA64-IB22</f>
        <v>182335.47</v>
      </c>
      <c r="IC64" s="14">
        <f t="shared" ref="IC64" si="1257">+IB64-IC22</f>
        <v>182335.47</v>
      </c>
      <c r="ID64" s="14">
        <f t="shared" ref="ID64" si="1258">+IC64-ID22</f>
        <v>182335.47</v>
      </c>
      <c r="IE64" s="14">
        <f t="shared" ref="IE64" si="1259">+ID64-IE22</f>
        <v>182335.47</v>
      </c>
      <c r="IF64" s="14">
        <f t="shared" ref="IF64" si="1260">+IE64-IF22</f>
        <v>182335.47</v>
      </c>
      <c r="IG64" s="14">
        <f t="shared" ref="IG64" si="1261">+IF64-IG22</f>
        <v>182335.47</v>
      </c>
      <c r="IH64" s="14">
        <f t="shared" ref="IH64" si="1262">+IG64-IH22</f>
        <v>182335.47</v>
      </c>
      <c r="II64" s="14">
        <f t="shared" ref="II64" si="1263">+IH64-II22</f>
        <v>182335.47</v>
      </c>
      <c r="IJ64" s="14">
        <f t="shared" ref="IJ64" si="1264">+II64-IJ22</f>
        <v>182335.47</v>
      </c>
      <c r="IK64" s="14">
        <f t="shared" ref="IK64" si="1265">+IJ64-IK22</f>
        <v>182335.47</v>
      </c>
      <c r="IL64" s="230">
        <f t="shared" ref="IL64" si="1266">+IK64-IL22</f>
        <v>182335.47</v>
      </c>
      <c r="IM64" s="14">
        <f t="shared" ref="IM64" si="1267">+IL64-IM22</f>
        <v>182335.47</v>
      </c>
      <c r="IN64" s="14">
        <f t="shared" ref="IN64" si="1268">+IM64-IN22</f>
        <v>182335.47</v>
      </c>
      <c r="IO64" s="14">
        <f t="shared" ref="IO64" si="1269">+IN64-IO22</f>
        <v>182335.47</v>
      </c>
      <c r="IP64" s="14">
        <f t="shared" ref="IP64" si="1270">+IO64-IP22</f>
        <v>182335.47</v>
      </c>
      <c r="IQ64" s="14">
        <f t="shared" ref="IQ64" si="1271">+IP64-IQ22</f>
        <v>182335.47</v>
      </c>
      <c r="IR64" s="14">
        <f t="shared" ref="IR64" si="1272">+IQ64-IR22</f>
        <v>182335.47</v>
      </c>
      <c r="IS64" s="14">
        <f t="shared" ref="IS64" si="1273">+IR64-IS22</f>
        <v>182335.47</v>
      </c>
      <c r="IT64" s="14">
        <f t="shared" ref="IT64" si="1274">+IS64-IT22</f>
        <v>182335.47</v>
      </c>
      <c r="IU64" s="14">
        <f t="shared" ref="IU64" si="1275">+IT64-IU22</f>
        <v>182335.47</v>
      </c>
      <c r="IV64" s="14">
        <f t="shared" ref="IV64" si="1276">+IU64-IV22</f>
        <v>182335.47</v>
      </c>
      <c r="IW64" s="877"/>
      <c r="IX64" s="14">
        <f t="shared" ref="IX64" si="1277">+IV64-IX22</f>
        <v>182335.47</v>
      </c>
      <c r="IY64" s="14">
        <f t="shared" ref="IY64" si="1278">+IX64-IY22</f>
        <v>182335.47</v>
      </c>
      <c r="IZ64" s="14">
        <f t="shared" ref="IZ64" si="1279">+IY64-IZ22</f>
        <v>182335.47</v>
      </c>
      <c r="JA64" s="14">
        <f t="shared" ref="JA64" si="1280">+IZ64-JA22</f>
        <v>182335.47</v>
      </c>
      <c r="JB64" s="14">
        <f t="shared" ref="JB64" si="1281">+JA64-JB22</f>
        <v>182335.47</v>
      </c>
      <c r="JC64" s="14">
        <f t="shared" ref="JC64" si="1282">+JB64-JC22</f>
        <v>182335.47</v>
      </c>
      <c r="JD64" s="14">
        <f t="shared" ref="JD64" si="1283">+JC64-JD22</f>
        <v>182335.47</v>
      </c>
      <c r="JE64" s="14">
        <f t="shared" ref="JE64" si="1284">+JD64-JE22</f>
        <v>182335.47</v>
      </c>
      <c r="JF64" s="14">
        <f t="shared" ref="JF64" si="1285">+JE64-JF22</f>
        <v>182335.47</v>
      </c>
      <c r="JG64" s="14">
        <f t="shared" ref="JG64" si="1286">+JF64-JG22</f>
        <v>182335.47</v>
      </c>
      <c r="JH64" s="14">
        <f t="shared" ref="JH64" si="1287">+JG64-JH22</f>
        <v>182335.47</v>
      </c>
      <c r="JJ64" s="14" t="e">
        <f>+#REF!-JJ22</f>
        <v>#REF!</v>
      </c>
      <c r="JK64" s="14" t="e">
        <f>+JJ64-JK22</f>
        <v>#REF!</v>
      </c>
    </row>
    <row r="65" spans="1:16384" ht="14.1" customHeight="1">
      <c r="A65" s="14" t="s">
        <v>20</v>
      </c>
      <c r="B65" s="22"/>
      <c r="C65" s="794">
        <v>0</v>
      </c>
      <c r="D65" s="23">
        <f t="shared" ref="D65:I65" si="1288">C65-D26</f>
        <v>0</v>
      </c>
      <c r="E65" s="23">
        <f t="shared" si="1288"/>
        <v>0</v>
      </c>
      <c r="F65" s="23">
        <f t="shared" si="1288"/>
        <v>0</v>
      </c>
      <c r="G65" s="23">
        <f t="shared" si="1288"/>
        <v>0</v>
      </c>
      <c r="H65" s="23">
        <f>G65-H26+217775.89</f>
        <v>217775.89</v>
      </c>
      <c r="I65" s="23">
        <f t="shared" si="1288"/>
        <v>217775.89</v>
      </c>
      <c r="J65" s="23">
        <f t="shared" ref="J65:V65" si="1289">I65-J26</f>
        <v>217775.89</v>
      </c>
      <c r="K65" s="23">
        <f t="shared" si="1289"/>
        <v>217775.89</v>
      </c>
      <c r="L65" s="23">
        <f t="shared" si="1289"/>
        <v>217775.89</v>
      </c>
      <c r="M65" s="23">
        <f t="shared" si="1289"/>
        <v>217775.89</v>
      </c>
      <c r="N65" s="231">
        <f>M65+311294.64</f>
        <v>529070.53</v>
      </c>
      <c r="O65" s="23">
        <f t="shared" si="1289"/>
        <v>529070.53</v>
      </c>
      <c r="P65" s="23">
        <f t="shared" si="1289"/>
        <v>529070.53</v>
      </c>
      <c r="Q65" s="23">
        <f t="shared" si="1289"/>
        <v>529070.53</v>
      </c>
      <c r="R65" s="23">
        <f>Q65+2178090.97</f>
        <v>2707161.5</v>
      </c>
      <c r="S65" s="23">
        <f t="shared" si="1289"/>
        <v>2707161.5</v>
      </c>
      <c r="T65" s="23">
        <v>2707501.11</v>
      </c>
      <c r="U65" s="23">
        <f t="shared" si="1289"/>
        <v>2707501.11</v>
      </c>
      <c r="V65" s="41">
        <f t="shared" si="1289"/>
        <v>2707501.11</v>
      </c>
      <c r="W65" s="23">
        <v>4095301.81</v>
      </c>
      <c r="X65" s="23">
        <f t="shared" ref="X65" si="1290">W65-X26</f>
        <v>4095301.81</v>
      </c>
      <c r="Y65" s="23">
        <f t="shared" ref="Y65" si="1291">X65-Y26</f>
        <v>4095301.81</v>
      </c>
      <c r="Z65" s="23">
        <f>Y65-Z26-4000000</f>
        <v>95301.810000000056</v>
      </c>
      <c r="AA65" s="23">
        <f>Z65-AA26+35160.17</f>
        <v>130461.98000000005</v>
      </c>
      <c r="AB65" s="23">
        <f t="shared" ref="AB65" si="1292">AA65-AB26</f>
        <v>130461.98000000005</v>
      </c>
      <c r="AC65" s="23">
        <f t="shared" ref="AC65" si="1293">AB65-AC26</f>
        <v>130461.98000000005</v>
      </c>
      <c r="AD65" s="23">
        <f t="shared" ref="AD65" si="1294">AC65-AD26</f>
        <v>130461.98000000005</v>
      </c>
      <c r="AE65" s="23">
        <f t="shared" ref="AE65" si="1295">AD65-AE26</f>
        <v>130461.98000000005</v>
      </c>
      <c r="AF65" s="23">
        <f t="shared" ref="AF65" si="1296">AE65-AF26</f>
        <v>130461.98000000005</v>
      </c>
      <c r="AG65" s="231">
        <f t="shared" ref="AG65" si="1297">AF65-AG26</f>
        <v>130461.98000000005</v>
      </c>
      <c r="AH65" s="23">
        <f t="shared" ref="AH65" si="1298">AG65-AH26</f>
        <v>130461.98000000005</v>
      </c>
      <c r="AI65" s="23">
        <f t="shared" ref="AI65" si="1299">AH65-AI26</f>
        <v>130461.98000000005</v>
      </c>
      <c r="AJ65" s="23">
        <f t="shared" ref="AJ65" si="1300">AI65-AJ26</f>
        <v>130461.98000000005</v>
      </c>
      <c r="AK65" s="23">
        <f t="shared" ref="AK65" si="1301">AJ65-AK26</f>
        <v>130461.98000000005</v>
      </c>
      <c r="AL65" s="23">
        <f t="shared" ref="AL65" si="1302">AK65-AL26</f>
        <v>130461.98000000005</v>
      </c>
      <c r="AM65" s="23">
        <f t="shared" ref="AM65" si="1303">AL65-AM26</f>
        <v>130461.98000000005</v>
      </c>
      <c r="AN65" s="23">
        <f t="shared" ref="AN65" si="1304">AM65-AN26</f>
        <v>130461.98000000005</v>
      </c>
      <c r="AO65" s="583">
        <f t="shared" ref="AO65" si="1305">AN65-AO26</f>
        <v>130461.98000000005</v>
      </c>
      <c r="AP65" s="23">
        <f>AO65-AP26+1362750</f>
        <v>1493211.98</v>
      </c>
      <c r="AQ65" s="23">
        <f t="shared" ref="AQ65" si="1306">AP65-AQ26</f>
        <v>1493211.98</v>
      </c>
      <c r="AR65" s="23">
        <f t="shared" ref="AR65" si="1307">AQ65-AR26</f>
        <v>1493211.98</v>
      </c>
      <c r="AS65" s="422">
        <f t="shared" ref="AS65" si="1308">AR65-AS26</f>
        <v>1493211.98</v>
      </c>
      <c r="AT65" s="23">
        <f t="shared" ref="AT65" si="1309">AS65-AT26</f>
        <v>1493211.98</v>
      </c>
      <c r="AU65" s="23">
        <v>2909817.54</v>
      </c>
      <c r="AV65" s="23">
        <f t="shared" ref="AV65" si="1310">AU65-AV26</f>
        <v>2909817.54</v>
      </c>
      <c r="AW65" s="23">
        <f t="shared" ref="AW65" si="1311">AV65-AW26</f>
        <v>2909817.54</v>
      </c>
      <c r="AX65" s="23">
        <f t="shared" ref="AX65" si="1312">AW65-AX26</f>
        <v>2909817.54</v>
      </c>
      <c r="AY65" s="23">
        <f t="shared" ref="AY65" si="1313">AX65-AY26</f>
        <v>2909817.54</v>
      </c>
      <c r="AZ65" s="23">
        <f>AY65-AZ26+304444.51</f>
        <v>3214262.05</v>
      </c>
      <c r="BA65" s="23">
        <f t="shared" ref="BA65" si="1314">AZ65-BA26</f>
        <v>3214262.05</v>
      </c>
      <c r="BB65" s="23">
        <f t="shared" ref="BB65" si="1315">BA65-BB26</f>
        <v>3214262.05</v>
      </c>
      <c r="BC65" s="23">
        <f t="shared" ref="BC65" si="1316">BB65-BC26</f>
        <v>3214262.05</v>
      </c>
      <c r="BD65" s="231">
        <f t="shared" ref="BD65" si="1317">BC65-BD26</f>
        <v>3214262.05</v>
      </c>
      <c r="BE65" s="23">
        <f t="shared" ref="BE65" si="1318">BD65-BE26</f>
        <v>3214262.05</v>
      </c>
      <c r="BF65" s="23">
        <f t="shared" ref="BF65" si="1319">BE65-BF26</f>
        <v>3214262.05</v>
      </c>
      <c r="BG65" s="23">
        <f t="shared" ref="BG65" si="1320">BF65-BG26</f>
        <v>3214262.05</v>
      </c>
      <c r="BH65" s="23">
        <f t="shared" ref="BH65" si="1321">BG65-BH26</f>
        <v>3214262.05</v>
      </c>
      <c r="BI65" s="23">
        <f t="shared" ref="BI65" si="1322">BH65-BI26</f>
        <v>3214262.05</v>
      </c>
      <c r="BJ65" s="23">
        <v>3215839</v>
      </c>
      <c r="BK65" s="23">
        <f t="shared" ref="BK65" si="1323">BJ65-BK26</f>
        <v>3215839</v>
      </c>
      <c r="BL65" s="23">
        <f t="shared" ref="BL65" si="1324">BK65-BL26</f>
        <v>3215839</v>
      </c>
      <c r="BM65" s="23">
        <f t="shared" ref="BM65" si="1325">BL65-BM26</f>
        <v>3215839</v>
      </c>
      <c r="BN65" s="23">
        <f t="shared" ref="BN65" si="1326">BM65-BN26</f>
        <v>3215839</v>
      </c>
      <c r="BO65" s="422">
        <v>3860559</v>
      </c>
      <c r="BP65" s="23">
        <f t="shared" ref="BP65" si="1327">BO65-BP26</f>
        <v>3860559</v>
      </c>
      <c r="BQ65" s="23">
        <f t="shared" ref="BQ65" si="1328">BP65-BQ26</f>
        <v>3860559</v>
      </c>
      <c r="BR65" s="23">
        <f t="shared" ref="BR65" si="1329">BQ65-BR26</f>
        <v>3860559</v>
      </c>
      <c r="BS65" s="23">
        <f t="shared" ref="BS65" si="1330">BR65-BS26</f>
        <v>3860559</v>
      </c>
      <c r="BT65" s="23">
        <f t="shared" ref="BT65" si="1331">BS65-BT26</f>
        <v>3860559</v>
      </c>
      <c r="BU65" s="23">
        <f t="shared" ref="BU65" si="1332">BT65-BU26</f>
        <v>3860559</v>
      </c>
      <c r="BV65" s="23">
        <f t="shared" ref="BV65" si="1333">BU65-BV26</f>
        <v>3860559</v>
      </c>
      <c r="BW65" s="23">
        <f t="shared" ref="BW65" si="1334">BV65-BW26</f>
        <v>3860559</v>
      </c>
      <c r="BX65" s="231">
        <f t="shared" ref="BX65" si="1335">BW65-BX26</f>
        <v>560559</v>
      </c>
      <c r="BY65" s="23">
        <f t="shared" ref="BY65" si="1336">BX65-BY26</f>
        <v>560559</v>
      </c>
      <c r="BZ65" s="23">
        <f t="shared" ref="BZ65" si="1337">BY65-BZ26</f>
        <v>560559</v>
      </c>
      <c r="CA65" s="23">
        <f t="shared" ref="CA65" si="1338">BZ65-CA26</f>
        <v>560559</v>
      </c>
      <c r="CB65" s="23">
        <f t="shared" ref="CB65" si="1339">CA65-CB26</f>
        <v>560559</v>
      </c>
      <c r="CC65" s="23">
        <f t="shared" ref="CC65" si="1340">CB65-CC26</f>
        <v>560559</v>
      </c>
      <c r="CD65" s="23">
        <f t="shared" ref="CD65" si="1341">CC65-CD26</f>
        <v>560559</v>
      </c>
      <c r="CE65" s="23">
        <f t="shared" ref="CE65" si="1342">CD65-CE26</f>
        <v>560559</v>
      </c>
      <c r="CF65" s="23">
        <f t="shared" ref="CF65" si="1343">CE65-CF26</f>
        <v>560559</v>
      </c>
      <c r="CG65" s="23">
        <f t="shared" ref="CG65" si="1344">CF65-CG26</f>
        <v>560559</v>
      </c>
      <c r="CH65" s="23">
        <f t="shared" ref="CH65" si="1345">CG65-CH26</f>
        <v>560559</v>
      </c>
      <c r="CI65" s="422">
        <f t="shared" ref="CI65" si="1346">CH65-CI26</f>
        <v>560559</v>
      </c>
      <c r="CJ65" s="23">
        <v>560926.04</v>
      </c>
      <c r="CK65" s="23">
        <f t="shared" ref="CK65" si="1347">CJ65-CK26</f>
        <v>560926.04</v>
      </c>
      <c r="CL65" s="23">
        <f t="shared" ref="CL65" si="1348">CK65-CL26</f>
        <v>560926.04</v>
      </c>
      <c r="CM65" s="23">
        <f t="shared" ref="CM65" si="1349">CL65-CM26</f>
        <v>560926.04</v>
      </c>
      <c r="CN65" s="23">
        <f t="shared" ref="CN65" si="1350">CM65-CN26</f>
        <v>560926.04</v>
      </c>
      <c r="CO65" s="23">
        <f t="shared" ref="CO65" si="1351">CN65-CO26</f>
        <v>560926.04</v>
      </c>
      <c r="CP65" s="23">
        <f t="shared" ref="CP65" si="1352">CO65-CP26</f>
        <v>560926.04</v>
      </c>
      <c r="CQ65" s="23">
        <f t="shared" ref="CQ65" si="1353">CP65-CQ26</f>
        <v>560926.04</v>
      </c>
      <c r="CR65" s="23">
        <f t="shared" ref="CR65" si="1354">CQ65-CR26</f>
        <v>560926.04</v>
      </c>
      <c r="CS65" s="23">
        <f t="shared" ref="CS65" si="1355">CR65-CS26</f>
        <v>560926.04</v>
      </c>
      <c r="CT65" s="231">
        <f t="shared" ref="CT65" si="1356">CS65-CT26</f>
        <v>560926.04</v>
      </c>
      <c r="CU65" s="23">
        <f t="shared" ref="CU65" si="1357">CT65-CU26</f>
        <v>560926.04</v>
      </c>
      <c r="CV65" s="23">
        <f t="shared" ref="CV65" si="1358">CU65-CV26</f>
        <v>560926.04</v>
      </c>
      <c r="CW65" s="23">
        <f t="shared" ref="CW65" si="1359">CV65-CW26</f>
        <v>560926.04</v>
      </c>
      <c r="CX65" s="23">
        <f t="shared" ref="CX65" si="1360">CW65-CX26</f>
        <v>560926.04</v>
      </c>
      <c r="CY65" s="23">
        <f t="shared" ref="CY65" si="1361">CX65-CY26</f>
        <v>560926.04</v>
      </c>
      <c r="CZ65" s="23">
        <v>2619742.2000000002</v>
      </c>
      <c r="DA65" s="23">
        <f t="shared" ref="DA65" si="1362">CZ65-DA26</f>
        <v>2619742.2000000002</v>
      </c>
      <c r="DB65" s="23">
        <f t="shared" ref="DB65" si="1363">DA65-DB26</f>
        <v>2619742.2000000002</v>
      </c>
      <c r="DC65" s="23">
        <f t="shared" ref="DC65" si="1364">DB65-DC26</f>
        <v>2619742.2000000002</v>
      </c>
      <c r="DD65" s="23">
        <f t="shared" ref="DD65" si="1365">DC65-DD26</f>
        <v>2619742.2000000002</v>
      </c>
      <c r="DE65" s="422">
        <f t="shared" ref="DE65" si="1366">DD65-DE26</f>
        <v>2619742.2000000002</v>
      </c>
      <c r="DF65" s="23">
        <v>2619834.5699999998</v>
      </c>
      <c r="DG65" s="23">
        <f t="shared" ref="DG65" si="1367">DF65-DG26</f>
        <v>2619834.5699999998</v>
      </c>
      <c r="DH65" s="23">
        <f t="shared" ref="DH65" si="1368">DG65-DH26</f>
        <v>2619834.5699999998</v>
      </c>
      <c r="DI65" s="23">
        <f t="shared" ref="DI65" si="1369">DH65-DI26</f>
        <v>2619834.5699999998</v>
      </c>
      <c r="DJ65" s="23">
        <f t="shared" ref="DJ65" si="1370">DI65-DJ26</f>
        <v>2619834.5699999998</v>
      </c>
      <c r="DK65" s="23">
        <f t="shared" ref="DK65" si="1371">DJ65-DK26</f>
        <v>2619834.5699999998</v>
      </c>
      <c r="DL65" s="23">
        <f t="shared" ref="DL65" si="1372">DK65-DL26</f>
        <v>2619834.5699999998</v>
      </c>
      <c r="DM65" s="23">
        <f t="shared" ref="DM65" si="1373">DL65-DM26</f>
        <v>2619834.5699999998</v>
      </c>
      <c r="DN65" s="23">
        <f t="shared" ref="DN65" si="1374">DM65-DN26</f>
        <v>2619834.5699999998</v>
      </c>
      <c r="DO65" s="231">
        <f t="shared" ref="DO65" si="1375">DN65-DO26</f>
        <v>2619834.5699999998</v>
      </c>
      <c r="DP65" s="23">
        <f t="shared" ref="DP65" si="1376">DO65-DP26</f>
        <v>2619834.5699999998</v>
      </c>
      <c r="DQ65" s="23">
        <f t="shared" ref="DQ65" si="1377">DP65-DQ26</f>
        <v>2619834.5699999998</v>
      </c>
      <c r="DR65" s="23">
        <f t="shared" ref="DR65" si="1378">DQ65-DR26</f>
        <v>2619834.5699999998</v>
      </c>
      <c r="DS65" s="23">
        <f t="shared" ref="DS65" si="1379">DR65-DS26</f>
        <v>2619834.5699999998</v>
      </c>
      <c r="DT65" s="23">
        <f t="shared" ref="DT65" si="1380">DS65-DT26</f>
        <v>2619834.5699999998</v>
      </c>
      <c r="DU65" s="23">
        <f t="shared" ref="DU65" si="1381">DT65-DU26</f>
        <v>2619834.5699999998</v>
      </c>
      <c r="DV65" s="23">
        <f t="shared" ref="DV65" si="1382">DU65-DV26</f>
        <v>2619834.5699999998</v>
      </c>
      <c r="DW65" s="23">
        <f t="shared" ref="DW65" si="1383">DV65-DW26</f>
        <v>2619834.5699999998</v>
      </c>
      <c r="DX65" s="23">
        <f t="shared" ref="DX65" si="1384">DW65-DX26</f>
        <v>2619834.5699999998</v>
      </c>
      <c r="DY65" s="23">
        <f t="shared" ref="DY65" si="1385">DX65-DY26</f>
        <v>2619834.5699999998</v>
      </c>
      <c r="DZ65" s="422">
        <f t="shared" ref="DZ65" si="1386">DY65-DZ26</f>
        <v>2619834.5699999998</v>
      </c>
      <c r="EA65" s="23">
        <f t="shared" ref="EA65" si="1387">DZ65-EA26</f>
        <v>2619834.5699999998</v>
      </c>
      <c r="EB65" s="23">
        <f t="shared" ref="EB65" si="1388">EA65-EB26</f>
        <v>2619834.5699999998</v>
      </c>
      <c r="EC65" s="23">
        <f t="shared" ref="EC65" si="1389">EB65-EC26</f>
        <v>2619834.5699999998</v>
      </c>
      <c r="ED65" s="23">
        <f t="shared" ref="ED65" si="1390">EC65-ED26</f>
        <v>2619834.5699999998</v>
      </c>
      <c r="EE65" s="23">
        <f t="shared" ref="EE65" si="1391">ED65-EE26</f>
        <v>2619834.5699999998</v>
      </c>
      <c r="EF65" s="23">
        <f t="shared" ref="EF65" si="1392">EE65-EF26</f>
        <v>2619834.5699999998</v>
      </c>
      <c r="EG65" s="23">
        <f t="shared" ref="EG65" si="1393">EF65-EG26</f>
        <v>2619834.5699999998</v>
      </c>
      <c r="EH65" s="23">
        <f t="shared" ref="EH65" si="1394">EG65-EH26</f>
        <v>2619834.5699999998</v>
      </c>
      <c r="EI65" s="23">
        <f t="shared" ref="EI65" si="1395">EH65-EI26</f>
        <v>2619834.5699999998</v>
      </c>
      <c r="EJ65" s="231">
        <f t="shared" ref="EJ65" si="1396">EI65-EJ26</f>
        <v>2619834.5699999998</v>
      </c>
      <c r="EK65" s="23">
        <f t="shared" ref="EK65" si="1397">EJ65-EK26</f>
        <v>2619834.5699999998</v>
      </c>
      <c r="EL65" s="23">
        <f t="shared" ref="EL65" si="1398">EK65-EL26</f>
        <v>2619834.5699999998</v>
      </c>
      <c r="EM65" s="23">
        <f t="shared" ref="EM65" si="1399">EL65-EM26</f>
        <v>2619834.5699999998</v>
      </c>
      <c r="EN65" s="23">
        <f t="shared" ref="EN65" si="1400">EM65-EN26</f>
        <v>2619834.5699999998</v>
      </c>
      <c r="EO65" s="23">
        <f t="shared" ref="EO65" si="1401">EN65-EO26</f>
        <v>2619834.5699999998</v>
      </c>
      <c r="EP65" s="23">
        <f t="shared" ref="EP65" si="1402">EO65-EP26</f>
        <v>2619834.5699999998</v>
      </c>
      <c r="EQ65" s="23">
        <f t="shared" ref="EQ65" si="1403">EP65-EQ26</f>
        <v>2619834.5699999998</v>
      </c>
      <c r="ER65" s="23">
        <f t="shared" ref="ER65" si="1404">EQ65-ER26</f>
        <v>2619834.5699999998</v>
      </c>
      <c r="ES65" s="23">
        <f t="shared" ref="ES65" si="1405">ER65-ES26</f>
        <v>2619834.5699999998</v>
      </c>
      <c r="ET65" s="23">
        <f t="shared" ref="ET65" si="1406">ES65-ET26</f>
        <v>2619834.5699999998</v>
      </c>
      <c r="EU65" s="23">
        <f t="shared" ref="EU65" si="1407">ET65-EU26</f>
        <v>2619834.5699999998</v>
      </c>
      <c r="EV65" s="422">
        <f t="shared" ref="EV65" si="1408">EU65-EV26</f>
        <v>2619834.5699999998</v>
      </c>
      <c r="EW65" s="23">
        <f t="shared" ref="EW65" si="1409">EV65-EW26</f>
        <v>2619834.5699999998</v>
      </c>
      <c r="EX65" s="23">
        <f t="shared" ref="EX65" si="1410">EW65-EX26</f>
        <v>2619834.5699999998</v>
      </c>
      <c r="EY65" s="23">
        <f t="shared" ref="EY65" si="1411">EX65-EY26</f>
        <v>2619834.5699999998</v>
      </c>
      <c r="EZ65" s="23">
        <f t="shared" ref="EZ65" si="1412">EY65-EZ26</f>
        <v>2619834.5699999998</v>
      </c>
      <c r="FA65" s="23">
        <f t="shared" ref="FA65" si="1413">EZ65-FA26</f>
        <v>2619834.5699999998</v>
      </c>
      <c r="FB65" s="23">
        <f t="shared" ref="FB65" si="1414">FA65-FB26</f>
        <v>2619834.5699999998</v>
      </c>
      <c r="FC65" s="23">
        <f t="shared" ref="FC65" si="1415">FB65-FC26</f>
        <v>2619834.5699999998</v>
      </c>
      <c r="FD65" s="23">
        <f t="shared" ref="FD65" si="1416">FC65-FD26</f>
        <v>2619834.5699999998</v>
      </c>
      <c r="FE65" s="23">
        <f t="shared" ref="FE65" si="1417">FD65-FE26</f>
        <v>2619834.5699999998</v>
      </c>
      <c r="FF65" s="231">
        <f t="shared" ref="FF65" si="1418">FE65-FF26</f>
        <v>2619834.5699999998</v>
      </c>
      <c r="FG65" s="23">
        <f t="shared" ref="FG65" si="1419">FF65-FG26</f>
        <v>2619834.5699999998</v>
      </c>
      <c r="FH65" s="23">
        <f t="shared" ref="FH65" si="1420">FG65-FH26</f>
        <v>2619834.5699999998</v>
      </c>
      <c r="FI65" s="23">
        <f t="shared" ref="FI65" si="1421">FH65-FI26</f>
        <v>2619834.5699999998</v>
      </c>
      <c r="FJ65" s="23">
        <f t="shared" ref="FJ65" si="1422">FI65-FJ26</f>
        <v>2619834.5699999998</v>
      </c>
      <c r="FK65" s="23">
        <f t="shared" ref="FK65" si="1423">FJ65-FK26</f>
        <v>2619834.5699999998</v>
      </c>
      <c r="FL65" s="23">
        <f t="shared" ref="FL65" si="1424">FK65-FL26</f>
        <v>2619834.5699999998</v>
      </c>
      <c r="FM65" s="23">
        <f t="shared" ref="FM65" si="1425">FL65-FM26</f>
        <v>2619834.5699999998</v>
      </c>
      <c r="FN65" s="23">
        <f t="shared" ref="FN65" si="1426">FM65-FN26</f>
        <v>2619834.5699999998</v>
      </c>
      <c r="FO65" s="23">
        <f t="shared" ref="FO65" si="1427">FN65-FO26</f>
        <v>2619834.5699999998</v>
      </c>
      <c r="FP65" s="23">
        <f t="shared" ref="FP65" si="1428">FO65-FP26</f>
        <v>2619834.5699999998</v>
      </c>
      <c r="FQ65" s="422">
        <f t="shared" ref="FQ65" si="1429">FP65-FQ26</f>
        <v>2619834.5699999998</v>
      </c>
      <c r="FR65" s="23">
        <f t="shared" ref="FR65" si="1430">FQ65-FR26</f>
        <v>2619834.5699999998</v>
      </c>
      <c r="FS65" s="23">
        <f t="shared" ref="FS65" si="1431">FR65-FS26</f>
        <v>2619834.5699999998</v>
      </c>
      <c r="FT65" s="23">
        <f t="shared" ref="FT65" si="1432">FS65-FT26</f>
        <v>2619834.5699999998</v>
      </c>
      <c r="FU65" s="23">
        <f t="shared" ref="FU65" si="1433">FT65-FU26</f>
        <v>2619834.5699999998</v>
      </c>
      <c r="FV65" s="23">
        <f t="shared" ref="FV65" si="1434">FU65-FV26</f>
        <v>2619834.5699999998</v>
      </c>
      <c r="FW65" s="23">
        <f t="shared" ref="FW65" si="1435">FV65-FW26</f>
        <v>2619834.5699999998</v>
      </c>
      <c r="FX65" s="23">
        <f t="shared" ref="FX65" si="1436">FW65-FX26</f>
        <v>2619834.5699999998</v>
      </c>
      <c r="FY65" s="23">
        <f t="shared" ref="FY65" si="1437">FX65-FY26</f>
        <v>2619834.5699999998</v>
      </c>
      <c r="FZ65" s="231">
        <f t="shared" ref="FZ65" si="1438">FY65-FZ26</f>
        <v>2619834.5699999998</v>
      </c>
      <c r="GA65" s="23">
        <f t="shared" ref="GA65" si="1439">FZ65-GA26</f>
        <v>2619834.5699999998</v>
      </c>
      <c r="GB65" s="23">
        <f t="shared" ref="GB65" si="1440">GA65-GB26</f>
        <v>2619834.5699999998</v>
      </c>
      <c r="GC65" s="23">
        <f t="shared" ref="GC65" si="1441">GB65-GC26</f>
        <v>2619834.5699999998</v>
      </c>
      <c r="GD65" s="23">
        <f t="shared" ref="GD65" si="1442">GC65-GD26</f>
        <v>2619834.5699999998</v>
      </c>
      <c r="GE65" s="23">
        <f t="shared" ref="GE65" si="1443">GD65-GE26</f>
        <v>2619834.5699999998</v>
      </c>
      <c r="GF65" s="23">
        <f t="shared" ref="GF65" si="1444">GE65-GF26</f>
        <v>2619834.5699999998</v>
      </c>
      <c r="GG65" s="23">
        <f t="shared" ref="GG65" si="1445">GF65-GG26</f>
        <v>2619834.5699999998</v>
      </c>
      <c r="GH65" s="23">
        <f t="shared" ref="GH65" si="1446">GG65-GH26</f>
        <v>2619834.5699999998</v>
      </c>
      <c r="GI65" s="23">
        <f t="shared" ref="GI65" si="1447">GH65-GI26</f>
        <v>2619834.5699999998</v>
      </c>
      <c r="GJ65" s="23">
        <f t="shared" ref="GJ65" si="1448">GI65-GJ26</f>
        <v>2619834.5699999998</v>
      </c>
      <c r="GK65" s="422">
        <f t="shared" ref="GK65" si="1449">GJ65-GK26</f>
        <v>2619834.5699999998</v>
      </c>
      <c r="GL65" s="23">
        <f t="shared" ref="GL65" si="1450">GK65-GL26</f>
        <v>2619834.5699999998</v>
      </c>
      <c r="GM65" s="23">
        <f t="shared" ref="GM65" si="1451">GL65-GM26</f>
        <v>2619834.5699999998</v>
      </c>
      <c r="GN65" s="23">
        <f t="shared" ref="GN65" si="1452">GM65-GN26</f>
        <v>2619834.5699999998</v>
      </c>
      <c r="GO65" s="23">
        <f t="shared" ref="GO65" si="1453">GN65-GO26</f>
        <v>2619834.5699999998</v>
      </c>
      <c r="GP65" s="23">
        <f t="shared" ref="GP65" si="1454">GO65-GP26</f>
        <v>2619834.5699999998</v>
      </c>
      <c r="GQ65" s="23">
        <f t="shared" ref="GQ65" si="1455">GP65-GQ26</f>
        <v>2619834.5699999998</v>
      </c>
      <c r="GR65" s="23">
        <f t="shared" ref="GR65" si="1456">GQ65-GR26</f>
        <v>2619834.5699999998</v>
      </c>
      <c r="GS65" s="23">
        <f t="shared" ref="GS65" si="1457">GR65-GS26</f>
        <v>2619834.5699999998</v>
      </c>
      <c r="GT65" s="23">
        <f t="shared" ref="GT65" si="1458">GS65-GT26</f>
        <v>2619834.5699999998</v>
      </c>
      <c r="GU65" s="231">
        <f t="shared" ref="GU65" si="1459">GT65-GU26</f>
        <v>2619834.5699999998</v>
      </c>
      <c r="GV65" s="23">
        <f t="shared" ref="GV65" si="1460">GU65-GV26</f>
        <v>2619834.5699999998</v>
      </c>
      <c r="GW65" s="23">
        <f t="shared" ref="GW65" si="1461">GV65-GW26</f>
        <v>2619834.5699999998</v>
      </c>
      <c r="GX65" s="23">
        <f t="shared" ref="GX65" si="1462">GW65-GX26</f>
        <v>2619834.5699999998</v>
      </c>
      <c r="GY65" s="23">
        <f t="shared" ref="GY65" si="1463">GX65-GY26</f>
        <v>2619834.5699999998</v>
      </c>
      <c r="GZ65" s="23">
        <f t="shared" ref="GZ65" si="1464">GY65-GZ26</f>
        <v>2619834.5699999998</v>
      </c>
      <c r="HA65" s="23">
        <f t="shared" ref="HA65" si="1465">GZ65-HA26</f>
        <v>2619834.5699999998</v>
      </c>
      <c r="HB65" s="23">
        <f t="shared" ref="HB65" si="1466">HA65-HB26</f>
        <v>2619834.5699999998</v>
      </c>
      <c r="HC65" s="23">
        <f t="shared" ref="HC65" si="1467">HB65-HC26</f>
        <v>2619834.5699999998</v>
      </c>
      <c r="HD65" s="23">
        <f t="shared" ref="HD65" si="1468">HC65-HD26</f>
        <v>2619834.5699999998</v>
      </c>
      <c r="HE65" s="422">
        <f t="shared" ref="HE65" si="1469">HD65-HE26</f>
        <v>2619834.5699999998</v>
      </c>
      <c r="HF65" s="23">
        <f t="shared" ref="HF65" si="1470">HE65-HF26</f>
        <v>2619834.5699999998</v>
      </c>
      <c r="HG65" s="23">
        <f t="shared" ref="HG65" si="1471">HF65-HG26</f>
        <v>2619834.5699999998</v>
      </c>
      <c r="HH65" s="23">
        <f t="shared" ref="HH65" si="1472">HG65-HH26</f>
        <v>2619834.5699999998</v>
      </c>
      <c r="HI65" s="23">
        <f t="shared" ref="HI65" si="1473">HH65-HI26</f>
        <v>2619834.5699999998</v>
      </c>
      <c r="HJ65" s="23">
        <f t="shared" ref="HJ65" si="1474">HI65-HJ26</f>
        <v>2619834.5699999998</v>
      </c>
      <c r="HK65" s="23">
        <f t="shared" ref="HK65" si="1475">HJ65-HK26</f>
        <v>2619834.5699999998</v>
      </c>
      <c r="HL65" s="23">
        <f t="shared" ref="HL65" si="1476">HK65-HL26</f>
        <v>2619834.5699999998</v>
      </c>
      <c r="HM65" s="23">
        <f t="shared" ref="HM65" si="1477">HL65-HM26</f>
        <v>2619834.5699999998</v>
      </c>
      <c r="HN65" s="23">
        <f t="shared" ref="HN65" si="1478">HM65-HN26</f>
        <v>2619834.5699999998</v>
      </c>
      <c r="HO65" s="23">
        <f t="shared" ref="HO65" si="1479">HN65-HO26</f>
        <v>2619834.5699999998</v>
      </c>
      <c r="HP65" s="231">
        <f t="shared" ref="HP65" si="1480">HO65-HP26</f>
        <v>2619834.5699999998</v>
      </c>
      <c r="HQ65" s="23">
        <f t="shared" ref="HQ65" si="1481">HP65-HQ26</f>
        <v>2619834.5699999998</v>
      </c>
      <c r="HR65" s="23">
        <f t="shared" ref="HR65" si="1482">HQ65-HR26</f>
        <v>2619834.5699999998</v>
      </c>
      <c r="HS65" s="23">
        <f t="shared" ref="HS65" si="1483">HR65-HS26</f>
        <v>2619834.5699999998</v>
      </c>
      <c r="HT65" s="23">
        <f t="shared" ref="HT65" si="1484">HS65-HT26</f>
        <v>2619834.5699999998</v>
      </c>
      <c r="HU65" s="23">
        <f t="shared" ref="HU65" si="1485">HT65-HU26</f>
        <v>2619834.5699999998</v>
      </c>
      <c r="HV65" s="23">
        <f t="shared" ref="HV65" si="1486">HU65-HV26</f>
        <v>2619834.5699999998</v>
      </c>
      <c r="HW65" s="23">
        <f t="shared" ref="HW65" si="1487">HV65-HW26</f>
        <v>2619834.5699999998</v>
      </c>
      <c r="HX65" s="23">
        <f t="shared" ref="HX65" si="1488">HW65-HX26</f>
        <v>2619834.5699999998</v>
      </c>
      <c r="HY65" s="23">
        <f t="shared" ref="HY65" si="1489">HX65-HY26</f>
        <v>2619834.5699999998</v>
      </c>
      <c r="HZ65" s="23">
        <f t="shared" ref="HZ65" si="1490">HY65-HZ26</f>
        <v>2619834.5699999998</v>
      </c>
      <c r="IA65" s="422">
        <f t="shared" ref="IA65" si="1491">HZ65-IA26</f>
        <v>2619834.5699999998</v>
      </c>
      <c r="IB65" s="23">
        <f t="shared" ref="IB65" si="1492">IA65-IB26</f>
        <v>2619834.5699999998</v>
      </c>
      <c r="IC65" s="23">
        <f t="shared" ref="IC65" si="1493">IB65-IC26</f>
        <v>2619834.5699999998</v>
      </c>
      <c r="ID65" s="23">
        <f t="shared" ref="ID65" si="1494">IC65-ID26</f>
        <v>2619834.5699999998</v>
      </c>
      <c r="IE65" s="23">
        <f t="shared" ref="IE65" si="1495">ID65-IE26</f>
        <v>2619834.5699999998</v>
      </c>
      <c r="IF65" s="23">
        <f t="shared" ref="IF65" si="1496">IE65-IF26</f>
        <v>2619834.5699999998</v>
      </c>
      <c r="IG65" s="23">
        <f t="shared" ref="IG65" si="1497">IF65-IG26</f>
        <v>2619834.5699999998</v>
      </c>
      <c r="IH65" s="23">
        <f t="shared" ref="IH65" si="1498">IG65-IH26</f>
        <v>2619834.5699999998</v>
      </c>
      <c r="II65" s="23">
        <f t="shared" ref="II65" si="1499">IH65-II26</f>
        <v>2619834.5699999998</v>
      </c>
      <c r="IJ65" s="23">
        <f t="shared" ref="IJ65" si="1500">II65-IJ26</f>
        <v>2619834.5699999998</v>
      </c>
      <c r="IK65" s="23">
        <f t="shared" ref="IK65" si="1501">IJ65-IK26</f>
        <v>2619834.5699999998</v>
      </c>
      <c r="IL65" s="231">
        <f t="shared" ref="IL65" si="1502">IK65-IL26</f>
        <v>2619834.5699999998</v>
      </c>
      <c r="IM65" s="23">
        <f t="shared" ref="IM65" si="1503">IL65-IM26</f>
        <v>2619834.5699999998</v>
      </c>
      <c r="IN65" s="23">
        <f t="shared" ref="IN65" si="1504">IM65-IN26</f>
        <v>2619834.5699999998</v>
      </c>
      <c r="IO65" s="23">
        <f t="shared" ref="IO65" si="1505">IN65-IO26</f>
        <v>2619834.5699999998</v>
      </c>
      <c r="IP65" s="23">
        <f t="shared" ref="IP65" si="1506">IO65-IP26</f>
        <v>2619834.5699999998</v>
      </c>
      <c r="IQ65" s="23">
        <f t="shared" ref="IQ65" si="1507">IP65-IQ26</f>
        <v>2619834.5699999998</v>
      </c>
      <c r="IR65" s="23">
        <f t="shared" ref="IR65" si="1508">IQ65-IR26</f>
        <v>2619834.5699999998</v>
      </c>
      <c r="IS65" s="23">
        <f t="shared" ref="IS65" si="1509">IR65-IS26</f>
        <v>2619834.5699999998</v>
      </c>
      <c r="IT65" s="23">
        <f t="shared" ref="IT65" si="1510">IS65-IT26</f>
        <v>2619834.5699999998</v>
      </c>
      <c r="IU65" s="23">
        <f t="shared" ref="IU65" si="1511">IT65-IU26</f>
        <v>2619834.5699999998</v>
      </c>
      <c r="IV65" s="23">
        <f t="shared" ref="IV65" si="1512">IU65-IV26</f>
        <v>2619834.5699999998</v>
      </c>
      <c r="IW65" s="878"/>
      <c r="IX65" s="23">
        <f t="shared" ref="IX65" si="1513">IV65-IX26</f>
        <v>2619834.5699999998</v>
      </c>
      <c r="IY65" s="23">
        <f t="shared" ref="IY65" si="1514">IX65-IY26</f>
        <v>2619834.5699999998</v>
      </c>
      <c r="IZ65" s="23">
        <f t="shared" ref="IZ65" si="1515">IY65-IZ26</f>
        <v>2619834.5699999998</v>
      </c>
      <c r="JA65" s="23">
        <f t="shared" ref="JA65" si="1516">IZ65-JA26</f>
        <v>2619834.5699999998</v>
      </c>
      <c r="JB65" s="23">
        <f t="shared" ref="JB65" si="1517">JA65-JB26</f>
        <v>2619834.5699999998</v>
      </c>
      <c r="JC65" s="23">
        <f t="shared" ref="JC65" si="1518">JB65-JC26</f>
        <v>2619834.5699999998</v>
      </c>
      <c r="JD65" s="23">
        <f t="shared" ref="JD65" si="1519">JC65-JD26</f>
        <v>2619834.5699999998</v>
      </c>
      <c r="JE65" s="23">
        <f t="shared" ref="JE65" si="1520">JD65-JE26</f>
        <v>2619834.5699999998</v>
      </c>
      <c r="JF65" s="23">
        <f t="shared" ref="JF65" si="1521">JE65-JF26</f>
        <v>2619834.5699999998</v>
      </c>
      <c r="JG65" s="23">
        <f t="shared" ref="JG65" si="1522">JF65-JG26</f>
        <v>2619834.5699999998</v>
      </c>
      <c r="JH65" s="23">
        <f t="shared" ref="JH65" si="1523">JG65-JH26</f>
        <v>2619834.5699999998</v>
      </c>
      <c r="JI65" s="586"/>
      <c r="JJ65" s="41">
        <f>JI65-JJ26</f>
        <v>0</v>
      </c>
      <c r="JK65" s="23"/>
    </row>
    <row r="66" spans="1:16384" ht="14.1" customHeight="1">
      <c r="A66" s="9" t="s">
        <v>21</v>
      </c>
      <c r="B66" s="15"/>
      <c r="C66" s="795">
        <f>SUM(C58:C65)</f>
        <v>392268112</v>
      </c>
      <c r="D66" s="9">
        <f t="shared" ref="D66:I66" si="1524">SUM(D58:D65)</f>
        <v>441268112</v>
      </c>
      <c r="E66" s="9">
        <f t="shared" si="1524"/>
        <v>441968112</v>
      </c>
      <c r="F66" s="9">
        <f t="shared" si="1524"/>
        <v>501368112</v>
      </c>
      <c r="G66" s="9">
        <f t="shared" si="1524"/>
        <v>507568112</v>
      </c>
      <c r="H66" s="9">
        <f t="shared" si="1524"/>
        <v>488285887.88999999</v>
      </c>
      <c r="I66" s="9">
        <f t="shared" si="1524"/>
        <v>505185887.88999999</v>
      </c>
      <c r="J66" s="9">
        <f t="shared" ref="J66:BN66" si="1525">SUM(J58:J65)</f>
        <v>505185887.88999999</v>
      </c>
      <c r="K66" s="9">
        <f t="shared" si="1525"/>
        <v>552485887.88999999</v>
      </c>
      <c r="L66" s="9">
        <f t="shared" si="1525"/>
        <v>481485887.88999999</v>
      </c>
      <c r="M66" s="9">
        <f t="shared" si="1525"/>
        <v>481035887.88999999</v>
      </c>
      <c r="N66" s="232">
        <f t="shared" si="1525"/>
        <v>438347182.52999997</v>
      </c>
      <c r="O66" s="9">
        <f t="shared" si="1525"/>
        <v>430247182.52999997</v>
      </c>
      <c r="P66" s="9">
        <f t="shared" si="1525"/>
        <v>431447182.52999997</v>
      </c>
      <c r="Q66" s="9">
        <f t="shared" si="1525"/>
        <v>432047182.52999997</v>
      </c>
      <c r="R66" s="9">
        <f t="shared" si="1525"/>
        <v>427125273.5</v>
      </c>
      <c r="S66" s="9">
        <f t="shared" si="1525"/>
        <v>421725273.5</v>
      </c>
      <c r="T66" s="9">
        <f t="shared" si="1525"/>
        <v>431806076.92000002</v>
      </c>
      <c r="U66" s="9">
        <f t="shared" si="1525"/>
        <v>438306076.92000002</v>
      </c>
      <c r="V66" s="40">
        <f t="shared" si="1525"/>
        <v>437556076.92000002</v>
      </c>
      <c r="W66" s="9">
        <f t="shared" si="1525"/>
        <v>451703495.72000003</v>
      </c>
      <c r="X66" s="9">
        <f t="shared" si="1525"/>
        <v>458653495.72000003</v>
      </c>
      <c r="Y66" s="9">
        <f t="shared" si="1525"/>
        <v>459203495.72000003</v>
      </c>
      <c r="Z66" s="9">
        <f t="shared" si="1525"/>
        <v>439853495.72000003</v>
      </c>
      <c r="AA66" s="9">
        <f t="shared" si="1525"/>
        <v>436186227.59000003</v>
      </c>
      <c r="AB66" s="9">
        <f t="shared" si="1525"/>
        <v>435786227.59000003</v>
      </c>
      <c r="AC66" s="9">
        <f t="shared" si="1525"/>
        <v>431786227.59000003</v>
      </c>
      <c r="AD66" s="9">
        <f t="shared" si="1525"/>
        <v>432286227.59000003</v>
      </c>
      <c r="AE66" s="9">
        <f t="shared" si="1525"/>
        <v>432586227.59000003</v>
      </c>
      <c r="AF66" s="9">
        <f t="shared" si="1525"/>
        <v>427236227.59000003</v>
      </c>
      <c r="AG66" s="232">
        <f t="shared" si="1525"/>
        <v>369885929.54000002</v>
      </c>
      <c r="AH66" s="9">
        <f t="shared" si="1525"/>
        <v>362535929.54000002</v>
      </c>
      <c r="AI66" s="9">
        <f t="shared" si="1525"/>
        <v>360785929.54000002</v>
      </c>
      <c r="AJ66" s="9">
        <f t="shared" si="1525"/>
        <v>355435929.54000002</v>
      </c>
      <c r="AK66" s="9">
        <f t="shared" si="1525"/>
        <v>359089313.97000003</v>
      </c>
      <c r="AL66" s="9">
        <f t="shared" si="1525"/>
        <v>359089313.97000003</v>
      </c>
      <c r="AM66" s="9">
        <f t="shared" si="1525"/>
        <v>358939313.97000003</v>
      </c>
      <c r="AN66" s="9">
        <f t="shared" si="1525"/>
        <v>356389313.97000003</v>
      </c>
      <c r="AO66" s="584">
        <f t="shared" si="1525"/>
        <v>362989313.97000003</v>
      </c>
      <c r="AP66" s="9">
        <f t="shared" si="1525"/>
        <v>368084766.80000001</v>
      </c>
      <c r="AQ66" s="9">
        <f t="shared" si="1525"/>
        <v>367784766.80000001</v>
      </c>
      <c r="AR66" s="9">
        <f t="shared" si="1525"/>
        <v>367534766.80000001</v>
      </c>
      <c r="AS66" s="423">
        <f t="shared" si="1525"/>
        <v>367934766.80000001</v>
      </c>
      <c r="AT66" s="9">
        <f t="shared" si="1525"/>
        <v>366572804.23000002</v>
      </c>
      <c r="AU66" s="9">
        <f t="shared" si="1525"/>
        <v>364823729.13000005</v>
      </c>
      <c r="AV66" s="9">
        <f t="shared" si="1525"/>
        <v>363773729.13000005</v>
      </c>
      <c r="AW66" s="9">
        <f t="shared" si="1525"/>
        <v>346273729.13000005</v>
      </c>
      <c r="AX66" s="9">
        <f t="shared" si="1525"/>
        <v>354773729.13000005</v>
      </c>
      <c r="AY66" s="9">
        <f t="shared" si="1525"/>
        <v>365223729.13000005</v>
      </c>
      <c r="AZ66" s="9">
        <f t="shared" si="1525"/>
        <v>364580554.79000002</v>
      </c>
      <c r="BA66" s="9">
        <f t="shared" si="1525"/>
        <v>369380554.79000002</v>
      </c>
      <c r="BB66" s="9">
        <f t="shared" si="1525"/>
        <v>368030554.79000002</v>
      </c>
      <c r="BC66" s="9">
        <f t="shared" si="1525"/>
        <v>368030554.79000002</v>
      </c>
      <c r="BD66" s="232">
        <f t="shared" si="1525"/>
        <v>308080554.79000002</v>
      </c>
      <c r="BE66" s="9">
        <f t="shared" si="1525"/>
        <v>291830554.79000002</v>
      </c>
      <c r="BF66" s="9">
        <f t="shared" si="1525"/>
        <v>299630554.79000002</v>
      </c>
      <c r="BG66" s="9">
        <f t="shared" si="1525"/>
        <v>292830554.79000002</v>
      </c>
      <c r="BH66" s="9">
        <f t="shared" si="1525"/>
        <v>282830554.79000002</v>
      </c>
      <c r="BI66" s="9">
        <f t="shared" si="1525"/>
        <v>282830554.79000002</v>
      </c>
      <c r="BJ66" s="9">
        <f t="shared" si="1525"/>
        <v>282767723.25</v>
      </c>
      <c r="BK66" s="9">
        <f t="shared" si="1525"/>
        <v>267767723.25</v>
      </c>
      <c r="BL66" s="9">
        <f t="shared" si="1525"/>
        <v>267267723.25</v>
      </c>
      <c r="BM66" s="9">
        <f t="shared" si="1525"/>
        <v>260267723.25</v>
      </c>
      <c r="BN66" s="9">
        <f t="shared" si="1525"/>
        <v>260267723.25</v>
      </c>
      <c r="BO66" s="423">
        <f t="shared" ref="BO66:DZ66" si="1526">SUM(BO58:BO65)</f>
        <v>261129042</v>
      </c>
      <c r="BP66" s="9">
        <f t="shared" si="1526"/>
        <v>246129042</v>
      </c>
      <c r="BQ66" s="9">
        <f t="shared" si="1526"/>
        <v>246129042</v>
      </c>
      <c r="BR66" s="9">
        <f t="shared" si="1526"/>
        <v>250129042</v>
      </c>
      <c r="BS66" s="9">
        <f t="shared" si="1526"/>
        <v>246129042</v>
      </c>
      <c r="BT66" s="9">
        <f t="shared" si="1526"/>
        <v>246129042</v>
      </c>
      <c r="BU66" s="9">
        <f t="shared" si="1526"/>
        <v>246129042</v>
      </c>
      <c r="BV66" s="9">
        <f t="shared" si="1526"/>
        <v>236129042</v>
      </c>
      <c r="BW66" s="9">
        <f t="shared" si="1526"/>
        <v>236129042</v>
      </c>
      <c r="BX66" s="232">
        <f t="shared" si="1526"/>
        <v>172829042</v>
      </c>
      <c r="BY66" s="9">
        <f t="shared" si="1526"/>
        <v>162829042</v>
      </c>
      <c r="BZ66" s="9">
        <f t="shared" si="1526"/>
        <v>162829042</v>
      </c>
      <c r="CA66" s="9">
        <f t="shared" si="1526"/>
        <v>154829042</v>
      </c>
      <c r="CB66" s="9">
        <f t="shared" si="1526"/>
        <v>154829042</v>
      </c>
      <c r="CC66" s="9">
        <f t="shared" si="1526"/>
        <v>154829042</v>
      </c>
      <c r="CD66" s="9">
        <f t="shared" si="1526"/>
        <v>154829042</v>
      </c>
      <c r="CE66" s="9">
        <f t="shared" si="1526"/>
        <v>160829042</v>
      </c>
      <c r="CF66" s="9">
        <f t="shared" si="1526"/>
        <v>160829042</v>
      </c>
      <c r="CG66" s="9">
        <f t="shared" si="1526"/>
        <v>160829042</v>
      </c>
      <c r="CH66" s="9">
        <f t="shared" si="1526"/>
        <v>155829042</v>
      </c>
      <c r="CI66" s="423">
        <f t="shared" si="1526"/>
        <v>149829042</v>
      </c>
      <c r="CJ66" s="9">
        <f t="shared" si="1526"/>
        <v>150222682.52000001</v>
      </c>
      <c r="CK66" s="9">
        <f t="shared" si="1526"/>
        <v>160222682.52000001</v>
      </c>
      <c r="CL66" s="9">
        <f t="shared" si="1526"/>
        <v>160222682.52000001</v>
      </c>
      <c r="CM66" s="9">
        <f t="shared" si="1526"/>
        <v>146222682.52000001</v>
      </c>
      <c r="CN66" s="9">
        <f t="shared" si="1526"/>
        <v>146222682.52000001</v>
      </c>
      <c r="CO66" s="9">
        <f t="shared" si="1526"/>
        <v>146222682.52000001</v>
      </c>
      <c r="CP66" s="9">
        <f t="shared" si="1526"/>
        <v>150222682.52000001</v>
      </c>
      <c r="CQ66" s="9">
        <f t="shared" si="1526"/>
        <v>163222682.52000001</v>
      </c>
      <c r="CR66" s="9">
        <f t="shared" si="1526"/>
        <v>164709673.84</v>
      </c>
      <c r="CS66" s="9">
        <f t="shared" si="1526"/>
        <v>164709673.84</v>
      </c>
      <c r="CT66" s="232">
        <f t="shared" si="1526"/>
        <v>99709673.840000004</v>
      </c>
      <c r="CU66" s="9">
        <f t="shared" si="1526"/>
        <v>85709673.840000004</v>
      </c>
      <c r="CV66" s="9">
        <f t="shared" si="1526"/>
        <v>71709673.840000004</v>
      </c>
      <c r="CW66" s="9">
        <f t="shared" si="1526"/>
        <v>85709673.840000004</v>
      </c>
      <c r="CX66" s="9">
        <f t="shared" si="1526"/>
        <v>85709673.840000004</v>
      </c>
      <c r="CY66" s="9">
        <f t="shared" si="1526"/>
        <v>85709673.840000004</v>
      </c>
      <c r="CZ66" s="9">
        <f t="shared" si="1526"/>
        <v>87768490</v>
      </c>
      <c r="DA66" s="9">
        <f t="shared" si="1526"/>
        <v>87768490</v>
      </c>
      <c r="DB66" s="9">
        <f t="shared" si="1526"/>
        <v>87768490</v>
      </c>
      <c r="DC66" s="9">
        <f t="shared" si="1526"/>
        <v>87768490</v>
      </c>
      <c r="DD66" s="9">
        <f t="shared" si="1526"/>
        <v>87768490</v>
      </c>
      <c r="DE66" s="423">
        <f t="shared" si="1526"/>
        <v>74768490</v>
      </c>
      <c r="DF66" s="9">
        <f t="shared" si="1526"/>
        <v>74940405.23999998</v>
      </c>
      <c r="DG66" s="9">
        <f t="shared" si="1526"/>
        <v>74940405.23999998</v>
      </c>
      <c r="DH66" s="9">
        <f t="shared" si="1526"/>
        <v>74940405.23999998</v>
      </c>
      <c r="DI66" s="9">
        <f t="shared" si="1526"/>
        <v>74940405.23999998</v>
      </c>
      <c r="DJ66" s="9">
        <f t="shared" si="1526"/>
        <v>74940405.23999998</v>
      </c>
      <c r="DK66" s="9">
        <f t="shared" si="1526"/>
        <v>74940405.23999998</v>
      </c>
      <c r="DL66" s="9">
        <f t="shared" si="1526"/>
        <v>74940405.23999998</v>
      </c>
      <c r="DM66" s="9">
        <f t="shared" si="1526"/>
        <v>74940405.23999998</v>
      </c>
      <c r="DN66" s="9">
        <f t="shared" si="1526"/>
        <v>74940405.23999998</v>
      </c>
      <c r="DO66" s="232">
        <f t="shared" si="1526"/>
        <v>74940405.23999998</v>
      </c>
      <c r="DP66" s="9">
        <f t="shared" si="1526"/>
        <v>74940405.23999998</v>
      </c>
      <c r="DQ66" s="9">
        <f t="shared" si="1526"/>
        <v>74940405.23999998</v>
      </c>
      <c r="DR66" s="9">
        <f t="shared" si="1526"/>
        <v>74940405.23999998</v>
      </c>
      <c r="DS66" s="9">
        <f t="shared" si="1526"/>
        <v>74940405.23999998</v>
      </c>
      <c r="DT66" s="9">
        <f t="shared" si="1526"/>
        <v>74940405.23999998</v>
      </c>
      <c r="DU66" s="9">
        <f t="shared" si="1526"/>
        <v>74940405.23999998</v>
      </c>
      <c r="DV66" s="9">
        <f t="shared" si="1526"/>
        <v>74940405.23999998</v>
      </c>
      <c r="DW66" s="9">
        <f t="shared" si="1526"/>
        <v>74940405.23999998</v>
      </c>
      <c r="DX66" s="9">
        <f t="shared" si="1526"/>
        <v>74940405.23999998</v>
      </c>
      <c r="DY66" s="9">
        <f t="shared" si="1526"/>
        <v>74940405.23999998</v>
      </c>
      <c r="DZ66" s="423">
        <f t="shared" si="1526"/>
        <v>74940405.23999998</v>
      </c>
      <c r="EA66" s="9">
        <f t="shared" ref="EA66:GL66" si="1527">SUM(EA58:EA65)</f>
        <v>74940405.23999998</v>
      </c>
      <c r="EB66" s="9">
        <f t="shared" si="1527"/>
        <v>74940405.23999998</v>
      </c>
      <c r="EC66" s="9">
        <f t="shared" si="1527"/>
        <v>74940405.23999998</v>
      </c>
      <c r="ED66" s="9">
        <f t="shared" si="1527"/>
        <v>74940405.23999998</v>
      </c>
      <c r="EE66" s="9">
        <f t="shared" si="1527"/>
        <v>74940405.23999998</v>
      </c>
      <c r="EF66" s="9">
        <f t="shared" si="1527"/>
        <v>74940405.23999998</v>
      </c>
      <c r="EG66" s="9">
        <f t="shared" si="1527"/>
        <v>74940405.23999998</v>
      </c>
      <c r="EH66" s="9">
        <f t="shared" si="1527"/>
        <v>74940405.23999998</v>
      </c>
      <c r="EI66" s="9">
        <f t="shared" si="1527"/>
        <v>74940405.23999998</v>
      </c>
      <c r="EJ66" s="232">
        <f t="shared" si="1527"/>
        <v>74940405.23999998</v>
      </c>
      <c r="EK66" s="9">
        <f t="shared" si="1527"/>
        <v>74940405.23999998</v>
      </c>
      <c r="EL66" s="9">
        <f t="shared" si="1527"/>
        <v>74940405.23999998</v>
      </c>
      <c r="EM66" s="9">
        <f t="shared" si="1527"/>
        <v>74940405.23999998</v>
      </c>
      <c r="EN66" s="9">
        <f t="shared" si="1527"/>
        <v>74940405.23999998</v>
      </c>
      <c r="EO66" s="9">
        <f t="shared" si="1527"/>
        <v>74940405.23999998</v>
      </c>
      <c r="EP66" s="9">
        <f t="shared" si="1527"/>
        <v>74940405.23999998</v>
      </c>
      <c r="EQ66" s="9">
        <f t="shared" si="1527"/>
        <v>74940405.23999998</v>
      </c>
      <c r="ER66" s="9">
        <f t="shared" si="1527"/>
        <v>74940405.23999998</v>
      </c>
      <c r="ES66" s="9">
        <f t="shared" si="1527"/>
        <v>74940405.23999998</v>
      </c>
      <c r="ET66" s="9">
        <f t="shared" si="1527"/>
        <v>74940405.23999998</v>
      </c>
      <c r="EU66" s="9">
        <f t="shared" si="1527"/>
        <v>74940405.23999998</v>
      </c>
      <c r="EV66" s="423">
        <f t="shared" si="1527"/>
        <v>74940405.23999998</v>
      </c>
      <c r="EW66" s="9">
        <f t="shared" si="1527"/>
        <v>74940405.23999998</v>
      </c>
      <c r="EX66" s="9">
        <f t="shared" si="1527"/>
        <v>74940405.23999998</v>
      </c>
      <c r="EY66" s="9">
        <f t="shared" si="1527"/>
        <v>74940405.23999998</v>
      </c>
      <c r="EZ66" s="9">
        <f t="shared" si="1527"/>
        <v>74940405.23999998</v>
      </c>
      <c r="FA66" s="9">
        <f t="shared" si="1527"/>
        <v>74940405.23999998</v>
      </c>
      <c r="FB66" s="9">
        <f t="shared" si="1527"/>
        <v>74940405.23999998</v>
      </c>
      <c r="FC66" s="9">
        <f t="shared" si="1527"/>
        <v>74940405.23999998</v>
      </c>
      <c r="FD66" s="9">
        <f t="shared" si="1527"/>
        <v>74940405.23999998</v>
      </c>
      <c r="FE66" s="9">
        <f t="shared" si="1527"/>
        <v>74940405.23999998</v>
      </c>
      <c r="FF66" s="232">
        <f t="shared" si="1527"/>
        <v>74940405.23999998</v>
      </c>
      <c r="FG66" s="9">
        <f t="shared" si="1527"/>
        <v>74940405.23999998</v>
      </c>
      <c r="FH66" s="9">
        <f t="shared" si="1527"/>
        <v>74940405.23999998</v>
      </c>
      <c r="FI66" s="9">
        <f t="shared" si="1527"/>
        <v>74940405.23999998</v>
      </c>
      <c r="FJ66" s="9">
        <f t="shared" si="1527"/>
        <v>74940405.23999998</v>
      </c>
      <c r="FK66" s="9">
        <f t="shared" si="1527"/>
        <v>74940405.23999998</v>
      </c>
      <c r="FL66" s="9">
        <f t="shared" si="1527"/>
        <v>74940405.23999998</v>
      </c>
      <c r="FM66" s="9">
        <f t="shared" si="1527"/>
        <v>74940405.23999998</v>
      </c>
      <c r="FN66" s="9">
        <f t="shared" si="1527"/>
        <v>74940405.23999998</v>
      </c>
      <c r="FO66" s="9">
        <f t="shared" si="1527"/>
        <v>74940405.23999998</v>
      </c>
      <c r="FP66" s="9">
        <f t="shared" si="1527"/>
        <v>74940405.23999998</v>
      </c>
      <c r="FQ66" s="423">
        <f t="shared" si="1527"/>
        <v>74940405.23999998</v>
      </c>
      <c r="FR66" s="9">
        <f t="shared" si="1527"/>
        <v>74940405.23999998</v>
      </c>
      <c r="FS66" s="9">
        <f t="shared" si="1527"/>
        <v>74940405.23999998</v>
      </c>
      <c r="FT66" s="9">
        <f t="shared" si="1527"/>
        <v>74940405.23999998</v>
      </c>
      <c r="FU66" s="9">
        <f t="shared" si="1527"/>
        <v>74940405.23999998</v>
      </c>
      <c r="FV66" s="9">
        <f t="shared" si="1527"/>
        <v>74940405.23999998</v>
      </c>
      <c r="FW66" s="9">
        <f t="shared" si="1527"/>
        <v>74940405.23999998</v>
      </c>
      <c r="FX66" s="9">
        <f t="shared" si="1527"/>
        <v>74940405.23999998</v>
      </c>
      <c r="FY66" s="9">
        <f t="shared" si="1527"/>
        <v>74940405.23999998</v>
      </c>
      <c r="FZ66" s="232">
        <f t="shared" si="1527"/>
        <v>74940405.23999998</v>
      </c>
      <c r="GA66" s="9">
        <f t="shared" si="1527"/>
        <v>74940405.23999998</v>
      </c>
      <c r="GB66" s="9">
        <f t="shared" si="1527"/>
        <v>74940405.23999998</v>
      </c>
      <c r="GC66" s="9">
        <f t="shared" si="1527"/>
        <v>74940405.23999998</v>
      </c>
      <c r="GD66" s="9">
        <f t="shared" si="1527"/>
        <v>74940405.23999998</v>
      </c>
      <c r="GE66" s="9">
        <f t="shared" si="1527"/>
        <v>74940405.23999998</v>
      </c>
      <c r="GF66" s="9">
        <f t="shared" si="1527"/>
        <v>74940405.23999998</v>
      </c>
      <c r="GG66" s="9">
        <f t="shared" si="1527"/>
        <v>74940405.23999998</v>
      </c>
      <c r="GH66" s="9">
        <f t="shared" si="1527"/>
        <v>74940405.23999998</v>
      </c>
      <c r="GI66" s="9">
        <f t="shared" si="1527"/>
        <v>74940405.23999998</v>
      </c>
      <c r="GJ66" s="9">
        <f t="shared" si="1527"/>
        <v>74940405.23999998</v>
      </c>
      <c r="GK66" s="423">
        <f t="shared" si="1527"/>
        <v>74940405.23999998</v>
      </c>
      <c r="GL66" s="9">
        <f t="shared" si="1527"/>
        <v>74940405.23999998</v>
      </c>
      <c r="GM66" s="9">
        <f t="shared" ref="GM66:JJ66" si="1528">SUM(GM58:GM65)</f>
        <v>74940405.23999998</v>
      </c>
      <c r="GN66" s="9">
        <f t="shared" si="1528"/>
        <v>74940405.23999998</v>
      </c>
      <c r="GO66" s="9">
        <f t="shared" si="1528"/>
        <v>74940405.23999998</v>
      </c>
      <c r="GP66" s="9">
        <f t="shared" si="1528"/>
        <v>74940405.23999998</v>
      </c>
      <c r="GQ66" s="9">
        <f t="shared" si="1528"/>
        <v>74940405.23999998</v>
      </c>
      <c r="GR66" s="9">
        <f t="shared" si="1528"/>
        <v>74940405.23999998</v>
      </c>
      <c r="GS66" s="9">
        <f t="shared" si="1528"/>
        <v>74940405.23999998</v>
      </c>
      <c r="GT66" s="9">
        <f t="shared" si="1528"/>
        <v>74940405.23999998</v>
      </c>
      <c r="GU66" s="232">
        <f t="shared" si="1528"/>
        <v>74940405.23999998</v>
      </c>
      <c r="GV66" s="9">
        <f t="shared" si="1528"/>
        <v>74940405.23999998</v>
      </c>
      <c r="GW66" s="9">
        <f t="shared" si="1528"/>
        <v>74940405.23999998</v>
      </c>
      <c r="GX66" s="9">
        <f t="shared" si="1528"/>
        <v>74940405.23999998</v>
      </c>
      <c r="GY66" s="9">
        <f t="shared" si="1528"/>
        <v>74940405.23999998</v>
      </c>
      <c r="GZ66" s="9">
        <f t="shared" si="1528"/>
        <v>74940405.23999998</v>
      </c>
      <c r="HA66" s="9">
        <f t="shared" si="1528"/>
        <v>74940405.23999998</v>
      </c>
      <c r="HB66" s="9">
        <f t="shared" si="1528"/>
        <v>74940405.23999998</v>
      </c>
      <c r="HC66" s="9">
        <f t="shared" si="1528"/>
        <v>74940405.23999998</v>
      </c>
      <c r="HD66" s="9">
        <f t="shared" si="1528"/>
        <v>74940405.23999998</v>
      </c>
      <c r="HE66" s="423">
        <f t="shared" si="1528"/>
        <v>74940405.23999998</v>
      </c>
      <c r="HF66" s="9">
        <f t="shared" si="1528"/>
        <v>74940405.23999998</v>
      </c>
      <c r="HG66" s="9">
        <f t="shared" si="1528"/>
        <v>74940405.23999998</v>
      </c>
      <c r="HH66" s="9">
        <f t="shared" si="1528"/>
        <v>74940405.23999998</v>
      </c>
      <c r="HI66" s="9">
        <f t="shared" si="1528"/>
        <v>74940405.23999998</v>
      </c>
      <c r="HJ66" s="9">
        <f t="shared" si="1528"/>
        <v>74940405.23999998</v>
      </c>
      <c r="HK66" s="9">
        <f t="shared" si="1528"/>
        <v>74940405.23999998</v>
      </c>
      <c r="HL66" s="9">
        <f t="shared" si="1528"/>
        <v>74940405.23999998</v>
      </c>
      <c r="HM66" s="9">
        <f t="shared" si="1528"/>
        <v>74940405.23999998</v>
      </c>
      <c r="HN66" s="9">
        <f t="shared" si="1528"/>
        <v>74940405.23999998</v>
      </c>
      <c r="HO66" s="9">
        <f t="shared" si="1528"/>
        <v>74940405.23999998</v>
      </c>
      <c r="HP66" s="232">
        <f t="shared" si="1528"/>
        <v>74940405.23999998</v>
      </c>
      <c r="HQ66" s="9">
        <f t="shared" si="1528"/>
        <v>74940405.23999998</v>
      </c>
      <c r="HR66" s="9">
        <f t="shared" si="1528"/>
        <v>74940405.23999998</v>
      </c>
      <c r="HS66" s="9">
        <f t="shared" si="1528"/>
        <v>74940405.23999998</v>
      </c>
      <c r="HT66" s="9">
        <f t="shared" si="1528"/>
        <v>74940405.23999998</v>
      </c>
      <c r="HU66" s="9">
        <f t="shared" si="1528"/>
        <v>74940405.23999998</v>
      </c>
      <c r="HV66" s="9">
        <f t="shared" si="1528"/>
        <v>74940405.23999998</v>
      </c>
      <c r="HW66" s="9">
        <f t="shared" si="1528"/>
        <v>74940405.23999998</v>
      </c>
      <c r="HX66" s="9">
        <f t="shared" si="1528"/>
        <v>74940405.23999998</v>
      </c>
      <c r="HY66" s="9">
        <f t="shared" si="1528"/>
        <v>74940405.23999998</v>
      </c>
      <c r="HZ66" s="9">
        <f t="shared" si="1528"/>
        <v>74940405.23999998</v>
      </c>
      <c r="IA66" s="423">
        <f t="shared" si="1528"/>
        <v>74940405.23999998</v>
      </c>
      <c r="IB66" s="9">
        <f t="shared" si="1528"/>
        <v>74940405.23999998</v>
      </c>
      <c r="IC66" s="9">
        <f t="shared" si="1528"/>
        <v>74940405.23999998</v>
      </c>
      <c r="ID66" s="9">
        <f t="shared" si="1528"/>
        <v>74940405.23999998</v>
      </c>
      <c r="IE66" s="9">
        <f t="shared" si="1528"/>
        <v>74940405.23999998</v>
      </c>
      <c r="IF66" s="9">
        <f t="shared" si="1528"/>
        <v>74940405.23999998</v>
      </c>
      <c r="IG66" s="9">
        <f t="shared" si="1528"/>
        <v>74940405.23999998</v>
      </c>
      <c r="IH66" s="9">
        <f t="shared" si="1528"/>
        <v>74940405.23999998</v>
      </c>
      <c r="II66" s="9">
        <f t="shared" si="1528"/>
        <v>74940405.23999998</v>
      </c>
      <c r="IJ66" s="9">
        <f t="shared" si="1528"/>
        <v>74940405.23999998</v>
      </c>
      <c r="IK66" s="9">
        <f t="shared" si="1528"/>
        <v>74940405.23999998</v>
      </c>
      <c r="IL66" s="232">
        <f t="shared" si="1528"/>
        <v>74940405.23999998</v>
      </c>
      <c r="IM66" s="9">
        <f t="shared" si="1528"/>
        <v>74940405.23999998</v>
      </c>
      <c r="IN66" s="9">
        <f t="shared" si="1528"/>
        <v>74940405.23999998</v>
      </c>
      <c r="IO66" s="9">
        <f t="shared" si="1528"/>
        <v>74940405.23999998</v>
      </c>
      <c r="IP66" s="9">
        <f t="shared" si="1528"/>
        <v>74940405.23999998</v>
      </c>
      <c r="IQ66" s="9">
        <f t="shared" si="1528"/>
        <v>74940405.23999998</v>
      </c>
      <c r="IR66" s="9">
        <f t="shared" si="1528"/>
        <v>74940405.23999998</v>
      </c>
      <c r="IS66" s="9">
        <f t="shared" si="1528"/>
        <v>74940405.23999998</v>
      </c>
      <c r="IT66" s="9">
        <f t="shared" si="1528"/>
        <v>74940405.23999998</v>
      </c>
      <c r="IU66" s="9">
        <f t="shared" si="1528"/>
        <v>74940405.23999998</v>
      </c>
      <c r="IV66" s="9">
        <f t="shared" si="1528"/>
        <v>74940405.23999998</v>
      </c>
      <c r="IW66" s="879"/>
      <c r="IX66" s="9">
        <f t="shared" si="1528"/>
        <v>74940405.23999998</v>
      </c>
      <c r="IY66" s="9">
        <f t="shared" si="1528"/>
        <v>74940405.23999998</v>
      </c>
      <c r="IZ66" s="9">
        <f t="shared" si="1528"/>
        <v>74940405.23999998</v>
      </c>
      <c r="JA66" s="9">
        <f t="shared" si="1528"/>
        <v>74940405.23999998</v>
      </c>
      <c r="JB66" s="9">
        <f t="shared" si="1528"/>
        <v>74940405.23999998</v>
      </c>
      <c r="JC66" s="9">
        <f t="shared" si="1528"/>
        <v>74940405.23999998</v>
      </c>
      <c r="JD66" s="9">
        <f t="shared" si="1528"/>
        <v>74940405.23999998</v>
      </c>
      <c r="JE66" s="9">
        <f t="shared" si="1528"/>
        <v>74940405.23999998</v>
      </c>
      <c r="JF66" s="9">
        <f t="shared" si="1528"/>
        <v>74940405.23999998</v>
      </c>
      <c r="JG66" s="9">
        <f t="shared" si="1528"/>
        <v>74940405.23999998</v>
      </c>
      <c r="JH66" s="9">
        <f t="shared" si="1528"/>
        <v>74940405.23999998</v>
      </c>
      <c r="JI66" s="9"/>
      <c r="JJ66" s="40" t="e">
        <f t="shared" si="1528"/>
        <v>#REF!</v>
      </c>
      <c r="JK66" s="9"/>
    </row>
    <row r="67" spans="1:16384" ht="15" thickBot="1">
      <c r="C67" s="796"/>
      <c r="N67" s="213"/>
      <c r="AG67" s="213"/>
      <c r="BD67" s="213"/>
      <c r="BX67" s="213"/>
      <c r="CI67" s="8" t="s">
        <v>49</v>
      </c>
      <c r="CT67" s="213"/>
      <c r="CZ67" s="8"/>
      <c r="DO67" s="213"/>
      <c r="DR67" s="8"/>
      <c r="EB67" s="8"/>
      <c r="EJ67" s="213"/>
      <c r="EK67" s="140"/>
      <c r="EQ67" s="8"/>
      <c r="FD67" s="8"/>
      <c r="FF67" s="213"/>
      <c r="FJ67" s="140"/>
      <c r="FZ67" s="213"/>
      <c r="GU67" s="213"/>
      <c r="HP67" s="213"/>
      <c r="IL67" s="213"/>
    </row>
    <row r="68" spans="1:16384" s="63" customFormat="1" ht="16.5">
      <c r="A68" s="62" t="s">
        <v>220</v>
      </c>
      <c r="C68" s="233">
        <f t="shared" ref="C68" si="1529">C54+C66</f>
        <v>392568417.72549999</v>
      </c>
      <c r="D68" s="61">
        <f t="shared" ref="D68:I68" si="1530">D54+D66</f>
        <v>441856292.28549993</v>
      </c>
      <c r="E68" s="61">
        <f t="shared" si="1530"/>
        <v>442266631.87549996</v>
      </c>
      <c r="F68" s="61">
        <f t="shared" si="1530"/>
        <v>502123982.87549996</v>
      </c>
      <c r="G68" s="61">
        <f t="shared" si="1530"/>
        <v>507967851.78549993</v>
      </c>
      <c r="H68" s="61">
        <f t="shared" si="1530"/>
        <v>491693905.42549998</v>
      </c>
      <c r="I68" s="61">
        <f t="shared" si="1530"/>
        <v>505488170.10549992</v>
      </c>
      <c r="J68" s="61">
        <f t="shared" ref="J68:BO68" si="1531">J54+J66</f>
        <v>505560576.54549992</v>
      </c>
      <c r="K68" s="61">
        <f t="shared" si="1531"/>
        <v>552870315.0855</v>
      </c>
      <c r="L68" s="61">
        <f t="shared" si="1531"/>
        <v>481842007.40549994</v>
      </c>
      <c r="M68" s="61">
        <f t="shared" si="1531"/>
        <v>481492981.07549995</v>
      </c>
      <c r="N68" s="233">
        <f t="shared" si="1531"/>
        <v>438716683.18549991</v>
      </c>
      <c r="O68" s="61">
        <f t="shared" si="1531"/>
        <v>430633000.35549992</v>
      </c>
      <c r="P68" s="61">
        <f t="shared" si="1531"/>
        <v>431866648.63549995</v>
      </c>
      <c r="Q68" s="61">
        <f t="shared" si="1531"/>
        <v>432440800.24549991</v>
      </c>
      <c r="R68" s="61">
        <f t="shared" si="1531"/>
        <v>427700509.01549995</v>
      </c>
      <c r="S68" s="61">
        <f t="shared" si="1531"/>
        <v>422116209.60549998</v>
      </c>
      <c r="T68" s="61">
        <f t="shared" si="1531"/>
        <v>432266971.97549999</v>
      </c>
      <c r="U68" s="61">
        <f t="shared" si="1531"/>
        <v>438709083.22549999</v>
      </c>
      <c r="V68" s="61">
        <f t="shared" si="1531"/>
        <v>438413411.0855</v>
      </c>
      <c r="W68" s="61">
        <f t="shared" si="1531"/>
        <v>451945309.8355</v>
      </c>
      <c r="X68" s="61">
        <f t="shared" si="1531"/>
        <v>459004764.59549999</v>
      </c>
      <c r="Y68" s="61">
        <f t="shared" si="1531"/>
        <v>459528991.7755</v>
      </c>
      <c r="Z68" s="61">
        <f t="shared" si="1531"/>
        <v>440218890.87550002</v>
      </c>
      <c r="AA68" s="61">
        <f t="shared" si="1531"/>
        <v>436597925.86549997</v>
      </c>
      <c r="AB68" s="61">
        <f t="shared" si="1531"/>
        <v>436257727.32550001</v>
      </c>
      <c r="AC68" s="61">
        <f t="shared" si="1531"/>
        <v>432157728.92549998</v>
      </c>
      <c r="AD68" s="61">
        <f t="shared" si="1531"/>
        <v>432642612.95550001</v>
      </c>
      <c r="AE68" s="61">
        <f t="shared" si="1531"/>
        <v>432927989.36550003</v>
      </c>
      <c r="AF68" s="61">
        <f t="shared" si="1531"/>
        <v>427818328.66549999</v>
      </c>
      <c r="AG68" s="233">
        <f t="shared" si="1531"/>
        <v>370172550.7155</v>
      </c>
      <c r="AH68" s="61">
        <f t="shared" si="1531"/>
        <v>362840617.73549998</v>
      </c>
      <c r="AI68" s="61">
        <f t="shared" si="1531"/>
        <v>361388683.75550002</v>
      </c>
      <c r="AJ68" s="61">
        <f t="shared" si="1531"/>
        <v>355750296.98549998</v>
      </c>
      <c r="AK68" s="61">
        <f t="shared" si="1531"/>
        <v>363905189.53549999</v>
      </c>
      <c r="AL68" s="61">
        <f t="shared" si="1531"/>
        <v>359385414.16549999</v>
      </c>
      <c r="AM68" s="61">
        <f t="shared" si="1531"/>
        <v>359296164.79549998</v>
      </c>
      <c r="AN68" s="61">
        <f t="shared" si="1531"/>
        <v>356847456.51550001</v>
      </c>
      <c r="AO68" s="585">
        <f t="shared" si="1531"/>
        <v>363421990.94550002</v>
      </c>
      <c r="AP68" s="61">
        <f t="shared" si="1531"/>
        <v>368428683.18549997</v>
      </c>
      <c r="AQ68" s="61">
        <f t="shared" si="1531"/>
        <v>368104999.79549998</v>
      </c>
      <c r="AR68" s="61">
        <f t="shared" si="1531"/>
        <v>367861043.9655</v>
      </c>
      <c r="AS68" s="61">
        <f t="shared" si="1531"/>
        <v>368334011.47549999</v>
      </c>
      <c r="AT68" s="61">
        <f t="shared" si="1531"/>
        <v>366941536.13550001</v>
      </c>
      <c r="AU68" s="61">
        <f t="shared" si="1531"/>
        <v>365186976.78550005</v>
      </c>
      <c r="AV68" s="61">
        <f t="shared" si="1531"/>
        <v>364058995.32550001</v>
      </c>
      <c r="AW68" s="61">
        <f t="shared" si="1531"/>
        <v>346904375.22550005</v>
      </c>
      <c r="AX68" s="61">
        <f t="shared" si="1531"/>
        <v>355178732.30550003</v>
      </c>
      <c r="AY68" s="61">
        <f t="shared" si="1531"/>
        <v>365575383.65550005</v>
      </c>
      <c r="AZ68" s="61">
        <f t="shared" si="1531"/>
        <v>364984786.13550001</v>
      </c>
      <c r="BA68" s="61">
        <f t="shared" si="1531"/>
        <v>369786185.93550003</v>
      </c>
      <c r="BB68" s="61">
        <f t="shared" si="1531"/>
        <v>368521081.48549998</v>
      </c>
      <c r="BC68" s="61">
        <f t="shared" si="1531"/>
        <v>368439242.8355</v>
      </c>
      <c r="BD68" s="233">
        <f t="shared" si="1531"/>
        <v>308510483.81550002</v>
      </c>
      <c r="BE68" s="61">
        <f t="shared" si="1531"/>
        <v>292245431.0255</v>
      </c>
      <c r="BF68" s="61">
        <f t="shared" si="1531"/>
        <v>300058246.7155</v>
      </c>
      <c r="BG68" s="61">
        <f t="shared" si="1531"/>
        <v>293182023.7755</v>
      </c>
      <c r="BH68" s="61">
        <f t="shared" si="1531"/>
        <v>298282918.76550001</v>
      </c>
      <c r="BI68" s="61">
        <f t="shared" si="1531"/>
        <v>298010275.32550001</v>
      </c>
      <c r="BJ68" s="61">
        <f t="shared" si="1531"/>
        <v>303586786.7755</v>
      </c>
      <c r="BK68" s="61">
        <f t="shared" si="1531"/>
        <v>303365241.86549997</v>
      </c>
      <c r="BL68" s="61">
        <f t="shared" si="1531"/>
        <v>299373819.20550001</v>
      </c>
      <c r="BM68" s="61">
        <f t="shared" si="1531"/>
        <v>298541067.85549998</v>
      </c>
      <c r="BN68" s="61">
        <f t="shared" si="1531"/>
        <v>293536499.74549997</v>
      </c>
      <c r="BO68" s="61">
        <f t="shared" si="1531"/>
        <v>288811715.45550001</v>
      </c>
      <c r="BP68" s="61">
        <f t="shared" ref="BP68:EA68" si="1532">BP54+BP66</f>
        <v>295121109.24549997</v>
      </c>
      <c r="BQ68" s="61">
        <f t="shared" si="1532"/>
        <v>292484985.6455</v>
      </c>
      <c r="BR68" s="61">
        <f t="shared" si="1532"/>
        <v>299379156.43549997</v>
      </c>
      <c r="BS68" s="61">
        <f t="shared" si="1532"/>
        <v>289375195.20550001</v>
      </c>
      <c r="BT68" s="61">
        <f t="shared" si="1532"/>
        <v>288562340.5855</v>
      </c>
      <c r="BU68" s="61">
        <f t="shared" si="1532"/>
        <v>287832298.99549997</v>
      </c>
      <c r="BV68" s="61">
        <f t="shared" si="1532"/>
        <v>279614084.57550001</v>
      </c>
      <c r="BW68" s="61">
        <f t="shared" si="1532"/>
        <v>279264182.0855</v>
      </c>
      <c r="BX68" s="233">
        <f t="shared" si="1532"/>
        <v>217148078.81550002</v>
      </c>
      <c r="BY68" s="61">
        <f t="shared" si="1532"/>
        <v>207464526.78549999</v>
      </c>
      <c r="BZ68" s="61">
        <f t="shared" si="1532"/>
        <v>205623278.62549999</v>
      </c>
      <c r="CA68" s="61">
        <f t="shared" si="1532"/>
        <v>199523142.45550001</v>
      </c>
      <c r="CB68" s="61">
        <f t="shared" si="1532"/>
        <v>199185834.51550001</v>
      </c>
      <c r="CC68" s="61">
        <f t="shared" si="1532"/>
        <v>198166961.47549999</v>
      </c>
      <c r="CD68" s="61">
        <f t="shared" si="1532"/>
        <v>197368231.34549999</v>
      </c>
      <c r="CE68" s="61">
        <f t="shared" si="1532"/>
        <v>204948531.2455</v>
      </c>
      <c r="CF68" s="61">
        <f t="shared" si="1532"/>
        <v>204748509.59549999</v>
      </c>
      <c r="CG68" s="61">
        <f t="shared" si="1532"/>
        <v>204530863.76550001</v>
      </c>
      <c r="CH68" s="61">
        <f t="shared" si="1532"/>
        <v>200055771.48549998</v>
      </c>
      <c r="CI68" s="61">
        <f t="shared" si="1532"/>
        <v>193877994.30549997</v>
      </c>
      <c r="CJ68" s="61">
        <f t="shared" si="1532"/>
        <v>194205162.91549999</v>
      </c>
      <c r="CK68" s="61">
        <f t="shared" si="1532"/>
        <v>204149652.91549999</v>
      </c>
      <c r="CL68" s="61">
        <f t="shared" si="1532"/>
        <v>206889149.87549999</v>
      </c>
      <c r="CM68" s="61">
        <f t="shared" si="1532"/>
        <v>190879823.0255</v>
      </c>
      <c r="CN68" s="61">
        <f t="shared" si="1532"/>
        <v>190239723.37549999</v>
      </c>
      <c r="CO68" s="61">
        <f t="shared" si="1532"/>
        <v>189069047.4355</v>
      </c>
      <c r="CP68" s="61">
        <f t="shared" si="1532"/>
        <v>194330910.5855</v>
      </c>
      <c r="CQ68" s="61">
        <f t="shared" si="1532"/>
        <v>209943997.8355</v>
      </c>
      <c r="CR68" s="61">
        <f t="shared" si="1532"/>
        <v>209542651.61549997</v>
      </c>
      <c r="CS68" s="61">
        <f t="shared" si="1532"/>
        <v>207848575.66549999</v>
      </c>
      <c r="CT68" s="233">
        <f t="shared" si="1532"/>
        <v>143773577.30549997</v>
      </c>
      <c r="CU68" s="61">
        <f t="shared" si="1532"/>
        <v>131358806.97549999</v>
      </c>
      <c r="CV68" s="61">
        <f t="shared" si="1532"/>
        <v>117826031.11549997</v>
      </c>
      <c r="CW68" s="61">
        <f t="shared" si="1532"/>
        <v>131556871.44549997</v>
      </c>
      <c r="CX68" s="61">
        <f t="shared" si="1532"/>
        <v>133803860.96549997</v>
      </c>
      <c r="CY68" s="61">
        <f t="shared" si="1532"/>
        <v>123788992.57549998</v>
      </c>
      <c r="CZ68" s="61">
        <f t="shared" si="1532"/>
        <v>134360289.42549998</v>
      </c>
      <c r="DA68" s="61">
        <f t="shared" si="1532"/>
        <v>132582053.58549997</v>
      </c>
      <c r="DB68" s="61">
        <f t="shared" si="1532"/>
        <v>139044176.35549998</v>
      </c>
      <c r="DC68" s="61">
        <f t="shared" si="1532"/>
        <v>139222633.99549997</v>
      </c>
      <c r="DD68" s="61">
        <f t="shared" si="1532"/>
        <v>136536238.58549997</v>
      </c>
      <c r="DE68" s="61">
        <f t="shared" si="1532"/>
        <v>119223371.46549997</v>
      </c>
      <c r="DF68" s="61">
        <f t="shared" si="1532"/>
        <v>118941721.22549993</v>
      </c>
      <c r="DG68" s="61">
        <f t="shared" si="1532"/>
        <v>118585041.66549993</v>
      </c>
      <c r="DH68" s="61">
        <f t="shared" si="1532"/>
        <v>127074415.80549994</v>
      </c>
      <c r="DI68" s="61">
        <f t="shared" si="1532"/>
        <v>126585096.83549993</v>
      </c>
      <c r="DJ68" s="61">
        <f t="shared" si="1532"/>
        <v>125069089.34549993</v>
      </c>
      <c r="DK68" s="61">
        <f t="shared" si="1532"/>
        <v>123349198.69549993</v>
      </c>
      <c r="DL68" s="61">
        <f t="shared" si="1532"/>
        <v>122711607.60449994</v>
      </c>
      <c r="DM68" s="61">
        <f t="shared" si="1532"/>
        <v>127870169.31649993</v>
      </c>
      <c r="DN68" s="61">
        <f t="shared" si="1532"/>
        <v>127014097.22149993</v>
      </c>
      <c r="DO68" s="537">
        <f t="shared" si="1532"/>
        <v>69932935.735041231</v>
      </c>
      <c r="DP68" s="61">
        <f t="shared" si="1532"/>
        <v>44993879.378353193</v>
      </c>
      <c r="DQ68" s="61">
        <f t="shared" si="1532"/>
        <v>61630997.066353194</v>
      </c>
      <c r="DR68" s="61">
        <f t="shared" si="1532"/>
        <v>62237686.290353194</v>
      </c>
      <c r="DS68" s="61">
        <f t="shared" si="1532"/>
        <v>59281360.466353193</v>
      </c>
      <c r="DT68" s="61">
        <f t="shared" si="1532"/>
        <v>56516136.637694135</v>
      </c>
      <c r="DU68" s="61">
        <f t="shared" si="1532"/>
        <v>51506513.00851807</v>
      </c>
      <c r="DV68" s="61">
        <f t="shared" si="1532"/>
        <v>54129783.36151807</v>
      </c>
      <c r="DW68" s="61">
        <f t="shared" si="1532"/>
        <v>58813922.923518069</v>
      </c>
      <c r="DX68" s="61">
        <f t="shared" si="1532"/>
        <v>55579547.265518069</v>
      </c>
      <c r="DY68" s="61">
        <f t="shared" si="1532"/>
        <v>55651760.139518067</v>
      </c>
      <c r="DZ68" s="61">
        <f t="shared" si="1532"/>
        <v>52855626.797518067</v>
      </c>
      <c r="EA68" s="61">
        <f t="shared" si="1532"/>
        <v>51286194.543518066</v>
      </c>
      <c r="EB68" s="61">
        <f t="shared" ref="EB68:GM68" si="1533">EB54+EB66</f>
        <v>50629670.048518069</v>
      </c>
      <c r="EC68" s="61">
        <f t="shared" si="1533"/>
        <v>115304309.00951807</v>
      </c>
      <c r="ED68" s="61">
        <f t="shared" si="1533"/>
        <v>97337220.789160699</v>
      </c>
      <c r="EE68" s="248">
        <f t="shared" si="1533"/>
        <v>95293468.24097088</v>
      </c>
      <c r="EF68" s="61">
        <f t="shared" si="1533"/>
        <v>101560437.90697087</v>
      </c>
      <c r="EG68" s="61">
        <f t="shared" si="1533"/>
        <v>103676851.16997087</v>
      </c>
      <c r="EH68" s="61">
        <f t="shared" si="1533"/>
        <v>101147619.82697088</v>
      </c>
      <c r="EI68" s="61">
        <f t="shared" si="1533"/>
        <v>101294911.82697088</v>
      </c>
      <c r="EJ68" s="233">
        <f t="shared" si="1533"/>
        <v>50919152.322674096</v>
      </c>
      <c r="EK68" s="248">
        <f t="shared" si="1533"/>
        <v>42506921.290782727</v>
      </c>
      <c r="EL68" s="61">
        <f t="shared" si="1533"/>
        <v>41979741.276782729</v>
      </c>
      <c r="EM68" s="61">
        <f t="shared" si="1533"/>
        <v>36535031.186782725</v>
      </c>
      <c r="EN68" s="61">
        <f t="shared" si="1533"/>
        <v>34874953.60022027</v>
      </c>
      <c r="EO68" s="61">
        <f t="shared" si="1533"/>
        <v>34618471.158318937</v>
      </c>
      <c r="EP68" s="61">
        <f t="shared" si="1533"/>
        <v>33749064.398318939</v>
      </c>
      <c r="EQ68" s="692">
        <f t="shared" si="1533"/>
        <v>31928495.549318939</v>
      </c>
      <c r="ER68" s="61">
        <f t="shared" si="1533"/>
        <v>69974224.670318946</v>
      </c>
      <c r="ES68" s="61">
        <f t="shared" si="1533"/>
        <v>69989383.767318934</v>
      </c>
      <c r="ET68" s="61">
        <f t="shared" si="1533"/>
        <v>69835930.516318947</v>
      </c>
      <c r="EU68" s="61">
        <f t="shared" si="1533"/>
        <v>66069644.035318941</v>
      </c>
      <c r="EV68" s="61">
        <f t="shared" si="1533"/>
        <v>68909211.181318939</v>
      </c>
      <c r="EW68" s="61">
        <f t="shared" si="1533"/>
        <v>67046199.375318944</v>
      </c>
      <c r="EX68" s="61">
        <f t="shared" si="1533"/>
        <v>63975331.698793933</v>
      </c>
      <c r="EY68" s="61">
        <f t="shared" si="1533"/>
        <v>50853027.493047655</v>
      </c>
      <c r="EZ68" s="61">
        <f t="shared" si="1533"/>
        <v>47526065.98704765</v>
      </c>
      <c r="FA68" s="61">
        <f t="shared" si="1533"/>
        <v>87631837.136047646</v>
      </c>
      <c r="FB68" s="545">
        <f t="shared" si="1533"/>
        <v>85740026.922047645</v>
      </c>
      <c r="FC68" s="61">
        <f t="shared" si="1533"/>
        <v>100739422.20704764</v>
      </c>
      <c r="FD68" s="61">
        <f t="shared" si="1533"/>
        <v>97854406.377047643</v>
      </c>
      <c r="FE68" s="61">
        <f t="shared" si="1533"/>
        <v>101387482.42004764</v>
      </c>
      <c r="FF68" s="233">
        <f t="shared" si="1533"/>
        <v>42560620.971720047</v>
      </c>
      <c r="FG68" s="61">
        <f t="shared" si="1533"/>
        <v>30784466.035873383</v>
      </c>
      <c r="FH68" s="248">
        <f t="shared" si="1533"/>
        <v>30572282.882395148</v>
      </c>
      <c r="FI68" s="61">
        <f t="shared" si="1533"/>
        <v>33657681.672395147</v>
      </c>
      <c r="FJ68" s="248">
        <f t="shared" si="1533"/>
        <v>32821844.40539515</v>
      </c>
      <c r="FK68" s="248">
        <f t="shared" si="1533"/>
        <v>25786675.136395156</v>
      </c>
      <c r="FL68" s="692">
        <f t="shared" si="1533"/>
        <v>25724946.493395157</v>
      </c>
      <c r="FM68" s="248">
        <f t="shared" si="1533"/>
        <v>173928905.26239514</v>
      </c>
      <c r="FN68" s="61">
        <f t="shared" si="1533"/>
        <v>307313344.04539514</v>
      </c>
      <c r="FO68" s="61">
        <f t="shared" si="1533"/>
        <v>306683159.54739517</v>
      </c>
      <c r="FP68" s="61">
        <f t="shared" si="1533"/>
        <v>299929675.99339521</v>
      </c>
      <c r="FQ68" s="61">
        <f t="shared" si="1533"/>
        <v>301709449.33040297</v>
      </c>
      <c r="FR68" s="61">
        <f t="shared" si="1533"/>
        <v>299665645.72217786</v>
      </c>
      <c r="FS68" s="61">
        <f t="shared" si="1533"/>
        <v>302429614.3891778</v>
      </c>
      <c r="FT68" s="61">
        <f t="shared" si="1533"/>
        <v>303222215.96617782</v>
      </c>
      <c r="FU68" s="61">
        <f t="shared" si="1533"/>
        <v>284657970.06615829</v>
      </c>
      <c r="FV68" s="61">
        <f t="shared" si="1533"/>
        <v>286405293.86915833</v>
      </c>
      <c r="FW68" s="61">
        <f t="shared" si="1533"/>
        <v>283178134.53615832</v>
      </c>
      <c r="FX68" s="61">
        <f t="shared" si="1533"/>
        <v>283924671.35815835</v>
      </c>
      <c r="FY68" s="61">
        <f t="shared" si="1533"/>
        <v>282446248.2091583</v>
      </c>
      <c r="FZ68" s="233">
        <f t="shared" si="1533"/>
        <v>224817974.02269182</v>
      </c>
      <c r="GA68" s="61">
        <f t="shared" si="1533"/>
        <v>214594951.18437836</v>
      </c>
      <c r="GB68" s="692">
        <f t="shared" si="1533"/>
        <v>214377889.69137836</v>
      </c>
      <c r="GC68" s="61">
        <f t="shared" si="1533"/>
        <v>223287764.12637836</v>
      </c>
      <c r="GD68" s="61">
        <f t="shared" si="1533"/>
        <v>223739649.24337834</v>
      </c>
      <c r="GE68" s="61">
        <f t="shared" si="1533"/>
        <v>218588158.13337833</v>
      </c>
      <c r="GF68" s="248">
        <f t="shared" si="1533"/>
        <v>219267640.04837832</v>
      </c>
      <c r="GG68" s="61">
        <f t="shared" si="1533"/>
        <v>333789128.96337831</v>
      </c>
      <c r="GH68" s="61">
        <f t="shared" si="1533"/>
        <v>343110466.9273783</v>
      </c>
      <c r="GI68" s="61">
        <f t="shared" si="1533"/>
        <v>342181736.29237831</v>
      </c>
      <c r="GJ68" s="61">
        <f t="shared" si="1533"/>
        <v>343839073.1478734</v>
      </c>
      <c r="GK68" s="61">
        <f t="shared" si="1533"/>
        <v>342942333.32798815</v>
      </c>
      <c r="GL68" s="61">
        <f t="shared" si="1533"/>
        <v>342343499.5539881</v>
      </c>
      <c r="GM68" s="61">
        <f t="shared" si="1533"/>
        <v>342604491.63098812</v>
      </c>
      <c r="GN68" s="61">
        <f t="shared" ref="GN68:JJ68" si="1534">GN54+GN66</f>
        <v>340868143.03498811</v>
      </c>
      <c r="GO68" s="61">
        <f t="shared" si="1534"/>
        <v>325103789.55596548</v>
      </c>
      <c r="GP68" s="61">
        <f t="shared" si="1534"/>
        <v>325887319.2629655</v>
      </c>
      <c r="GQ68" s="61">
        <f t="shared" si="1534"/>
        <v>328611844.65596545</v>
      </c>
      <c r="GR68" s="61">
        <f t="shared" si="1534"/>
        <v>325420014.87996542</v>
      </c>
      <c r="GS68" s="61">
        <f t="shared" si="1534"/>
        <v>317948260.7533592</v>
      </c>
      <c r="GT68" s="61">
        <f t="shared" si="1534"/>
        <v>320072679.54529959</v>
      </c>
      <c r="GU68" s="233">
        <f t="shared" si="1534"/>
        <v>273040057.52111781</v>
      </c>
      <c r="GV68" s="61">
        <f t="shared" si="1534"/>
        <v>263173721.87146196</v>
      </c>
      <c r="GW68" s="61">
        <f t="shared" si="1534"/>
        <v>260064790.47046196</v>
      </c>
      <c r="GX68" s="61">
        <f t="shared" si="1534"/>
        <v>261599087.71646196</v>
      </c>
      <c r="GY68" s="61">
        <f t="shared" si="1534"/>
        <v>263250826.46046197</v>
      </c>
      <c r="GZ68" s="61">
        <f t="shared" si="1534"/>
        <v>253352690.72846195</v>
      </c>
      <c r="HA68" s="692">
        <f t="shared" si="1534"/>
        <v>250732764.25746197</v>
      </c>
      <c r="HB68" s="61">
        <f t="shared" si="1534"/>
        <v>250764381.43246198</v>
      </c>
      <c r="HC68" s="61">
        <f t="shared" si="1534"/>
        <v>256969013.50440514</v>
      </c>
      <c r="HD68" s="61">
        <f t="shared" si="1534"/>
        <v>268347883.91161409</v>
      </c>
      <c r="HE68" s="61">
        <f t="shared" si="1534"/>
        <v>268775777.66061407</v>
      </c>
      <c r="HF68" s="61">
        <f t="shared" si="1534"/>
        <v>266377113.29261407</v>
      </c>
      <c r="HG68" s="61">
        <f t="shared" si="1534"/>
        <v>265204418.40161407</v>
      </c>
      <c r="HH68" s="61">
        <f t="shared" si="1534"/>
        <v>266397412.95261407</v>
      </c>
      <c r="HI68" s="61">
        <f t="shared" si="1534"/>
        <v>251508749.50232357</v>
      </c>
      <c r="HJ68" s="61">
        <f t="shared" si="1534"/>
        <v>253161003.03732359</v>
      </c>
      <c r="HK68" s="61">
        <f t="shared" si="1534"/>
        <v>251260142.3843236</v>
      </c>
      <c r="HL68" s="61">
        <f t="shared" si="1534"/>
        <v>253495530.58032358</v>
      </c>
      <c r="HM68" s="61">
        <f t="shared" si="1534"/>
        <v>254592829.70853683</v>
      </c>
      <c r="HN68" s="61">
        <f t="shared" si="1534"/>
        <v>256963009.22970203</v>
      </c>
      <c r="HO68" s="61">
        <f t="shared" si="1534"/>
        <v>258625221.34670201</v>
      </c>
      <c r="HP68" s="233">
        <f t="shared" si="1534"/>
        <v>217541392.77669826</v>
      </c>
      <c r="HQ68" s="61">
        <f t="shared" si="1534"/>
        <v>213548587.18304548</v>
      </c>
      <c r="HR68" s="61">
        <f t="shared" si="1534"/>
        <v>217000090.92604548</v>
      </c>
      <c r="HS68" s="692">
        <f t="shared" si="1534"/>
        <v>206728549.65504545</v>
      </c>
      <c r="HT68" s="61">
        <f t="shared" si="1534"/>
        <v>215144690.83404547</v>
      </c>
      <c r="HU68" s="61">
        <f t="shared" si="1534"/>
        <v>217782719.87304547</v>
      </c>
      <c r="HV68" s="61">
        <f t="shared" si="1534"/>
        <v>222050019.81414136</v>
      </c>
      <c r="HW68" s="61">
        <f t="shared" si="1534"/>
        <v>226568036.38544005</v>
      </c>
      <c r="HX68" s="61">
        <f t="shared" si="1534"/>
        <v>228772829.37844005</v>
      </c>
      <c r="HY68" s="61">
        <f t="shared" si="1534"/>
        <v>228618191.18144006</v>
      </c>
      <c r="HZ68" s="61">
        <f t="shared" si="1534"/>
        <v>230343939.40644005</v>
      </c>
      <c r="IA68" s="61">
        <f t="shared" si="1534"/>
        <v>278232051.38844001</v>
      </c>
      <c r="IB68" s="61">
        <f t="shared" si="1534"/>
        <v>289360144.60944009</v>
      </c>
      <c r="IC68" s="61">
        <f t="shared" si="1534"/>
        <v>337091743.59444004</v>
      </c>
      <c r="ID68" s="61">
        <f t="shared" si="1534"/>
        <v>351959972.84244001</v>
      </c>
      <c r="IE68" s="61">
        <f t="shared" si="1534"/>
        <v>361678520.18643999</v>
      </c>
      <c r="IF68" s="61">
        <f t="shared" si="1534"/>
        <v>357033046.86744952</v>
      </c>
      <c r="IG68" s="61">
        <f t="shared" si="1534"/>
        <v>366664450.59486997</v>
      </c>
      <c r="IH68" s="61">
        <f t="shared" si="1534"/>
        <v>369116882.48986995</v>
      </c>
      <c r="II68" s="61">
        <f t="shared" si="1534"/>
        <v>380076864.44086993</v>
      </c>
      <c r="IJ68" s="61">
        <f t="shared" si="1534"/>
        <v>388276124.52486992</v>
      </c>
      <c r="IK68" s="61">
        <f t="shared" si="1534"/>
        <v>395072978.71486998</v>
      </c>
      <c r="IL68" s="233">
        <f t="shared" si="1534"/>
        <v>348516683.14452362</v>
      </c>
      <c r="IM68" s="61">
        <f t="shared" si="1534"/>
        <v>345573540.97588623</v>
      </c>
      <c r="IN68" s="61">
        <f t="shared" si="1534"/>
        <v>356571633.57288623</v>
      </c>
      <c r="IO68" s="61">
        <f t="shared" si="1534"/>
        <v>363367434.74462795</v>
      </c>
      <c r="IP68" s="61">
        <f t="shared" si="1534"/>
        <v>373540558.57886958</v>
      </c>
      <c r="IQ68" s="61">
        <f t="shared" si="1534"/>
        <v>384575590.0308696</v>
      </c>
      <c r="IR68" s="61">
        <f t="shared" si="1534"/>
        <v>404734153.51486969</v>
      </c>
      <c r="IS68" s="61">
        <f t="shared" si="1534"/>
        <v>418556338.54986966</v>
      </c>
      <c r="IT68" s="61">
        <f t="shared" si="1534"/>
        <v>434571758.82986963</v>
      </c>
      <c r="IU68" s="61">
        <f t="shared" si="1534"/>
        <v>459673505.33786964</v>
      </c>
      <c r="IV68" s="61">
        <f t="shared" si="1534"/>
        <v>489963732.39386964</v>
      </c>
      <c r="IW68" s="880"/>
      <c r="IX68" s="61">
        <f t="shared" si="1534"/>
        <v>534704768.7851696</v>
      </c>
      <c r="IY68" s="61">
        <f t="shared" si="1534"/>
        <v>534952302.9769696</v>
      </c>
      <c r="IZ68" s="61">
        <f t="shared" si="1534"/>
        <v>588880382.7177695</v>
      </c>
      <c r="JA68" s="61">
        <f t="shared" si="1534"/>
        <v>579209922.48330474</v>
      </c>
      <c r="JB68" s="61">
        <f t="shared" si="1534"/>
        <v>578736763.74415565</v>
      </c>
      <c r="JC68" s="61">
        <f t="shared" si="1534"/>
        <v>591783195.9930557</v>
      </c>
      <c r="JD68" s="61">
        <f t="shared" si="1534"/>
        <v>592095420.37695563</v>
      </c>
      <c r="JE68" s="61">
        <f t="shared" si="1534"/>
        <v>509322036.89995563</v>
      </c>
      <c r="JF68" s="61">
        <f t="shared" si="1534"/>
        <v>517750297.72615564</v>
      </c>
      <c r="JG68" s="61">
        <f t="shared" si="1534"/>
        <v>517690791.08695567</v>
      </c>
      <c r="JH68" s="61">
        <f t="shared" si="1534"/>
        <v>468985201.64237189</v>
      </c>
      <c r="JI68" s="504"/>
      <c r="JJ68" s="61" t="e">
        <f t="shared" si="1534"/>
        <v>#REF!</v>
      </c>
      <c r="JK68" s="96"/>
    </row>
    <row r="69" spans="1:16384" s="63" customFormat="1" ht="17.25" thickBot="1">
      <c r="A69" s="62" t="s">
        <v>219</v>
      </c>
      <c r="C69" s="797">
        <f t="shared" ref="C69:K69" si="1535">C68-$EG$11-$FA$11</f>
        <v>357568417.72549999</v>
      </c>
      <c r="D69" s="61">
        <f t="shared" si="1535"/>
        <v>406856292.28549993</v>
      </c>
      <c r="E69" s="61">
        <f t="shared" si="1535"/>
        <v>407266631.87549996</v>
      </c>
      <c r="F69" s="61">
        <f t="shared" si="1535"/>
        <v>467123982.87549996</v>
      </c>
      <c r="G69" s="61">
        <f t="shared" si="1535"/>
        <v>472967851.78549993</v>
      </c>
      <c r="H69" s="61">
        <f t="shared" si="1535"/>
        <v>456693905.42549998</v>
      </c>
      <c r="I69" s="61">
        <f t="shared" si="1535"/>
        <v>470488170.10549992</v>
      </c>
      <c r="J69" s="61">
        <f t="shared" si="1535"/>
        <v>470560576.54549992</v>
      </c>
      <c r="K69" s="61">
        <f t="shared" si="1535"/>
        <v>517870315.0855</v>
      </c>
      <c r="L69" s="61">
        <f>L68</f>
        <v>481842007.40549994</v>
      </c>
      <c r="M69" s="61">
        <f t="shared" ref="M69:BX69" si="1536">M68</f>
        <v>481492981.07549995</v>
      </c>
      <c r="N69" s="233">
        <f t="shared" si="1536"/>
        <v>438716683.18549991</v>
      </c>
      <c r="O69" s="61">
        <f t="shared" si="1536"/>
        <v>430633000.35549992</v>
      </c>
      <c r="P69" s="61">
        <f t="shared" si="1536"/>
        <v>431866648.63549995</v>
      </c>
      <c r="Q69" s="61">
        <f t="shared" si="1536"/>
        <v>432440800.24549991</v>
      </c>
      <c r="R69" s="61">
        <f t="shared" si="1536"/>
        <v>427700509.01549995</v>
      </c>
      <c r="S69" s="61">
        <f t="shared" si="1536"/>
        <v>422116209.60549998</v>
      </c>
      <c r="T69" s="61">
        <f t="shared" si="1536"/>
        <v>432266971.97549999</v>
      </c>
      <c r="U69" s="61">
        <f t="shared" si="1536"/>
        <v>438709083.22549999</v>
      </c>
      <c r="V69" s="61">
        <f t="shared" si="1536"/>
        <v>438413411.0855</v>
      </c>
      <c r="W69" s="61">
        <f t="shared" si="1536"/>
        <v>451945309.8355</v>
      </c>
      <c r="X69" s="61">
        <f t="shared" si="1536"/>
        <v>459004764.59549999</v>
      </c>
      <c r="Y69" s="61">
        <f t="shared" si="1536"/>
        <v>459528991.7755</v>
      </c>
      <c r="Z69" s="61">
        <f t="shared" si="1536"/>
        <v>440218890.87550002</v>
      </c>
      <c r="AA69" s="61">
        <f t="shared" si="1536"/>
        <v>436597925.86549997</v>
      </c>
      <c r="AB69" s="61">
        <f t="shared" si="1536"/>
        <v>436257727.32550001</v>
      </c>
      <c r="AC69" s="61">
        <f t="shared" si="1536"/>
        <v>432157728.92549998</v>
      </c>
      <c r="AD69" s="61">
        <f t="shared" si="1536"/>
        <v>432642612.95550001</v>
      </c>
      <c r="AE69" s="61">
        <f t="shared" si="1536"/>
        <v>432927989.36550003</v>
      </c>
      <c r="AF69" s="61">
        <f t="shared" si="1536"/>
        <v>427818328.66549999</v>
      </c>
      <c r="AG69" s="233">
        <f t="shared" si="1536"/>
        <v>370172550.7155</v>
      </c>
      <c r="AH69" s="61">
        <f t="shared" si="1536"/>
        <v>362840617.73549998</v>
      </c>
      <c r="AI69" s="61">
        <f t="shared" si="1536"/>
        <v>361388683.75550002</v>
      </c>
      <c r="AJ69" s="61">
        <f t="shared" si="1536"/>
        <v>355750296.98549998</v>
      </c>
      <c r="AK69" s="61">
        <f t="shared" si="1536"/>
        <v>363905189.53549999</v>
      </c>
      <c r="AL69" s="61">
        <f t="shared" si="1536"/>
        <v>359385414.16549999</v>
      </c>
      <c r="AM69" s="61">
        <f t="shared" si="1536"/>
        <v>359296164.79549998</v>
      </c>
      <c r="AN69" s="61">
        <f t="shared" si="1536"/>
        <v>356847456.51550001</v>
      </c>
      <c r="AO69" s="585">
        <f t="shared" si="1536"/>
        <v>363421990.94550002</v>
      </c>
      <c r="AP69" s="61">
        <f t="shared" si="1536"/>
        <v>368428683.18549997</v>
      </c>
      <c r="AQ69" s="61">
        <f t="shared" si="1536"/>
        <v>368104999.79549998</v>
      </c>
      <c r="AR69" s="61">
        <f t="shared" si="1536"/>
        <v>367861043.9655</v>
      </c>
      <c r="AS69" s="61">
        <f t="shared" si="1536"/>
        <v>368334011.47549999</v>
      </c>
      <c r="AT69" s="61">
        <f t="shared" si="1536"/>
        <v>366941536.13550001</v>
      </c>
      <c r="AU69" s="61">
        <f t="shared" si="1536"/>
        <v>365186976.78550005</v>
      </c>
      <c r="AV69" s="61">
        <f t="shared" si="1536"/>
        <v>364058995.32550001</v>
      </c>
      <c r="AW69" s="61">
        <f t="shared" si="1536"/>
        <v>346904375.22550005</v>
      </c>
      <c r="AX69" s="61">
        <f t="shared" si="1536"/>
        <v>355178732.30550003</v>
      </c>
      <c r="AY69" s="61">
        <f t="shared" si="1536"/>
        <v>365575383.65550005</v>
      </c>
      <c r="AZ69" s="61">
        <f t="shared" si="1536"/>
        <v>364984786.13550001</v>
      </c>
      <c r="BA69" s="61">
        <f t="shared" si="1536"/>
        <v>369786185.93550003</v>
      </c>
      <c r="BB69" s="61">
        <f t="shared" si="1536"/>
        <v>368521081.48549998</v>
      </c>
      <c r="BC69" s="61">
        <f t="shared" si="1536"/>
        <v>368439242.8355</v>
      </c>
      <c r="BD69" s="233">
        <f t="shared" si="1536"/>
        <v>308510483.81550002</v>
      </c>
      <c r="BE69" s="61">
        <f t="shared" si="1536"/>
        <v>292245431.0255</v>
      </c>
      <c r="BF69" s="61">
        <f t="shared" si="1536"/>
        <v>300058246.7155</v>
      </c>
      <c r="BG69" s="61">
        <f t="shared" si="1536"/>
        <v>293182023.7755</v>
      </c>
      <c r="BH69" s="61">
        <f t="shared" si="1536"/>
        <v>298282918.76550001</v>
      </c>
      <c r="BI69" s="61">
        <f t="shared" si="1536"/>
        <v>298010275.32550001</v>
      </c>
      <c r="BJ69" s="61">
        <f t="shared" si="1536"/>
        <v>303586786.7755</v>
      </c>
      <c r="BK69" s="61">
        <f t="shared" si="1536"/>
        <v>303365241.86549997</v>
      </c>
      <c r="BL69" s="61">
        <f t="shared" si="1536"/>
        <v>299373819.20550001</v>
      </c>
      <c r="BM69" s="61">
        <f t="shared" si="1536"/>
        <v>298541067.85549998</v>
      </c>
      <c r="BN69" s="61">
        <f t="shared" si="1536"/>
        <v>293536499.74549997</v>
      </c>
      <c r="BO69" s="61">
        <f t="shared" si="1536"/>
        <v>288811715.45550001</v>
      </c>
      <c r="BP69" s="61">
        <f t="shared" si="1536"/>
        <v>295121109.24549997</v>
      </c>
      <c r="BQ69" s="61">
        <f t="shared" si="1536"/>
        <v>292484985.6455</v>
      </c>
      <c r="BR69" s="61">
        <f t="shared" si="1536"/>
        <v>299379156.43549997</v>
      </c>
      <c r="BS69" s="61">
        <f t="shared" si="1536"/>
        <v>289375195.20550001</v>
      </c>
      <c r="BT69" s="61">
        <f t="shared" si="1536"/>
        <v>288562340.5855</v>
      </c>
      <c r="BU69" s="61">
        <f t="shared" si="1536"/>
        <v>287832298.99549997</v>
      </c>
      <c r="BV69" s="61">
        <f t="shared" si="1536"/>
        <v>279614084.57550001</v>
      </c>
      <c r="BW69" s="61">
        <f t="shared" si="1536"/>
        <v>279264182.0855</v>
      </c>
      <c r="BX69" s="233">
        <f t="shared" si="1536"/>
        <v>217148078.81550002</v>
      </c>
      <c r="BY69" s="61">
        <f t="shared" ref="BY69:EB69" si="1537">BY68</f>
        <v>207464526.78549999</v>
      </c>
      <c r="BZ69" s="61">
        <f t="shared" si="1537"/>
        <v>205623278.62549999</v>
      </c>
      <c r="CA69" s="61">
        <f t="shared" si="1537"/>
        <v>199523142.45550001</v>
      </c>
      <c r="CB69" s="61">
        <f t="shared" si="1537"/>
        <v>199185834.51550001</v>
      </c>
      <c r="CC69" s="61">
        <f t="shared" si="1537"/>
        <v>198166961.47549999</v>
      </c>
      <c r="CD69" s="61">
        <f t="shared" si="1537"/>
        <v>197368231.34549999</v>
      </c>
      <c r="CE69" s="61">
        <f t="shared" si="1537"/>
        <v>204948531.2455</v>
      </c>
      <c r="CF69" s="61">
        <f t="shared" si="1537"/>
        <v>204748509.59549999</v>
      </c>
      <c r="CG69" s="61">
        <f t="shared" si="1537"/>
        <v>204530863.76550001</v>
      </c>
      <c r="CH69" s="61">
        <f t="shared" si="1537"/>
        <v>200055771.48549998</v>
      </c>
      <c r="CI69" s="61">
        <f t="shared" si="1537"/>
        <v>193877994.30549997</v>
      </c>
      <c r="CJ69" s="61">
        <f t="shared" si="1537"/>
        <v>194205162.91549999</v>
      </c>
      <c r="CK69" s="61">
        <f t="shared" si="1537"/>
        <v>204149652.91549999</v>
      </c>
      <c r="CL69" s="61">
        <f t="shared" si="1537"/>
        <v>206889149.87549999</v>
      </c>
      <c r="CM69" s="61">
        <f t="shared" si="1537"/>
        <v>190879823.0255</v>
      </c>
      <c r="CN69" s="61">
        <f t="shared" si="1537"/>
        <v>190239723.37549999</v>
      </c>
      <c r="CO69" s="61">
        <f t="shared" si="1537"/>
        <v>189069047.4355</v>
      </c>
      <c r="CP69" s="61">
        <f t="shared" si="1537"/>
        <v>194330910.5855</v>
      </c>
      <c r="CQ69" s="61">
        <f t="shared" si="1537"/>
        <v>209943997.8355</v>
      </c>
      <c r="CR69" s="61">
        <f t="shared" si="1537"/>
        <v>209542651.61549997</v>
      </c>
      <c r="CS69" s="61">
        <f t="shared" si="1537"/>
        <v>207848575.66549999</v>
      </c>
      <c r="CT69" s="233">
        <f t="shared" si="1537"/>
        <v>143773577.30549997</v>
      </c>
      <c r="CU69" s="61">
        <f t="shared" si="1537"/>
        <v>131358806.97549999</v>
      </c>
      <c r="CV69" s="61">
        <f t="shared" si="1537"/>
        <v>117826031.11549997</v>
      </c>
      <c r="CW69" s="61">
        <f t="shared" si="1537"/>
        <v>131556871.44549997</v>
      </c>
      <c r="CX69" s="61">
        <f t="shared" si="1537"/>
        <v>133803860.96549997</v>
      </c>
      <c r="CY69" s="61">
        <f t="shared" si="1537"/>
        <v>123788992.57549998</v>
      </c>
      <c r="CZ69" s="61">
        <f t="shared" si="1537"/>
        <v>134360289.42549998</v>
      </c>
      <c r="DA69" s="61">
        <f t="shared" si="1537"/>
        <v>132582053.58549997</v>
      </c>
      <c r="DB69" s="61">
        <f t="shared" si="1537"/>
        <v>139044176.35549998</v>
      </c>
      <c r="DC69" s="61">
        <f t="shared" si="1537"/>
        <v>139222633.99549997</v>
      </c>
      <c r="DD69" s="61">
        <f t="shared" si="1537"/>
        <v>136536238.58549997</v>
      </c>
      <c r="DE69" s="61">
        <f t="shared" si="1537"/>
        <v>119223371.46549997</v>
      </c>
      <c r="DF69" s="61">
        <f t="shared" si="1537"/>
        <v>118941721.22549993</v>
      </c>
      <c r="DG69" s="61">
        <f t="shared" si="1537"/>
        <v>118585041.66549993</v>
      </c>
      <c r="DH69" s="61">
        <f t="shared" si="1537"/>
        <v>127074415.80549994</v>
      </c>
      <c r="DI69" s="61">
        <f t="shared" si="1537"/>
        <v>126585096.83549993</v>
      </c>
      <c r="DJ69" s="61">
        <f t="shared" si="1537"/>
        <v>125069089.34549993</v>
      </c>
      <c r="DK69" s="61">
        <f t="shared" si="1537"/>
        <v>123349198.69549993</v>
      </c>
      <c r="DL69" s="61">
        <f t="shared" si="1537"/>
        <v>122711607.60449994</v>
      </c>
      <c r="DM69" s="61">
        <f t="shared" si="1537"/>
        <v>127870169.31649993</v>
      </c>
      <c r="DN69" s="61">
        <f t="shared" si="1537"/>
        <v>127014097.22149993</v>
      </c>
      <c r="DO69" s="537">
        <f t="shared" si="1537"/>
        <v>69932935.735041231</v>
      </c>
      <c r="DP69" s="61">
        <f t="shared" si="1537"/>
        <v>44993879.378353193</v>
      </c>
      <c r="DQ69" s="61">
        <f t="shared" si="1537"/>
        <v>61630997.066353194</v>
      </c>
      <c r="DR69" s="61">
        <f t="shared" si="1537"/>
        <v>62237686.290353194</v>
      </c>
      <c r="DS69" s="61">
        <f t="shared" si="1537"/>
        <v>59281360.466353193</v>
      </c>
      <c r="DT69" s="61">
        <f t="shared" si="1537"/>
        <v>56516136.637694135</v>
      </c>
      <c r="DU69" s="61">
        <f t="shared" si="1537"/>
        <v>51506513.00851807</v>
      </c>
      <c r="DV69" s="61">
        <f t="shared" si="1537"/>
        <v>54129783.36151807</v>
      </c>
      <c r="DW69" s="61">
        <f t="shared" si="1537"/>
        <v>58813922.923518069</v>
      </c>
      <c r="DX69" s="61">
        <f t="shared" si="1537"/>
        <v>55579547.265518069</v>
      </c>
      <c r="DY69" s="61">
        <f t="shared" si="1537"/>
        <v>55651760.139518067</v>
      </c>
      <c r="DZ69" s="61">
        <f t="shared" si="1537"/>
        <v>52855626.797518067</v>
      </c>
      <c r="EA69" s="61">
        <f t="shared" si="1537"/>
        <v>51286194.543518066</v>
      </c>
      <c r="EB69" s="61">
        <f t="shared" si="1537"/>
        <v>50629670.048518069</v>
      </c>
      <c r="EC69" s="61">
        <f>EC68-$EC$11</f>
        <v>50304309.009518072</v>
      </c>
      <c r="ED69" s="61">
        <f t="shared" ref="ED69:EZ69" si="1538">ED68-$EC$11</f>
        <v>32337220.789160699</v>
      </c>
      <c r="EE69" s="61">
        <f t="shared" si="1538"/>
        <v>30293468.24097088</v>
      </c>
      <c r="EF69" s="61">
        <f t="shared" si="1538"/>
        <v>36560437.906970873</v>
      </c>
      <c r="EG69" s="61">
        <f t="shared" si="1538"/>
        <v>38676851.16997087</v>
      </c>
      <c r="EH69" s="61">
        <f t="shared" si="1538"/>
        <v>36147619.826970875</v>
      </c>
      <c r="EI69" s="61">
        <f t="shared" si="1538"/>
        <v>36294911.826970875</v>
      </c>
      <c r="EJ69" s="233">
        <f t="shared" si="1538"/>
        <v>-14080847.677325904</v>
      </c>
      <c r="EK69" s="61">
        <f t="shared" si="1538"/>
        <v>-22493078.709217273</v>
      </c>
      <c r="EL69" s="61">
        <f t="shared" si="1538"/>
        <v>-23020258.723217271</v>
      </c>
      <c r="EM69" s="61">
        <f t="shared" si="1538"/>
        <v>-28464968.813217275</v>
      </c>
      <c r="EN69" s="61">
        <f t="shared" si="1538"/>
        <v>-30125046.39977973</v>
      </c>
      <c r="EO69" s="61">
        <f t="shared" si="1538"/>
        <v>-30381528.841681063</v>
      </c>
      <c r="EP69" s="61">
        <f t="shared" si="1538"/>
        <v>-31250935.601681061</v>
      </c>
      <c r="EQ69" s="233">
        <f t="shared" si="1538"/>
        <v>-33071504.450681061</v>
      </c>
      <c r="ER69" s="61">
        <f t="shared" si="1538"/>
        <v>4974224.6703189462</v>
      </c>
      <c r="ES69" s="61">
        <f t="shared" si="1538"/>
        <v>4989383.7673189342</v>
      </c>
      <c r="ET69" s="61">
        <f t="shared" si="1538"/>
        <v>4835930.5163189471</v>
      </c>
      <c r="EU69" s="61">
        <f t="shared" si="1538"/>
        <v>1069644.0353189409</v>
      </c>
      <c r="EV69" s="61">
        <f t="shared" si="1538"/>
        <v>3909211.1813189387</v>
      </c>
      <c r="EW69" s="61">
        <f t="shared" si="1538"/>
        <v>2046199.3753189445</v>
      </c>
      <c r="EX69" s="61">
        <f t="shared" si="1538"/>
        <v>-1024668.3012060672</v>
      </c>
      <c r="EY69" s="61">
        <f t="shared" si="1538"/>
        <v>-14146972.506952345</v>
      </c>
      <c r="EZ69" s="61">
        <f t="shared" si="1538"/>
        <v>-17473934.01295235</v>
      </c>
      <c r="FA69" s="61">
        <f t="shared" ref="FA69:GG69" si="1539">FA68-$EC$11-$FA$11</f>
        <v>-12368162.863952354</v>
      </c>
      <c r="FB69" s="61">
        <f t="shared" si="1539"/>
        <v>-14259973.077952355</v>
      </c>
      <c r="FC69" s="61">
        <f t="shared" si="1539"/>
        <v>739422.20704764128</v>
      </c>
      <c r="FD69" s="61">
        <f t="shared" si="1539"/>
        <v>-2145593.6229523569</v>
      </c>
      <c r="FE69" s="61">
        <f t="shared" si="1539"/>
        <v>1387482.4200476408</v>
      </c>
      <c r="FF69" s="233">
        <f t="shared" si="1539"/>
        <v>-57439379.028279953</v>
      </c>
      <c r="FG69" s="61">
        <f t="shared" si="1539"/>
        <v>-69215533.964126617</v>
      </c>
      <c r="FH69" s="61">
        <f t="shared" si="1539"/>
        <v>-69427717.117604852</v>
      </c>
      <c r="FI69" s="61">
        <f t="shared" si="1539"/>
        <v>-66342318.327604853</v>
      </c>
      <c r="FJ69" s="61">
        <f t="shared" si="1539"/>
        <v>-67178155.59460485</v>
      </c>
      <c r="FK69" s="61">
        <f t="shared" si="1539"/>
        <v>-74213324.863604844</v>
      </c>
      <c r="FL69" s="233">
        <f t="shared" si="1539"/>
        <v>-74275053.50660485</v>
      </c>
      <c r="FM69" s="61">
        <f t="shared" si="1539"/>
        <v>73928905.262395144</v>
      </c>
      <c r="FN69" s="61">
        <f t="shared" si="1539"/>
        <v>207313344.04539514</v>
      </c>
      <c r="FO69" s="61">
        <f t="shared" si="1539"/>
        <v>206683159.54739517</v>
      </c>
      <c r="FP69" s="61">
        <f t="shared" si="1539"/>
        <v>199929675.99339521</v>
      </c>
      <c r="FQ69" s="61">
        <f t="shared" si="1539"/>
        <v>201709449.33040297</v>
      </c>
      <c r="FR69" s="61">
        <f t="shared" si="1539"/>
        <v>199665645.72217786</v>
      </c>
      <c r="FS69" s="61">
        <f t="shared" si="1539"/>
        <v>202429614.3891778</v>
      </c>
      <c r="FT69" s="61">
        <f t="shared" si="1539"/>
        <v>203222215.96617782</v>
      </c>
      <c r="FU69" s="61">
        <f t="shared" si="1539"/>
        <v>184657970.06615829</v>
      </c>
      <c r="FV69" s="61">
        <f t="shared" si="1539"/>
        <v>186405293.86915833</v>
      </c>
      <c r="FW69" s="61">
        <f t="shared" si="1539"/>
        <v>183178134.53615832</v>
      </c>
      <c r="FX69" s="61">
        <f t="shared" si="1539"/>
        <v>183924671.35815835</v>
      </c>
      <c r="FY69" s="61">
        <f t="shared" si="1539"/>
        <v>182446248.2091583</v>
      </c>
      <c r="FZ69" s="233">
        <f t="shared" si="1539"/>
        <v>124817974.02269182</v>
      </c>
      <c r="GA69" s="61">
        <f t="shared" si="1539"/>
        <v>114594951.18437836</v>
      </c>
      <c r="GB69" s="233">
        <f t="shared" si="1539"/>
        <v>114377889.69137836</v>
      </c>
      <c r="GC69" s="61">
        <f t="shared" si="1539"/>
        <v>123287764.12637836</v>
      </c>
      <c r="GD69" s="61">
        <f t="shared" si="1539"/>
        <v>123739649.24337834</v>
      </c>
      <c r="GE69" s="61">
        <f t="shared" si="1539"/>
        <v>118588158.13337833</v>
      </c>
      <c r="GF69" s="61">
        <f t="shared" si="1539"/>
        <v>119267640.04837832</v>
      </c>
      <c r="GG69" s="61">
        <f t="shared" si="1539"/>
        <v>233789128.96337831</v>
      </c>
      <c r="GH69" s="61">
        <f t="shared" ref="GH69:HM69" si="1540">GH68-$EC$11-$FA$11</f>
        <v>243110466.9273783</v>
      </c>
      <c r="GI69" s="61">
        <f t="shared" si="1540"/>
        <v>242181736.29237831</v>
      </c>
      <c r="GJ69" s="61">
        <f t="shared" si="1540"/>
        <v>243839073.1478734</v>
      </c>
      <c r="GK69" s="61">
        <f t="shared" si="1540"/>
        <v>242942333.32798815</v>
      </c>
      <c r="GL69" s="61">
        <f t="shared" si="1540"/>
        <v>242343499.5539881</v>
      </c>
      <c r="GM69" s="61">
        <f t="shared" si="1540"/>
        <v>242604491.63098812</v>
      </c>
      <c r="GN69" s="61">
        <f t="shared" si="1540"/>
        <v>240868143.03498811</v>
      </c>
      <c r="GO69" s="61">
        <f t="shared" si="1540"/>
        <v>225103789.55596548</v>
      </c>
      <c r="GP69" s="61">
        <f t="shared" si="1540"/>
        <v>225887319.2629655</v>
      </c>
      <c r="GQ69" s="61">
        <f t="shared" si="1540"/>
        <v>228611844.65596545</v>
      </c>
      <c r="GR69" s="61">
        <f t="shared" si="1540"/>
        <v>225420014.87996542</v>
      </c>
      <c r="GS69" s="61">
        <f t="shared" si="1540"/>
        <v>217948260.7533592</v>
      </c>
      <c r="GT69" s="61">
        <f t="shared" si="1540"/>
        <v>220072679.54529959</v>
      </c>
      <c r="GU69" s="233">
        <f t="shared" si="1540"/>
        <v>173040057.52111781</v>
      </c>
      <c r="GV69" s="61">
        <f t="shared" si="1540"/>
        <v>163173721.87146196</v>
      </c>
      <c r="GW69" s="61">
        <f t="shared" si="1540"/>
        <v>160064790.47046196</v>
      </c>
      <c r="GX69" s="61">
        <f t="shared" si="1540"/>
        <v>161599087.71646196</v>
      </c>
      <c r="GY69" s="61">
        <f t="shared" si="1540"/>
        <v>163250826.46046197</v>
      </c>
      <c r="GZ69" s="61">
        <f t="shared" si="1540"/>
        <v>153352690.72846195</v>
      </c>
      <c r="HA69" s="233">
        <f t="shared" si="1540"/>
        <v>150732764.25746197</v>
      </c>
      <c r="HB69" s="61">
        <f t="shared" si="1540"/>
        <v>150764381.43246198</v>
      </c>
      <c r="HC69" s="61">
        <f t="shared" si="1540"/>
        <v>156969013.50440514</v>
      </c>
      <c r="HD69" s="61">
        <f t="shared" si="1540"/>
        <v>168347883.91161409</v>
      </c>
      <c r="HE69" s="61">
        <f t="shared" si="1540"/>
        <v>168775777.66061407</v>
      </c>
      <c r="HF69" s="61">
        <f t="shared" si="1540"/>
        <v>166377113.29261407</v>
      </c>
      <c r="HG69" s="61">
        <f t="shared" si="1540"/>
        <v>165204418.40161407</v>
      </c>
      <c r="HH69" s="61">
        <f t="shared" si="1540"/>
        <v>166397412.95261407</v>
      </c>
      <c r="HI69" s="61">
        <f t="shared" si="1540"/>
        <v>151508749.50232357</v>
      </c>
      <c r="HJ69" s="61">
        <f t="shared" si="1540"/>
        <v>153161003.03732359</v>
      </c>
      <c r="HK69" s="61">
        <f t="shared" si="1540"/>
        <v>151260142.3843236</v>
      </c>
      <c r="HL69" s="61">
        <f t="shared" si="1540"/>
        <v>153495530.58032358</v>
      </c>
      <c r="HM69" s="61">
        <f t="shared" si="1540"/>
        <v>154592829.70853683</v>
      </c>
      <c r="HN69" s="61">
        <f t="shared" ref="HN69:IS69" si="1541">HN68-$EC$11-$FA$11</f>
        <v>156963009.22970203</v>
      </c>
      <c r="HO69" s="61">
        <f t="shared" si="1541"/>
        <v>158625221.34670201</v>
      </c>
      <c r="HP69" s="233">
        <f t="shared" si="1541"/>
        <v>117541392.77669826</v>
      </c>
      <c r="HQ69" s="61">
        <f t="shared" si="1541"/>
        <v>113548587.18304548</v>
      </c>
      <c r="HR69" s="61">
        <f t="shared" si="1541"/>
        <v>117000090.92604548</v>
      </c>
      <c r="HS69" s="233">
        <f t="shared" si="1541"/>
        <v>106728549.65504545</v>
      </c>
      <c r="HT69" s="61">
        <f t="shared" si="1541"/>
        <v>115144690.83404547</v>
      </c>
      <c r="HU69" s="61">
        <f t="shared" si="1541"/>
        <v>117782719.87304547</v>
      </c>
      <c r="HV69" s="61">
        <f t="shared" si="1541"/>
        <v>122050019.81414136</v>
      </c>
      <c r="HW69" s="61">
        <f t="shared" si="1541"/>
        <v>126568036.38544005</v>
      </c>
      <c r="HX69" s="61">
        <f t="shared" si="1541"/>
        <v>128772829.37844005</v>
      </c>
      <c r="HY69" s="61">
        <f t="shared" si="1541"/>
        <v>128618191.18144006</v>
      </c>
      <c r="HZ69" s="61">
        <f t="shared" si="1541"/>
        <v>130343939.40644005</v>
      </c>
      <c r="IA69" s="61">
        <f t="shared" si="1541"/>
        <v>178232051.38844001</v>
      </c>
      <c r="IB69" s="61">
        <f t="shared" si="1541"/>
        <v>189360144.60944009</v>
      </c>
      <c r="IC69" s="61">
        <f t="shared" si="1541"/>
        <v>237091743.59444004</v>
      </c>
      <c r="ID69" s="61">
        <f t="shared" si="1541"/>
        <v>251959972.84244001</v>
      </c>
      <c r="IE69" s="61">
        <f t="shared" si="1541"/>
        <v>261678520.18643999</v>
      </c>
      <c r="IF69" s="61">
        <f t="shared" si="1541"/>
        <v>257033046.86744952</v>
      </c>
      <c r="IG69" s="61">
        <f t="shared" si="1541"/>
        <v>266664450.59486997</v>
      </c>
      <c r="IH69" s="61">
        <f t="shared" si="1541"/>
        <v>269116882.48986995</v>
      </c>
      <c r="II69" s="61">
        <f t="shared" si="1541"/>
        <v>280076864.44086993</v>
      </c>
      <c r="IJ69" s="61">
        <f t="shared" si="1541"/>
        <v>288276124.52486992</v>
      </c>
      <c r="IK69" s="61">
        <f t="shared" si="1541"/>
        <v>295072978.71486998</v>
      </c>
      <c r="IL69" s="233">
        <f t="shared" si="1541"/>
        <v>248516683.14452362</v>
      </c>
      <c r="IM69" s="61">
        <f t="shared" si="1541"/>
        <v>245573540.97588623</v>
      </c>
      <c r="IN69" s="61">
        <f t="shared" si="1541"/>
        <v>256571633.57288623</v>
      </c>
      <c r="IO69" s="61">
        <f t="shared" si="1541"/>
        <v>263367434.74462795</v>
      </c>
      <c r="IP69" s="61">
        <f t="shared" si="1541"/>
        <v>273540558.57886958</v>
      </c>
      <c r="IQ69" s="61">
        <f t="shared" si="1541"/>
        <v>284575590.0308696</v>
      </c>
      <c r="IR69" s="61">
        <f t="shared" si="1541"/>
        <v>304734153.51486969</v>
      </c>
      <c r="IS69" s="61">
        <f t="shared" si="1541"/>
        <v>318556338.54986966</v>
      </c>
      <c r="IT69" s="61">
        <f t="shared" ref="IT69:JH69" si="1542">IT68-$EC$11-$FA$11</f>
        <v>334571758.82986963</v>
      </c>
      <c r="IU69" s="61">
        <f t="shared" si="1542"/>
        <v>359673505.33786964</v>
      </c>
      <c r="IV69" s="61">
        <f t="shared" si="1542"/>
        <v>389963732.39386964</v>
      </c>
      <c r="IW69" s="61">
        <f t="shared" si="1542"/>
        <v>-100000000</v>
      </c>
      <c r="IX69" s="61">
        <f t="shared" si="1542"/>
        <v>434704768.7851696</v>
      </c>
      <c r="IY69" s="61">
        <f t="shared" si="1542"/>
        <v>434952302.9769696</v>
      </c>
      <c r="IZ69" s="61">
        <f t="shared" si="1542"/>
        <v>488880382.7177695</v>
      </c>
      <c r="JA69" s="61">
        <f t="shared" si="1542"/>
        <v>479209922.48330474</v>
      </c>
      <c r="JB69" s="61">
        <f t="shared" si="1542"/>
        <v>478736763.74415565</v>
      </c>
      <c r="JC69" s="61">
        <f t="shared" si="1542"/>
        <v>491783195.9930557</v>
      </c>
      <c r="JD69" s="61">
        <f t="shared" si="1542"/>
        <v>492095420.37695563</v>
      </c>
      <c r="JE69" s="61">
        <f t="shared" si="1542"/>
        <v>409322036.89995563</v>
      </c>
      <c r="JF69" s="61">
        <f t="shared" si="1542"/>
        <v>417750297.72615564</v>
      </c>
      <c r="JG69" s="61">
        <f t="shared" si="1542"/>
        <v>417690791.08695567</v>
      </c>
      <c r="JH69" s="61">
        <f t="shared" si="1542"/>
        <v>368985201.64237189</v>
      </c>
      <c r="JI69" s="504"/>
      <c r="JJ69" s="61" t="e">
        <f t="shared" ref="JJ69:JZ69" si="1543">JJ68-$EC$11-JJ11</f>
        <v>#REF!</v>
      </c>
      <c r="JK69" s="61">
        <f t="shared" si="1543"/>
        <v>-173795507.59999999</v>
      </c>
      <c r="JL69" s="61">
        <f t="shared" si="1543"/>
        <v>-65000000</v>
      </c>
      <c r="JM69" s="61">
        <f t="shared" si="1543"/>
        <v>-65000000</v>
      </c>
      <c r="JN69" s="61">
        <f t="shared" si="1543"/>
        <v>-65000000</v>
      </c>
      <c r="JO69" s="61">
        <f t="shared" si="1543"/>
        <v>-65000000</v>
      </c>
      <c r="JP69" s="61">
        <f t="shared" si="1543"/>
        <v>-65000000</v>
      </c>
      <c r="JQ69" s="61">
        <f t="shared" si="1543"/>
        <v>-65000000</v>
      </c>
      <c r="JR69" s="61">
        <f t="shared" si="1543"/>
        <v>-65000000</v>
      </c>
      <c r="JS69" s="61">
        <f t="shared" si="1543"/>
        <v>-65000000</v>
      </c>
      <c r="JT69" s="61">
        <f t="shared" si="1543"/>
        <v>-65000000</v>
      </c>
      <c r="JU69" s="61">
        <f t="shared" si="1543"/>
        <v>-65000000</v>
      </c>
      <c r="JV69" s="61">
        <f t="shared" si="1543"/>
        <v>-65000000</v>
      </c>
      <c r="JW69" s="61">
        <f t="shared" si="1543"/>
        <v>-65000000</v>
      </c>
      <c r="JX69" s="61">
        <f t="shared" si="1543"/>
        <v>-65000000</v>
      </c>
      <c r="JY69" s="61">
        <f t="shared" si="1543"/>
        <v>-65000000</v>
      </c>
      <c r="JZ69" s="61">
        <f t="shared" si="1543"/>
        <v>-65000000</v>
      </c>
      <c r="KA69" s="61">
        <f t="shared" ref="KA69:ML69" si="1544">KA68-$EC$11-KA11</f>
        <v>-65000000</v>
      </c>
      <c r="KB69" s="61">
        <f t="shared" si="1544"/>
        <v>-65000000</v>
      </c>
      <c r="KC69" s="61">
        <f t="shared" si="1544"/>
        <v>-65000000</v>
      </c>
      <c r="KD69" s="61">
        <f t="shared" si="1544"/>
        <v>-65000000</v>
      </c>
      <c r="KE69" s="61">
        <f t="shared" si="1544"/>
        <v>-65000000</v>
      </c>
      <c r="KF69" s="61">
        <f t="shared" si="1544"/>
        <v>-65000000</v>
      </c>
      <c r="KG69" s="61">
        <f t="shared" si="1544"/>
        <v>-65000000</v>
      </c>
      <c r="KH69" s="61">
        <f t="shared" si="1544"/>
        <v>-65000000</v>
      </c>
      <c r="KI69" s="61">
        <f t="shared" si="1544"/>
        <v>-65000000</v>
      </c>
      <c r="KJ69" s="61">
        <f t="shared" si="1544"/>
        <v>-65000000</v>
      </c>
      <c r="KK69" s="61">
        <f t="shared" si="1544"/>
        <v>-65000000</v>
      </c>
      <c r="KL69" s="61">
        <f t="shared" si="1544"/>
        <v>-65000000</v>
      </c>
      <c r="KM69" s="61">
        <f t="shared" si="1544"/>
        <v>-65000000</v>
      </c>
      <c r="KN69" s="61">
        <f t="shared" si="1544"/>
        <v>-65000000</v>
      </c>
      <c r="KO69" s="61">
        <f t="shared" si="1544"/>
        <v>-65000000</v>
      </c>
      <c r="KP69" s="61">
        <f t="shared" si="1544"/>
        <v>-65000000</v>
      </c>
      <c r="KQ69" s="61">
        <f t="shared" si="1544"/>
        <v>-65000000</v>
      </c>
      <c r="KR69" s="61">
        <f t="shared" si="1544"/>
        <v>-65000000</v>
      </c>
      <c r="KS69" s="61">
        <f t="shared" si="1544"/>
        <v>-65000000</v>
      </c>
      <c r="KT69" s="61">
        <f t="shared" si="1544"/>
        <v>-65000000</v>
      </c>
      <c r="KU69" s="61">
        <f t="shared" si="1544"/>
        <v>-65000000</v>
      </c>
      <c r="KV69" s="61">
        <f t="shared" si="1544"/>
        <v>-65000000</v>
      </c>
      <c r="KW69" s="61">
        <f t="shared" si="1544"/>
        <v>-65000000</v>
      </c>
      <c r="KX69" s="61">
        <f t="shared" si="1544"/>
        <v>-65000000</v>
      </c>
      <c r="KY69" s="61">
        <f t="shared" si="1544"/>
        <v>-65000000</v>
      </c>
      <c r="KZ69" s="61">
        <f t="shared" si="1544"/>
        <v>-65000000</v>
      </c>
      <c r="LA69" s="61">
        <f t="shared" si="1544"/>
        <v>-65000000</v>
      </c>
      <c r="LB69" s="61">
        <f t="shared" si="1544"/>
        <v>-65000000</v>
      </c>
      <c r="LC69" s="61">
        <f t="shared" si="1544"/>
        <v>-65000000</v>
      </c>
      <c r="LD69" s="61">
        <f t="shared" si="1544"/>
        <v>-65000000</v>
      </c>
      <c r="LE69" s="61">
        <f t="shared" si="1544"/>
        <v>-65000000</v>
      </c>
      <c r="LF69" s="61">
        <f t="shared" si="1544"/>
        <v>-65000000</v>
      </c>
      <c r="LG69" s="61">
        <f t="shared" si="1544"/>
        <v>-65000000</v>
      </c>
      <c r="LH69" s="61">
        <f t="shared" si="1544"/>
        <v>-65000000</v>
      </c>
      <c r="LI69" s="61">
        <f t="shared" si="1544"/>
        <v>-65000000</v>
      </c>
      <c r="LJ69" s="61">
        <f t="shared" si="1544"/>
        <v>-65000000</v>
      </c>
      <c r="LK69" s="61">
        <f t="shared" si="1544"/>
        <v>-65000000</v>
      </c>
      <c r="LL69" s="61">
        <f t="shared" si="1544"/>
        <v>-65000000</v>
      </c>
      <c r="LM69" s="61">
        <f t="shared" si="1544"/>
        <v>-65000000</v>
      </c>
      <c r="LN69" s="61">
        <f t="shared" si="1544"/>
        <v>-65000000</v>
      </c>
      <c r="LO69" s="61">
        <f t="shared" si="1544"/>
        <v>-65000000</v>
      </c>
      <c r="LP69" s="61">
        <f t="shared" si="1544"/>
        <v>-65000000</v>
      </c>
      <c r="LQ69" s="61">
        <f t="shared" si="1544"/>
        <v>-65000000</v>
      </c>
      <c r="LR69" s="61">
        <f t="shared" si="1544"/>
        <v>-65000000</v>
      </c>
      <c r="LS69" s="61">
        <f t="shared" si="1544"/>
        <v>-65000000</v>
      </c>
      <c r="LT69" s="61">
        <f t="shared" si="1544"/>
        <v>-65000000</v>
      </c>
      <c r="LU69" s="61">
        <f t="shared" si="1544"/>
        <v>-65000000</v>
      </c>
      <c r="LV69" s="61">
        <f t="shared" si="1544"/>
        <v>-65000000</v>
      </c>
      <c r="LW69" s="61">
        <f t="shared" si="1544"/>
        <v>-65000000</v>
      </c>
      <c r="LX69" s="61">
        <f t="shared" si="1544"/>
        <v>-65000000</v>
      </c>
      <c r="LY69" s="61">
        <f t="shared" si="1544"/>
        <v>-65000000</v>
      </c>
      <c r="LZ69" s="61">
        <f t="shared" si="1544"/>
        <v>-65000000</v>
      </c>
      <c r="MA69" s="61">
        <f t="shared" si="1544"/>
        <v>-65000000</v>
      </c>
      <c r="MB69" s="61">
        <f t="shared" si="1544"/>
        <v>-65000000</v>
      </c>
      <c r="MC69" s="61">
        <f t="shared" si="1544"/>
        <v>-65000000</v>
      </c>
      <c r="MD69" s="61">
        <f t="shared" si="1544"/>
        <v>-65000000</v>
      </c>
      <c r="ME69" s="61">
        <f t="shared" si="1544"/>
        <v>-65000000</v>
      </c>
      <c r="MF69" s="61">
        <f t="shared" si="1544"/>
        <v>-65000000</v>
      </c>
      <c r="MG69" s="61">
        <f t="shared" si="1544"/>
        <v>-65000000</v>
      </c>
      <c r="MH69" s="61">
        <f t="shared" si="1544"/>
        <v>-65000000</v>
      </c>
      <c r="MI69" s="61">
        <f t="shared" si="1544"/>
        <v>-65000000</v>
      </c>
      <c r="MJ69" s="61">
        <f t="shared" si="1544"/>
        <v>-65000000</v>
      </c>
      <c r="MK69" s="61">
        <f t="shared" si="1544"/>
        <v>-65000000</v>
      </c>
      <c r="ML69" s="61">
        <f t="shared" si="1544"/>
        <v>-65000000</v>
      </c>
      <c r="MM69" s="61">
        <f t="shared" ref="MM69:OX69" si="1545">MM68-$EC$11-MM11</f>
        <v>-65000000</v>
      </c>
      <c r="MN69" s="61">
        <f t="shared" si="1545"/>
        <v>-65000000</v>
      </c>
      <c r="MO69" s="61">
        <f t="shared" si="1545"/>
        <v>-65000000</v>
      </c>
      <c r="MP69" s="61">
        <f t="shared" si="1545"/>
        <v>-65000000</v>
      </c>
      <c r="MQ69" s="61">
        <f t="shared" si="1545"/>
        <v>-65000000</v>
      </c>
      <c r="MR69" s="61">
        <f t="shared" si="1545"/>
        <v>-65000000</v>
      </c>
      <c r="MS69" s="61">
        <f t="shared" si="1545"/>
        <v>-65000000</v>
      </c>
      <c r="MT69" s="61">
        <f t="shared" si="1545"/>
        <v>-65000000</v>
      </c>
      <c r="MU69" s="61">
        <f t="shared" si="1545"/>
        <v>-65000000</v>
      </c>
      <c r="MV69" s="61">
        <f t="shared" si="1545"/>
        <v>-65000000</v>
      </c>
      <c r="MW69" s="61">
        <f t="shared" si="1545"/>
        <v>-65000000</v>
      </c>
      <c r="MX69" s="61">
        <f t="shared" si="1545"/>
        <v>-65000000</v>
      </c>
      <c r="MY69" s="61">
        <f t="shared" si="1545"/>
        <v>-65000000</v>
      </c>
      <c r="MZ69" s="61">
        <f t="shared" si="1545"/>
        <v>-65000000</v>
      </c>
      <c r="NA69" s="61">
        <f t="shared" si="1545"/>
        <v>-65000000</v>
      </c>
      <c r="NB69" s="61">
        <f t="shared" si="1545"/>
        <v>-65000000</v>
      </c>
      <c r="NC69" s="61">
        <f t="shared" si="1545"/>
        <v>-65000000</v>
      </c>
      <c r="ND69" s="61">
        <f t="shared" si="1545"/>
        <v>-65000000</v>
      </c>
      <c r="NE69" s="61">
        <f t="shared" si="1545"/>
        <v>-65000000</v>
      </c>
      <c r="NF69" s="61">
        <f t="shared" si="1545"/>
        <v>-65000000</v>
      </c>
      <c r="NG69" s="61">
        <f t="shared" si="1545"/>
        <v>-65000000</v>
      </c>
      <c r="NH69" s="61">
        <f t="shared" si="1545"/>
        <v>-65000000</v>
      </c>
      <c r="NI69" s="61">
        <f t="shared" si="1545"/>
        <v>-65000000</v>
      </c>
      <c r="NJ69" s="61">
        <f t="shared" si="1545"/>
        <v>-65000000</v>
      </c>
      <c r="NK69" s="61">
        <f t="shared" si="1545"/>
        <v>-65000000</v>
      </c>
      <c r="NL69" s="61">
        <f t="shared" si="1545"/>
        <v>-65000000</v>
      </c>
      <c r="NM69" s="61">
        <f t="shared" si="1545"/>
        <v>-65000000</v>
      </c>
      <c r="NN69" s="61">
        <f t="shared" si="1545"/>
        <v>-65000000</v>
      </c>
      <c r="NO69" s="61">
        <f t="shared" si="1545"/>
        <v>-65000000</v>
      </c>
      <c r="NP69" s="61">
        <f t="shared" si="1545"/>
        <v>-65000000</v>
      </c>
      <c r="NQ69" s="61">
        <f t="shared" si="1545"/>
        <v>-65000000</v>
      </c>
      <c r="NR69" s="61">
        <f t="shared" si="1545"/>
        <v>-65000000</v>
      </c>
      <c r="NS69" s="61">
        <f t="shared" si="1545"/>
        <v>-65000000</v>
      </c>
      <c r="NT69" s="61">
        <f t="shared" si="1545"/>
        <v>-65000000</v>
      </c>
      <c r="NU69" s="61">
        <f t="shared" si="1545"/>
        <v>-65000000</v>
      </c>
      <c r="NV69" s="61">
        <f t="shared" si="1545"/>
        <v>-65000000</v>
      </c>
      <c r="NW69" s="61">
        <f t="shared" si="1545"/>
        <v>-65000000</v>
      </c>
      <c r="NX69" s="61">
        <f t="shared" si="1545"/>
        <v>-65000000</v>
      </c>
      <c r="NY69" s="61">
        <f t="shared" si="1545"/>
        <v>-65000000</v>
      </c>
      <c r="NZ69" s="61">
        <f t="shared" si="1545"/>
        <v>-65000000</v>
      </c>
      <c r="OA69" s="61">
        <f t="shared" si="1545"/>
        <v>-65000000</v>
      </c>
      <c r="OB69" s="61">
        <f t="shared" si="1545"/>
        <v>-65000000</v>
      </c>
      <c r="OC69" s="61">
        <f t="shared" si="1545"/>
        <v>-65000000</v>
      </c>
      <c r="OD69" s="61">
        <f t="shared" si="1545"/>
        <v>-65000000</v>
      </c>
      <c r="OE69" s="61">
        <f t="shared" si="1545"/>
        <v>-65000000</v>
      </c>
      <c r="OF69" s="61">
        <f t="shared" si="1545"/>
        <v>-65000000</v>
      </c>
      <c r="OG69" s="61">
        <f t="shared" si="1545"/>
        <v>-65000000</v>
      </c>
      <c r="OH69" s="61">
        <f t="shared" si="1545"/>
        <v>-65000000</v>
      </c>
      <c r="OI69" s="61">
        <f t="shared" si="1545"/>
        <v>-65000000</v>
      </c>
      <c r="OJ69" s="61">
        <f t="shared" si="1545"/>
        <v>-65000000</v>
      </c>
      <c r="OK69" s="61">
        <f t="shared" si="1545"/>
        <v>-65000000</v>
      </c>
      <c r="OL69" s="61">
        <f t="shared" si="1545"/>
        <v>-65000000</v>
      </c>
      <c r="OM69" s="61">
        <f t="shared" si="1545"/>
        <v>-65000000</v>
      </c>
      <c r="ON69" s="61">
        <f t="shared" si="1545"/>
        <v>-65000000</v>
      </c>
      <c r="OO69" s="61">
        <f t="shared" si="1545"/>
        <v>-65000000</v>
      </c>
      <c r="OP69" s="61">
        <f t="shared" si="1545"/>
        <v>-65000000</v>
      </c>
      <c r="OQ69" s="61">
        <f t="shared" si="1545"/>
        <v>-65000000</v>
      </c>
      <c r="OR69" s="61">
        <f t="shared" si="1545"/>
        <v>-65000000</v>
      </c>
      <c r="OS69" s="61">
        <f t="shared" si="1545"/>
        <v>-65000000</v>
      </c>
      <c r="OT69" s="61">
        <f t="shared" si="1545"/>
        <v>-65000000</v>
      </c>
      <c r="OU69" s="61">
        <f t="shared" si="1545"/>
        <v>-65000000</v>
      </c>
      <c r="OV69" s="61">
        <f t="shared" si="1545"/>
        <v>-65000000</v>
      </c>
      <c r="OW69" s="61">
        <f t="shared" si="1545"/>
        <v>-65000000</v>
      </c>
      <c r="OX69" s="61">
        <f t="shared" si="1545"/>
        <v>-65000000</v>
      </c>
      <c r="OY69" s="61">
        <f t="shared" ref="OY69:RJ69" si="1546">OY68-$EC$11-OY11</f>
        <v>-65000000</v>
      </c>
      <c r="OZ69" s="61">
        <f t="shared" si="1546"/>
        <v>-65000000</v>
      </c>
      <c r="PA69" s="61">
        <f t="shared" si="1546"/>
        <v>-65000000</v>
      </c>
      <c r="PB69" s="61">
        <f t="shared" si="1546"/>
        <v>-65000000</v>
      </c>
      <c r="PC69" s="61">
        <f t="shared" si="1546"/>
        <v>-65000000</v>
      </c>
      <c r="PD69" s="61">
        <f t="shared" si="1546"/>
        <v>-65000000</v>
      </c>
      <c r="PE69" s="61">
        <f t="shared" si="1546"/>
        <v>-65000000</v>
      </c>
      <c r="PF69" s="61">
        <f t="shared" si="1546"/>
        <v>-65000000</v>
      </c>
      <c r="PG69" s="61">
        <f t="shared" si="1546"/>
        <v>-65000000</v>
      </c>
      <c r="PH69" s="61">
        <f t="shared" si="1546"/>
        <v>-65000000</v>
      </c>
      <c r="PI69" s="61">
        <f t="shared" si="1546"/>
        <v>-65000000</v>
      </c>
      <c r="PJ69" s="61">
        <f t="shared" si="1546"/>
        <v>-65000000</v>
      </c>
      <c r="PK69" s="61">
        <f t="shared" si="1546"/>
        <v>-65000000</v>
      </c>
      <c r="PL69" s="61">
        <f t="shared" si="1546"/>
        <v>-65000000</v>
      </c>
      <c r="PM69" s="61">
        <f t="shared" si="1546"/>
        <v>-65000000</v>
      </c>
      <c r="PN69" s="61">
        <f t="shared" si="1546"/>
        <v>-65000000</v>
      </c>
      <c r="PO69" s="61">
        <f t="shared" si="1546"/>
        <v>-65000000</v>
      </c>
      <c r="PP69" s="61">
        <f t="shared" si="1546"/>
        <v>-65000000</v>
      </c>
      <c r="PQ69" s="61">
        <f t="shared" si="1546"/>
        <v>-65000000</v>
      </c>
      <c r="PR69" s="61">
        <f t="shared" si="1546"/>
        <v>-65000000</v>
      </c>
      <c r="PS69" s="61">
        <f t="shared" si="1546"/>
        <v>-65000000</v>
      </c>
      <c r="PT69" s="61">
        <f t="shared" si="1546"/>
        <v>-65000000</v>
      </c>
      <c r="PU69" s="61">
        <f t="shared" si="1546"/>
        <v>-65000000</v>
      </c>
      <c r="PV69" s="61">
        <f t="shared" si="1546"/>
        <v>-65000000</v>
      </c>
      <c r="PW69" s="61">
        <f t="shared" si="1546"/>
        <v>-65000000</v>
      </c>
      <c r="PX69" s="61">
        <f t="shared" si="1546"/>
        <v>-65000000</v>
      </c>
      <c r="PY69" s="61">
        <f t="shared" si="1546"/>
        <v>-65000000</v>
      </c>
      <c r="PZ69" s="61">
        <f t="shared" si="1546"/>
        <v>-65000000</v>
      </c>
      <c r="QA69" s="61">
        <f t="shared" si="1546"/>
        <v>-65000000</v>
      </c>
      <c r="QB69" s="61">
        <f t="shared" si="1546"/>
        <v>-65000000</v>
      </c>
      <c r="QC69" s="61">
        <f t="shared" si="1546"/>
        <v>-65000000</v>
      </c>
      <c r="QD69" s="61">
        <f t="shared" si="1546"/>
        <v>-65000000</v>
      </c>
      <c r="QE69" s="61">
        <f t="shared" si="1546"/>
        <v>-65000000</v>
      </c>
      <c r="QF69" s="61">
        <f t="shared" si="1546"/>
        <v>-65000000</v>
      </c>
      <c r="QG69" s="61">
        <f t="shared" si="1546"/>
        <v>-65000000</v>
      </c>
      <c r="QH69" s="61">
        <f t="shared" si="1546"/>
        <v>-65000000</v>
      </c>
      <c r="QI69" s="61">
        <f t="shared" si="1546"/>
        <v>-65000000</v>
      </c>
      <c r="QJ69" s="61">
        <f t="shared" si="1546"/>
        <v>-65000000</v>
      </c>
      <c r="QK69" s="61">
        <f t="shared" si="1546"/>
        <v>-65000000</v>
      </c>
      <c r="QL69" s="61">
        <f t="shared" si="1546"/>
        <v>-65000000</v>
      </c>
      <c r="QM69" s="61">
        <f t="shared" si="1546"/>
        <v>-65000000</v>
      </c>
      <c r="QN69" s="61">
        <f t="shared" si="1546"/>
        <v>-65000000</v>
      </c>
      <c r="QO69" s="61">
        <f t="shared" si="1546"/>
        <v>-65000000</v>
      </c>
      <c r="QP69" s="61">
        <f t="shared" si="1546"/>
        <v>-65000000</v>
      </c>
      <c r="QQ69" s="61">
        <f t="shared" si="1546"/>
        <v>-65000000</v>
      </c>
      <c r="QR69" s="61">
        <f t="shared" si="1546"/>
        <v>-65000000</v>
      </c>
      <c r="QS69" s="61">
        <f t="shared" si="1546"/>
        <v>-65000000</v>
      </c>
      <c r="QT69" s="61">
        <f t="shared" si="1546"/>
        <v>-65000000</v>
      </c>
      <c r="QU69" s="61">
        <f t="shared" si="1546"/>
        <v>-65000000</v>
      </c>
      <c r="QV69" s="61">
        <f t="shared" si="1546"/>
        <v>-65000000</v>
      </c>
      <c r="QW69" s="61">
        <f t="shared" si="1546"/>
        <v>-65000000</v>
      </c>
      <c r="QX69" s="61">
        <f t="shared" si="1546"/>
        <v>-65000000</v>
      </c>
      <c r="QY69" s="61">
        <f t="shared" si="1546"/>
        <v>-65000000</v>
      </c>
      <c r="QZ69" s="61">
        <f t="shared" si="1546"/>
        <v>-65000000</v>
      </c>
      <c r="RA69" s="61">
        <f t="shared" si="1546"/>
        <v>-65000000</v>
      </c>
      <c r="RB69" s="61">
        <f t="shared" si="1546"/>
        <v>-65000000</v>
      </c>
      <c r="RC69" s="61">
        <f t="shared" si="1546"/>
        <v>-65000000</v>
      </c>
      <c r="RD69" s="61">
        <f t="shared" si="1546"/>
        <v>-65000000</v>
      </c>
      <c r="RE69" s="61">
        <f t="shared" si="1546"/>
        <v>-65000000</v>
      </c>
      <c r="RF69" s="61">
        <f t="shared" si="1546"/>
        <v>-65000000</v>
      </c>
      <c r="RG69" s="61">
        <f t="shared" si="1546"/>
        <v>-65000000</v>
      </c>
      <c r="RH69" s="61">
        <f t="shared" si="1546"/>
        <v>-65000000</v>
      </c>
      <c r="RI69" s="61">
        <f t="shared" si="1546"/>
        <v>-65000000</v>
      </c>
      <c r="RJ69" s="61">
        <f t="shared" si="1546"/>
        <v>-65000000</v>
      </c>
      <c r="RK69" s="61">
        <f t="shared" ref="RK69:TV69" si="1547">RK68-$EC$11-RK11</f>
        <v>-65000000</v>
      </c>
      <c r="RL69" s="61">
        <f t="shared" si="1547"/>
        <v>-65000000</v>
      </c>
      <c r="RM69" s="61">
        <f t="shared" si="1547"/>
        <v>-65000000</v>
      </c>
      <c r="RN69" s="61">
        <f t="shared" si="1547"/>
        <v>-65000000</v>
      </c>
      <c r="RO69" s="61">
        <f t="shared" si="1547"/>
        <v>-65000000</v>
      </c>
      <c r="RP69" s="61">
        <f t="shared" si="1547"/>
        <v>-65000000</v>
      </c>
      <c r="RQ69" s="61">
        <f t="shared" si="1547"/>
        <v>-65000000</v>
      </c>
      <c r="RR69" s="61">
        <f t="shared" si="1547"/>
        <v>-65000000</v>
      </c>
      <c r="RS69" s="61">
        <f t="shared" si="1547"/>
        <v>-65000000</v>
      </c>
      <c r="RT69" s="61">
        <f t="shared" si="1547"/>
        <v>-65000000</v>
      </c>
      <c r="RU69" s="61">
        <f t="shared" si="1547"/>
        <v>-65000000</v>
      </c>
      <c r="RV69" s="61">
        <f t="shared" si="1547"/>
        <v>-65000000</v>
      </c>
      <c r="RW69" s="61">
        <f t="shared" si="1547"/>
        <v>-65000000</v>
      </c>
      <c r="RX69" s="61">
        <f t="shared" si="1547"/>
        <v>-65000000</v>
      </c>
      <c r="RY69" s="61">
        <f t="shared" si="1547"/>
        <v>-65000000</v>
      </c>
      <c r="RZ69" s="61">
        <f t="shared" si="1547"/>
        <v>-65000000</v>
      </c>
      <c r="SA69" s="61">
        <f t="shared" si="1547"/>
        <v>-65000000</v>
      </c>
      <c r="SB69" s="61">
        <f t="shared" si="1547"/>
        <v>-65000000</v>
      </c>
      <c r="SC69" s="61">
        <f t="shared" si="1547"/>
        <v>-65000000</v>
      </c>
      <c r="SD69" s="61">
        <f t="shared" si="1547"/>
        <v>-65000000</v>
      </c>
      <c r="SE69" s="61">
        <f t="shared" si="1547"/>
        <v>-65000000</v>
      </c>
      <c r="SF69" s="61">
        <f t="shared" si="1547"/>
        <v>-65000000</v>
      </c>
      <c r="SG69" s="61">
        <f t="shared" si="1547"/>
        <v>-65000000</v>
      </c>
      <c r="SH69" s="61">
        <f t="shared" si="1547"/>
        <v>-65000000</v>
      </c>
      <c r="SI69" s="61">
        <f t="shared" si="1547"/>
        <v>-65000000</v>
      </c>
      <c r="SJ69" s="61">
        <f t="shared" si="1547"/>
        <v>-65000000</v>
      </c>
      <c r="SK69" s="61">
        <f t="shared" si="1547"/>
        <v>-65000000</v>
      </c>
      <c r="SL69" s="61">
        <f t="shared" si="1547"/>
        <v>-65000000</v>
      </c>
      <c r="SM69" s="61">
        <f t="shared" si="1547"/>
        <v>-65000000</v>
      </c>
      <c r="SN69" s="61">
        <f t="shared" si="1547"/>
        <v>-65000000</v>
      </c>
      <c r="SO69" s="61">
        <f t="shared" si="1547"/>
        <v>-65000000</v>
      </c>
      <c r="SP69" s="61">
        <f t="shared" si="1547"/>
        <v>-65000000</v>
      </c>
      <c r="SQ69" s="61">
        <f t="shared" si="1547"/>
        <v>-65000000</v>
      </c>
      <c r="SR69" s="61">
        <f t="shared" si="1547"/>
        <v>-65000000</v>
      </c>
      <c r="SS69" s="61">
        <f t="shared" si="1547"/>
        <v>-65000000</v>
      </c>
      <c r="ST69" s="61">
        <f t="shared" si="1547"/>
        <v>-65000000</v>
      </c>
      <c r="SU69" s="61">
        <f t="shared" si="1547"/>
        <v>-65000000</v>
      </c>
      <c r="SV69" s="61">
        <f t="shared" si="1547"/>
        <v>-65000000</v>
      </c>
      <c r="SW69" s="61">
        <f t="shared" si="1547"/>
        <v>-65000000</v>
      </c>
      <c r="SX69" s="61">
        <f t="shared" si="1547"/>
        <v>-65000000</v>
      </c>
      <c r="SY69" s="61">
        <f t="shared" si="1547"/>
        <v>-65000000</v>
      </c>
      <c r="SZ69" s="61">
        <f t="shared" si="1547"/>
        <v>-65000000</v>
      </c>
      <c r="TA69" s="61">
        <f t="shared" si="1547"/>
        <v>-65000000</v>
      </c>
      <c r="TB69" s="61">
        <f t="shared" si="1547"/>
        <v>-65000000</v>
      </c>
      <c r="TC69" s="61">
        <f t="shared" si="1547"/>
        <v>-65000000</v>
      </c>
      <c r="TD69" s="61">
        <f t="shared" si="1547"/>
        <v>-65000000</v>
      </c>
      <c r="TE69" s="61">
        <f t="shared" si="1547"/>
        <v>-65000000</v>
      </c>
      <c r="TF69" s="61">
        <f t="shared" si="1547"/>
        <v>-65000000</v>
      </c>
      <c r="TG69" s="61">
        <f t="shared" si="1547"/>
        <v>-65000000</v>
      </c>
      <c r="TH69" s="61">
        <f t="shared" si="1547"/>
        <v>-65000000</v>
      </c>
      <c r="TI69" s="61">
        <f t="shared" si="1547"/>
        <v>-65000000</v>
      </c>
      <c r="TJ69" s="61">
        <f t="shared" si="1547"/>
        <v>-65000000</v>
      </c>
      <c r="TK69" s="61">
        <f t="shared" si="1547"/>
        <v>-65000000</v>
      </c>
      <c r="TL69" s="61">
        <f t="shared" si="1547"/>
        <v>-65000000</v>
      </c>
      <c r="TM69" s="61">
        <f t="shared" si="1547"/>
        <v>-65000000</v>
      </c>
      <c r="TN69" s="61">
        <f t="shared" si="1547"/>
        <v>-65000000</v>
      </c>
      <c r="TO69" s="61">
        <f t="shared" si="1547"/>
        <v>-65000000</v>
      </c>
      <c r="TP69" s="61">
        <f t="shared" si="1547"/>
        <v>-65000000</v>
      </c>
      <c r="TQ69" s="61">
        <f t="shared" si="1547"/>
        <v>-65000000</v>
      </c>
      <c r="TR69" s="61">
        <f t="shared" si="1547"/>
        <v>-65000000</v>
      </c>
      <c r="TS69" s="61">
        <f t="shared" si="1547"/>
        <v>-65000000</v>
      </c>
      <c r="TT69" s="61">
        <f t="shared" si="1547"/>
        <v>-65000000</v>
      </c>
      <c r="TU69" s="61">
        <f t="shared" si="1547"/>
        <v>-65000000</v>
      </c>
      <c r="TV69" s="61">
        <f t="shared" si="1547"/>
        <v>-65000000</v>
      </c>
      <c r="TW69" s="61">
        <f t="shared" ref="TW69:WH69" si="1548">TW68-$EC$11-TW11</f>
        <v>-65000000</v>
      </c>
      <c r="TX69" s="61">
        <f t="shared" si="1548"/>
        <v>-65000000</v>
      </c>
      <c r="TY69" s="61">
        <f t="shared" si="1548"/>
        <v>-65000000</v>
      </c>
      <c r="TZ69" s="61">
        <f t="shared" si="1548"/>
        <v>-65000000</v>
      </c>
      <c r="UA69" s="61">
        <f t="shared" si="1548"/>
        <v>-65000000</v>
      </c>
      <c r="UB69" s="61">
        <f t="shared" si="1548"/>
        <v>-65000000</v>
      </c>
      <c r="UC69" s="61">
        <f t="shared" si="1548"/>
        <v>-65000000</v>
      </c>
      <c r="UD69" s="61">
        <f t="shared" si="1548"/>
        <v>-65000000</v>
      </c>
      <c r="UE69" s="61">
        <f t="shared" si="1548"/>
        <v>-65000000</v>
      </c>
      <c r="UF69" s="61">
        <f t="shared" si="1548"/>
        <v>-65000000</v>
      </c>
      <c r="UG69" s="61">
        <f t="shared" si="1548"/>
        <v>-65000000</v>
      </c>
      <c r="UH69" s="61">
        <f t="shared" si="1548"/>
        <v>-65000000</v>
      </c>
      <c r="UI69" s="61">
        <f t="shared" si="1548"/>
        <v>-65000000</v>
      </c>
      <c r="UJ69" s="61">
        <f t="shared" si="1548"/>
        <v>-65000000</v>
      </c>
      <c r="UK69" s="61">
        <f t="shared" si="1548"/>
        <v>-65000000</v>
      </c>
      <c r="UL69" s="61">
        <f t="shared" si="1548"/>
        <v>-65000000</v>
      </c>
      <c r="UM69" s="61">
        <f t="shared" si="1548"/>
        <v>-65000000</v>
      </c>
      <c r="UN69" s="61">
        <f t="shared" si="1548"/>
        <v>-65000000</v>
      </c>
      <c r="UO69" s="61">
        <f t="shared" si="1548"/>
        <v>-65000000</v>
      </c>
      <c r="UP69" s="61">
        <f t="shared" si="1548"/>
        <v>-65000000</v>
      </c>
      <c r="UQ69" s="61">
        <f t="shared" si="1548"/>
        <v>-65000000</v>
      </c>
      <c r="UR69" s="61">
        <f t="shared" si="1548"/>
        <v>-65000000</v>
      </c>
      <c r="US69" s="61">
        <f t="shared" si="1548"/>
        <v>-65000000</v>
      </c>
      <c r="UT69" s="61">
        <f t="shared" si="1548"/>
        <v>-65000000</v>
      </c>
      <c r="UU69" s="61">
        <f t="shared" si="1548"/>
        <v>-65000000</v>
      </c>
      <c r="UV69" s="61">
        <f t="shared" si="1548"/>
        <v>-65000000</v>
      </c>
      <c r="UW69" s="61">
        <f t="shared" si="1548"/>
        <v>-65000000</v>
      </c>
      <c r="UX69" s="61">
        <f t="shared" si="1548"/>
        <v>-65000000</v>
      </c>
      <c r="UY69" s="61">
        <f t="shared" si="1548"/>
        <v>-65000000</v>
      </c>
      <c r="UZ69" s="61">
        <f t="shared" si="1548"/>
        <v>-65000000</v>
      </c>
      <c r="VA69" s="61">
        <f t="shared" si="1548"/>
        <v>-65000000</v>
      </c>
      <c r="VB69" s="61">
        <f t="shared" si="1548"/>
        <v>-65000000</v>
      </c>
      <c r="VC69" s="61">
        <f t="shared" si="1548"/>
        <v>-65000000</v>
      </c>
      <c r="VD69" s="61">
        <f t="shared" si="1548"/>
        <v>-65000000</v>
      </c>
      <c r="VE69" s="61">
        <f t="shared" si="1548"/>
        <v>-65000000</v>
      </c>
      <c r="VF69" s="61">
        <f t="shared" si="1548"/>
        <v>-65000000</v>
      </c>
      <c r="VG69" s="61">
        <f t="shared" si="1548"/>
        <v>-65000000</v>
      </c>
      <c r="VH69" s="61">
        <f t="shared" si="1548"/>
        <v>-65000000</v>
      </c>
      <c r="VI69" s="61">
        <f t="shared" si="1548"/>
        <v>-65000000</v>
      </c>
      <c r="VJ69" s="61">
        <f t="shared" si="1548"/>
        <v>-65000000</v>
      </c>
      <c r="VK69" s="61">
        <f t="shared" si="1548"/>
        <v>-65000000</v>
      </c>
      <c r="VL69" s="61">
        <f t="shared" si="1548"/>
        <v>-65000000</v>
      </c>
      <c r="VM69" s="61">
        <f t="shared" si="1548"/>
        <v>-65000000</v>
      </c>
      <c r="VN69" s="61">
        <f t="shared" si="1548"/>
        <v>-65000000</v>
      </c>
      <c r="VO69" s="61">
        <f t="shared" si="1548"/>
        <v>-65000000</v>
      </c>
      <c r="VP69" s="61">
        <f t="shared" si="1548"/>
        <v>-65000000</v>
      </c>
      <c r="VQ69" s="61">
        <f t="shared" si="1548"/>
        <v>-65000000</v>
      </c>
      <c r="VR69" s="61">
        <f t="shared" si="1548"/>
        <v>-65000000</v>
      </c>
      <c r="VS69" s="61">
        <f t="shared" si="1548"/>
        <v>-65000000</v>
      </c>
      <c r="VT69" s="61">
        <f t="shared" si="1548"/>
        <v>-65000000</v>
      </c>
      <c r="VU69" s="61">
        <f t="shared" si="1548"/>
        <v>-65000000</v>
      </c>
      <c r="VV69" s="61">
        <f t="shared" si="1548"/>
        <v>-65000000</v>
      </c>
      <c r="VW69" s="61">
        <f t="shared" si="1548"/>
        <v>-65000000</v>
      </c>
      <c r="VX69" s="61">
        <f t="shared" si="1548"/>
        <v>-65000000</v>
      </c>
      <c r="VY69" s="61">
        <f t="shared" si="1548"/>
        <v>-65000000</v>
      </c>
      <c r="VZ69" s="61">
        <f t="shared" si="1548"/>
        <v>-65000000</v>
      </c>
      <c r="WA69" s="61">
        <f t="shared" si="1548"/>
        <v>-65000000</v>
      </c>
      <c r="WB69" s="61">
        <f t="shared" si="1548"/>
        <v>-65000000</v>
      </c>
      <c r="WC69" s="61">
        <f t="shared" si="1548"/>
        <v>-65000000</v>
      </c>
      <c r="WD69" s="61">
        <f t="shared" si="1548"/>
        <v>-65000000</v>
      </c>
      <c r="WE69" s="61">
        <f t="shared" si="1548"/>
        <v>-65000000</v>
      </c>
      <c r="WF69" s="61">
        <f t="shared" si="1548"/>
        <v>-65000000</v>
      </c>
      <c r="WG69" s="61">
        <f t="shared" si="1548"/>
        <v>-65000000</v>
      </c>
      <c r="WH69" s="61">
        <f t="shared" si="1548"/>
        <v>-65000000</v>
      </c>
      <c r="WI69" s="61">
        <f t="shared" ref="WI69:YT69" si="1549">WI68-$EC$11-WI11</f>
        <v>-65000000</v>
      </c>
      <c r="WJ69" s="61">
        <f t="shared" si="1549"/>
        <v>-65000000</v>
      </c>
      <c r="WK69" s="61">
        <f t="shared" si="1549"/>
        <v>-65000000</v>
      </c>
      <c r="WL69" s="61">
        <f t="shared" si="1549"/>
        <v>-65000000</v>
      </c>
      <c r="WM69" s="61">
        <f t="shared" si="1549"/>
        <v>-65000000</v>
      </c>
      <c r="WN69" s="61">
        <f t="shared" si="1549"/>
        <v>-65000000</v>
      </c>
      <c r="WO69" s="61">
        <f t="shared" si="1549"/>
        <v>-65000000</v>
      </c>
      <c r="WP69" s="61">
        <f t="shared" si="1549"/>
        <v>-65000000</v>
      </c>
      <c r="WQ69" s="61">
        <f t="shared" si="1549"/>
        <v>-65000000</v>
      </c>
      <c r="WR69" s="61">
        <f t="shared" si="1549"/>
        <v>-65000000</v>
      </c>
      <c r="WS69" s="61">
        <f t="shared" si="1549"/>
        <v>-65000000</v>
      </c>
      <c r="WT69" s="61">
        <f t="shared" si="1549"/>
        <v>-65000000</v>
      </c>
      <c r="WU69" s="61">
        <f t="shared" si="1549"/>
        <v>-65000000</v>
      </c>
      <c r="WV69" s="61">
        <f t="shared" si="1549"/>
        <v>-65000000</v>
      </c>
      <c r="WW69" s="61">
        <f t="shared" si="1549"/>
        <v>-65000000</v>
      </c>
      <c r="WX69" s="61">
        <f t="shared" si="1549"/>
        <v>-65000000</v>
      </c>
      <c r="WY69" s="61">
        <f t="shared" si="1549"/>
        <v>-65000000</v>
      </c>
      <c r="WZ69" s="61">
        <f t="shared" si="1549"/>
        <v>-65000000</v>
      </c>
      <c r="XA69" s="61">
        <f t="shared" si="1549"/>
        <v>-65000000</v>
      </c>
      <c r="XB69" s="61">
        <f t="shared" si="1549"/>
        <v>-65000000</v>
      </c>
      <c r="XC69" s="61">
        <f t="shared" si="1549"/>
        <v>-65000000</v>
      </c>
      <c r="XD69" s="61">
        <f t="shared" si="1549"/>
        <v>-65000000</v>
      </c>
      <c r="XE69" s="61">
        <f t="shared" si="1549"/>
        <v>-65000000</v>
      </c>
      <c r="XF69" s="61">
        <f t="shared" si="1549"/>
        <v>-65000000</v>
      </c>
      <c r="XG69" s="61">
        <f t="shared" si="1549"/>
        <v>-65000000</v>
      </c>
      <c r="XH69" s="61">
        <f t="shared" si="1549"/>
        <v>-65000000</v>
      </c>
      <c r="XI69" s="61">
        <f t="shared" si="1549"/>
        <v>-65000000</v>
      </c>
      <c r="XJ69" s="61">
        <f t="shared" si="1549"/>
        <v>-65000000</v>
      </c>
      <c r="XK69" s="61">
        <f t="shared" si="1549"/>
        <v>-65000000</v>
      </c>
      <c r="XL69" s="61">
        <f t="shared" si="1549"/>
        <v>-65000000</v>
      </c>
      <c r="XM69" s="61">
        <f t="shared" si="1549"/>
        <v>-65000000</v>
      </c>
      <c r="XN69" s="61">
        <f t="shared" si="1549"/>
        <v>-65000000</v>
      </c>
      <c r="XO69" s="61">
        <f t="shared" si="1549"/>
        <v>-65000000</v>
      </c>
      <c r="XP69" s="61">
        <f t="shared" si="1549"/>
        <v>-65000000</v>
      </c>
      <c r="XQ69" s="61">
        <f t="shared" si="1549"/>
        <v>-65000000</v>
      </c>
      <c r="XR69" s="61">
        <f t="shared" si="1549"/>
        <v>-65000000</v>
      </c>
      <c r="XS69" s="61">
        <f t="shared" si="1549"/>
        <v>-65000000</v>
      </c>
      <c r="XT69" s="61">
        <f t="shared" si="1549"/>
        <v>-65000000</v>
      </c>
      <c r="XU69" s="61">
        <f t="shared" si="1549"/>
        <v>-65000000</v>
      </c>
      <c r="XV69" s="61">
        <f t="shared" si="1549"/>
        <v>-65000000</v>
      </c>
      <c r="XW69" s="61">
        <f t="shared" si="1549"/>
        <v>-65000000</v>
      </c>
      <c r="XX69" s="61">
        <f t="shared" si="1549"/>
        <v>-65000000</v>
      </c>
      <c r="XY69" s="61">
        <f t="shared" si="1549"/>
        <v>-65000000</v>
      </c>
      <c r="XZ69" s="61">
        <f t="shared" si="1549"/>
        <v>-65000000</v>
      </c>
      <c r="YA69" s="61">
        <f t="shared" si="1549"/>
        <v>-65000000</v>
      </c>
      <c r="YB69" s="61">
        <f t="shared" si="1549"/>
        <v>-65000000</v>
      </c>
      <c r="YC69" s="61">
        <f t="shared" si="1549"/>
        <v>-65000000</v>
      </c>
      <c r="YD69" s="61">
        <f t="shared" si="1549"/>
        <v>-65000000</v>
      </c>
      <c r="YE69" s="61">
        <f t="shared" si="1549"/>
        <v>-65000000</v>
      </c>
      <c r="YF69" s="61">
        <f t="shared" si="1549"/>
        <v>-65000000</v>
      </c>
      <c r="YG69" s="61">
        <f t="shared" si="1549"/>
        <v>-65000000</v>
      </c>
      <c r="YH69" s="61">
        <f t="shared" si="1549"/>
        <v>-65000000</v>
      </c>
      <c r="YI69" s="61">
        <f t="shared" si="1549"/>
        <v>-65000000</v>
      </c>
      <c r="YJ69" s="61">
        <f t="shared" si="1549"/>
        <v>-65000000</v>
      </c>
      <c r="YK69" s="61">
        <f t="shared" si="1549"/>
        <v>-65000000</v>
      </c>
      <c r="YL69" s="61">
        <f t="shared" si="1549"/>
        <v>-65000000</v>
      </c>
      <c r="YM69" s="61">
        <f t="shared" si="1549"/>
        <v>-65000000</v>
      </c>
      <c r="YN69" s="61">
        <f t="shared" si="1549"/>
        <v>-65000000</v>
      </c>
      <c r="YO69" s="61">
        <f t="shared" si="1549"/>
        <v>-65000000</v>
      </c>
      <c r="YP69" s="61">
        <f t="shared" si="1549"/>
        <v>-65000000</v>
      </c>
      <c r="YQ69" s="61">
        <f t="shared" si="1549"/>
        <v>-65000000</v>
      </c>
      <c r="YR69" s="61">
        <f t="shared" si="1549"/>
        <v>-65000000</v>
      </c>
      <c r="YS69" s="61">
        <f t="shared" si="1549"/>
        <v>-65000000</v>
      </c>
      <c r="YT69" s="61">
        <f t="shared" si="1549"/>
        <v>-65000000</v>
      </c>
      <c r="YU69" s="61">
        <f t="shared" ref="YU69:ABF69" si="1550">YU68-$EC$11-YU11</f>
        <v>-65000000</v>
      </c>
      <c r="YV69" s="61">
        <f t="shared" si="1550"/>
        <v>-65000000</v>
      </c>
      <c r="YW69" s="61">
        <f t="shared" si="1550"/>
        <v>-65000000</v>
      </c>
      <c r="YX69" s="61">
        <f t="shared" si="1550"/>
        <v>-65000000</v>
      </c>
      <c r="YY69" s="61">
        <f t="shared" si="1550"/>
        <v>-65000000</v>
      </c>
      <c r="YZ69" s="61">
        <f t="shared" si="1550"/>
        <v>-65000000</v>
      </c>
      <c r="ZA69" s="61">
        <f t="shared" si="1550"/>
        <v>-65000000</v>
      </c>
      <c r="ZB69" s="61">
        <f t="shared" si="1550"/>
        <v>-65000000</v>
      </c>
      <c r="ZC69" s="61">
        <f t="shared" si="1550"/>
        <v>-65000000</v>
      </c>
      <c r="ZD69" s="61">
        <f t="shared" si="1550"/>
        <v>-65000000</v>
      </c>
      <c r="ZE69" s="61">
        <f t="shared" si="1550"/>
        <v>-65000000</v>
      </c>
      <c r="ZF69" s="61">
        <f t="shared" si="1550"/>
        <v>-65000000</v>
      </c>
      <c r="ZG69" s="61">
        <f t="shared" si="1550"/>
        <v>-65000000</v>
      </c>
      <c r="ZH69" s="61">
        <f t="shared" si="1550"/>
        <v>-65000000</v>
      </c>
      <c r="ZI69" s="61">
        <f t="shared" si="1550"/>
        <v>-65000000</v>
      </c>
      <c r="ZJ69" s="61">
        <f t="shared" si="1550"/>
        <v>-65000000</v>
      </c>
      <c r="ZK69" s="61">
        <f t="shared" si="1550"/>
        <v>-65000000</v>
      </c>
      <c r="ZL69" s="61">
        <f t="shared" si="1550"/>
        <v>-65000000</v>
      </c>
      <c r="ZM69" s="61">
        <f t="shared" si="1550"/>
        <v>-65000000</v>
      </c>
      <c r="ZN69" s="61">
        <f t="shared" si="1550"/>
        <v>-65000000</v>
      </c>
      <c r="ZO69" s="61">
        <f t="shared" si="1550"/>
        <v>-65000000</v>
      </c>
      <c r="ZP69" s="61">
        <f t="shared" si="1550"/>
        <v>-65000000</v>
      </c>
      <c r="ZQ69" s="61">
        <f t="shared" si="1550"/>
        <v>-65000000</v>
      </c>
      <c r="ZR69" s="61">
        <f t="shared" si="1550"/>
        <v>-65000000</v>
      </c>
      <c r="ZS69" s="61">
        <f t="shared" si="1550"/>
        <v>-65000000</v>
      </c>
      <c r="ZT69" s="61">
        <f t="shared" si="1550"/>
        <v>-65000000</v>
      </c>
      <c r="ZU69" s="61">
        <f t="shared" si="1550"/>
        <v>-65000000</v>
      </c>
      <c r="ZV69" s="61">
        <f t="shared" si="1550"/>
        <v>-65000000</v>
      </c>
      <c r="ZW69" s="61">
        <f t="shared" si="1550"/>
        <v>-65000000</v>
      </c>
      <c r="ZX69" s="61">
        <f t="shared" si="1550"/>
        <v>-65000000</v>
      </c>
      <c r="ZY69" s="61">
        <f t="shared" si="1550"/>
        <v>-65000000</v>
      </c>
      <c r="ZZ69" s="61">
        <f t="shared" si="1550"/>
        <v>-65000000</v>
      </c>
      <c r="AAA69" s="61">
        <f t="shared" si="1550"/>
        <v>-65000000</v>
      </c>
      <c r="AAB69" s="61">
        <f t="shared" si="1550"/>
        <v>-65000000</v>
      </c>
      <c r="AAC69" s="61">
        <f t="shared" si="1550"/>
        <v>-65000000</v>
      </c>
      <c r="AAD69" s="61">
        <f t="shared" si="1550"/>
        <v>-65000000</v>
      </c>
      <c r="AAE69" s="61">
        <f t="shared" si="1550"/>
        <v>-65000000</v>
      </c>
      <c r="AAF69" s="61">
        <f t="shared" si="1550"/>
        <v>-65000000</v>
      </c>
      <c r="AAG69" s="61">
        <f t="shared" si="1550"/>
        <v>-65000000</v>
      </c>
      <c r="AAH69" s="61">
        <f t="shared" si="1550"/>
        <v>-65000000</v>
      </c>
      <c r="AAI69" s="61">
        <f t="shared" si="1550"/>
        <v>-65000000</v>
      </c>
      <c r="AAJ69" s="61">
        <f t="shared" si="1550"/>
        <v>-65000000</v>
      </c>
      <c r="AAK69" s="61">
        <f t="shared" si="1550"/>
        <v>-65000000</v>
      </c>
      <c r="AAL69" s="61">
        <f t="shared" si="1550"/>
        <v>-65000000</v>
      </c>
      <c r="AAM69" s="61">
        <f t="shared" si="1550"/>
        <v>-65000000</v>
      </c>
      <c r="AAN69" s="61">
        <f t="shared" si="1550"/>
        <v>-65000000</v>
      </c>
      <c r="AAO69" s="61">
        <f t="shared" si="1550"/>
        <v>-65000000</v>
      </c>
      <c r="AAP69" s="61">
        <f t="shared" si="1550"/>
        <v>-65000000</v>
      </c>
      <c r="AAQ69" s="61">
        <f t="shared" si="1550"/>
        <v>-65000000</v>
      </c>
      <c r="AAR69" s="61">
        <f t="shared" si="1550"/>
        <v>-65000000</v>
      </c>
      <c r="AAS69" s="61">
        <f t="shared" si="1550"/>
        <v>-65000000</v>
      </c>
      <c r="AAT69" s="61">
        <f t="shared" si="1550"/>
        <v>-65000000</v>
      </c>
      <c r="AAU69" s="61">
        <f t="shared" si="1550"/>
        <v>-65000000</v>
      </c>
      <c r="AAV69" s="61">
        <f t="shared" si="1550"/>
        <v>-65000000</v>
      </c>
      <c r="AAW69" s="61">
        <f t="shared" si="1550"/>
        <v>-65000000</v>
      </c>
      <c r="AAX69" s="61">
        <f t="shared" si="1550"/>
        <v>-65000000</v>
      </c>
      <c r="AAY69" s="61">
        <f t="shared" si="1550"/>
        <v>-65000000</v>
      </c>
      <c r="AAZ69" s="61">
        <f t="shared" si="1550"/>
        <v>-65000000</v>
      </c>
      <c r="ABA69" s="61">
        <f t="shared" si="1550"/>
        <v>-65000000</v>
      </c>
      <c r="ABB69" s="61">
        <f t="shared" si="1550"/>
        <v>-65000000</v>
      </c>
      <c r="ABC69" s="61">
        <f t="shared" si="1550"/>
        <v>-65000000</v>
      </c>
      <c r="ABD69" s="61">
        <f t="shared" si="1550"/>
        <v>-65000000</v>
      </c>
      <c r="ABE69" s="61">
        <f t="shared" si="1550"/>
        <v>-65000000</v>
      </c>
      <c r="ABF69" s="61">
        <f t="shared" si="1550"/>
        <v>-65000000</v>
      </c>
      <c r="ABG69" s="61">
        <f t="shared" ref="ABG69:ADR69" si="1551">ABG68-$EC$11-ABG11</f>
        <v>-65000000</v>
      </c>
      <c r="ABH69" s="61">
        <f t="shared" si="1551"/>
        <v>-65000000</v>
      </c>
      <c r="ABI69" s="61">
        <f t="shared" si="1551"/>
        <v>-65000000</v>
      </c>
      <c r="ABJ69" s="61">
        <f t="shared" si="1551"/>
        <v>-65000000</v>
      </c>
      <c r="ABK69" s="61">
        <f t="shared" si="1551"/>
        <v>-65000000</v>
      </c>
      <c r="ABL69" s="61">
        <f t="shared" si="1551"/>
        <v>-65000000</v>
      </c>
      <c r="ABM69" s="61">
        <f t="shared" si="1551"/>
        <v>-65000000</v>
      </c>
      <c r="ABN69" s="61">
        <f t="shared" si="1551"/>
        <v>-65000000</v>
      </c>
      <c r="ABO69" s="61">
        <f t="shared" si="1551"/>
        <v>-65000000</v>
      </c>
      <c r="ABP69" s="61">
        <f t="shared" si="1551"/>
        <v>-65000000</v>
      </c>
      <c r="ABQ69" s="61">
        <f t="shared" si="1551"/>
        <v>-65000000</v>
      </c>
      <c r="ABR69" s="61">
        <f t="shared" si="1551"/>
        <v>-65000000</v>
      </c>
      <c r="ABS69" s="61">
        <f t="shared" si="1551"/>
        <v>-65000000</v>
      </c>
      <c r="ABT69" s="61">
        <f t="shared" si="1551"/>
        <v>-65000000</v>
      </c>
      <c r="ABU69" s="61">
        <f t="shared" si="1551"/>
        <v>-65000000</v>
      </c>
      <c r="ABV69" s="61">
        <f t="shared" si="1551"/>
        <v>-65000000</v>
      </c>
      <c r="ABW69" s="61">
        <f t="shared" si="1551"/>
        <v>-65000000</v>
      </c>
      <c r="ABX69" s="61">
        <f t="shared" si="1551"/>
        <v>-65000000</v>
      </c>
      <c r="ABY69" s="61">
        <f t="shared" si="1551"/>
        <v>-65000000</v>
      </c>
      <c r="ABZ69" s="61">
        <f t="shared" si="1551"/>
        <v>-65000000</v>
      </c>
      <c r="ACA69" s="61">
        <f t="shared" si="1551"/>
        <v>-65000000</v>
      </c>
      <c r="ACB69" s="61">
        <f t="shared" si="1551"/>
        <v>-65000000</v>
      </c>
      <c r="ACC69" s="61">
        <f t="shared" si="1551"/>
        <v>-65000000</v>
      </c>
      <c r="ACD69" s="61">
        <f t="shared" si="1551"/>
        <v>-65000000</v>
      </c>
      <c r="ACE69" s="61">
        <f t="shared" si="1551"/>
        <v>-65000000</v>
      </c>
      <c r="ACF69" s="61">
        <f t="shared" si="1551"/>
        <v>-65000000</v>
      </c>
      <c r="ACG69" s="61">
        <f t="shared" si="1551"/>
        <v>-65000000</v>
      </c>
      <c r="ACH69" s="61">
        <f t="shared" si="1551"/>
        <v>-65000000</v>
      </c>
      <c r="ACI69" s="61">
        <f t="shared" si="1551"/>
        <v>-65000000</v>
      </c>
      <c r="ACJ69" s="61">
        <f t="shared" si="1551"/>
        <v>-65000000</v>
      </c>
      <c r="ACK69" s="61">
        <f t="shared" si="1551"/>
        <v>-65000000</v>
      </c>
      <c r="ACL69" s="61">
        <f t="shared" si="1551"/>
        <v>-65000000</v>
      </c>
      <c r="ACM69" s="61">
        <f t="shared" si="1551"/>
        <v>-65000000</v>
      </c>
      <c r="ACN69" s="61">
        <f t="shared" si="1551"/>
        <v>-65000000</v>
      </c>
      <c r="ACO69" s="61">
        <f t="shared" si="1551"/>
        <v>-65000000</v>
      </c>
      <c r="ACP69" s="61">
        <f t="shared" si="1551"/>
        <v>-65000000</v>
      </c>
      <c r="ACQ69" s="61">
        <f t="shared" si="1551"/>
        <v>-65000000</v>
      </c>
      <c r="ACR69" s="61">
        <f t="shared" si="1551"/>
        <v>-65000000</v>
      </c>
      <c r="ACS69" s="61">
        <f t="shared" si="1551"/>
        <v>-65000000</v>
      </c>
      <c r="ACT69" s="61">
        <f t="shared" si="1551"/>
        <v>-65000000</v>
      </c>
      <c r="ACU69" s="61">
        <f t="shared" si="1551"/>
        <v>-65000000</v>
      </c>
      <c r="ACV69" s="61">
        <f t="shared" si="1551"/>
        <v>-65000000</v>
      </c>
      <c r="ACW69" s="61">
        <f t="shared" si="1551"/>
        <v>-65000000</v>
      </c>
      <c r="ACX69" s="61">
        <f t="shared" si="1551"/>
        <v>-65000000</v>
      </c>
      <c r="ACY69" s="61">
        <f t="shared" si="1551"/>
        <v>-65000000</v>
      </c>
      <c r="ACZ69" s="61">
        <f t="shared" si="1551"/>
        <v>-65000000</v>
      </c>
      <c r="ADA69" s="61">
        <f t="shared" si="1551"/>
        <v>-65000000</v>
      </c>
      <c r="ADB69" s="61">
        <f t="shared" si="1551"/>
        <v>-65000000</v>
      </c>
      <c r="ADC69" s="61">
        <f t="shared" si="1551"/>
        <v>-65000000</v>
      </c>
      <c r="ADD69" s="61">
        <f t="shared" si="1551"/>
        <v>-65000000</v>
      </c>
      <c r="ADE69" s="61">
        <f t="shared" si="1551"/>
        <v>-65000000</v>
      </c>
      <c r="ADF69" s="61">
        <f t="shared" si="1551"/>
        <v>-65000000</v>
      </c>
      <c r="ADG69" s="61">
        <f t="shared" si="1551"/>
        <v>-65000000</v>
      </c>
      <c r="ADH69" s="61">
        <f t="shared" si="1551"/>
        <v>-65000000</v>
      </c>
      <c r="ADI69" s="61">
        <f t="shared" si="1551"/>
        <v>-65000000</v>
      </c>
      <c r="ADJ69" s="61">
        <f t="shared" si="1551"/>
        <v>-65000000</v>
      </c>
      <c r="ADK69" s="61">
        <f t="shared" si="1551"/>
        <v>-65000000</v>
      </c>
      <c r="ADL69" s="61">
        <f t="shared" si="1551"/>
        <v>-65000000</v>
      </c>
      <c r="ADM69" s="61">
        <f t="shared" si="1551"/>
        <v>-65000000</v>
      </c>
      <c r="ADN69" s="61">
        <f t="shared" si="1551"/>
        <v>-65000000</v>
      </c>
      <c r="ADO69" s="61">
        <f t="shared" si="1551"/>
        <v>-65000000</v>
      </c>
      <c r="ADP69" s="61">
        <f t="shared" si="1551"/>
        <v>-65000000</v>
      </c>
      <c r="ADQ69" s="61">
        <f t="shared" si="1551"/>
        <v>-65000000</v>
      </c>
      <c r="ADR69" s="61">
        <f t="shared" si="1551"/>
        <v>-65000000</v>
      </c>
      <c r="ADS69" s="61">
        <f t="shared" ref="ADS69:AGD69" si="1552">ADS68-$EC$11-ADS11</f>
        <v>-65000000</v>
      </c>
      <c r="ADT69" s="61">
        <f t="shared" si="1552"/>
        <v>-65000000</v>
      </c>
      <c r="ADU69" s="61">
        <f t="shared" si="1552"/>
        <v>-65000000</v>
      </c>
      <c r="ADV69" s="61">
        <f t="shared" si="1552"/>
        <v>-65000000</v>
      </c>
      <c r="ADW69" s="61">
        <f t="shared" si="1552"/>
        <v>-65000000</v>
      </c>
      <c r="ADX69" s="61">
        <f t="shared" si="1552"/>
        <v>-65000000</v>
      </c>
      <c r="ADY69" s="61">
        <f t="shared" si="1552"/>
        <v>-65000000</v>
      </c>
      <c r="ADZ69" s="61">
        <f t="shared" si="1552"/>
        <v>-65000000</v>
      </c>
      <c r="AEA69" s="61">
        <f t="shared" si="1552"/>
        <v>-65000000</v>
      </c>
      <c r="AEB69" s="61">
        <f t="shared" si="1552"/>
        <v>-65000000</v>
      </c>
      <c r="AEC69" s="61">
        <f t="shared" si="1552"/>
        <v>-65000000</v>
      </c>
      <c r="AED69" s="61">
        <f t="shared" si="1552"/>
        <v>-65000000</v>
      </c>
      <c r="AEE69" s="61">
        <f t="shared" si="1552"/>
        <v>-65000000</v>
      </c>
      <c r="AEF69" s="61">
        <f t="shared" si="1552"/>
        <v>-65000000</v>
      </c>
      <c r="AEG69" s="61">
        <f t="shared" si="1552"/>
        <v>-65000000</v>
      </c>
      <c r="AEH69" s="61">
        <f t="shared" si="1552"/>
        <v>-65000000</v>
      </c>
      <c r="AEI69" s="61">
        <f t="shared" si="1552"/>
        <v>-65000000</v>
      </c>
      <c r="AEJ69" s="61">
        <f t="shared" si="1552"/>
        <v>-65000000</v>
      </c>
      <c r="AEK69" s="61">
        <f t="shared" si="1552"/>
        <v>-65000000</v>
      </c>
      <c r="AEL69" s="61">
        <f t="shared" si="1552"/>
        <v>-65000000</v>
      </c>
      <c r="AEM69" s="61">
        <f t="shared" si="1552"/>
        <v>-65000000</v>
      </c>
      <c r="AEN69" s="61">
        <f t="shared" si="1552"/>
        <v>-65000000</v>
      </c>
      <c r="AEO69" s="61">
        <f t="shared" si="1552"/>
        <v>-65000000</v>
      </c>
      <c r="AEP69" s="61">
        <f t="shared" si="1552"/>
        <v>-65000000</v>
      </c>
      <c r="AEQ69" s="61">
        <f t="shared" si="1552"/>
        <v>-65000000</v>
      </c>
      <c r="AER69" s="61">
        <f t="shared" si="1552"/>
        <v>-65000000</v>
      </c>
      <c r="AES69" s="61">
        <f t="shared" si="1552"/>
        <v>-65000000</v>
      </c>
      <c r="AET69" s="61">
        <f t="shared" si="1552"/>
        <v>-65000000</v>
      </c>
      <c r="AEU69" s="61">
        <f t="shared" si="1552"/>
        <v>-65000000</v>
      </c>
      <c r="AEV69" s="61">
        <f t="shared" si="1552"/>
        <v>-65000000</v>
      </c>
      <c r="AEW69" s="61">
        <f t="shared" si="1552"/>
        <v>-65000000</v>
      </c>
      <c r="AEX69" s="61">
        <f t="shared" si="1552"/>
        <v>-65000000</v>
      </c>
      <c r="AEY69" s="61">
        <f t="shared" si="1552"/>
        <v>-65000000</v>
      </c>
      <c r="AEZ69" s="61">
        <f t="shared" si="1552"/>
        <v>-65000000</v>
      </c>
      <c r="AFA69" s="61">
        <f t="shared" si="1552"/>
        <v>-65000000</v>
      </c>
      <c r="AFB69" s="61">
        <f t="shared" si="1552"/>
        <v>-65000000</v>
      </c>
      <c r="AFC69" s="61">
        <f t="shared" si="1552"/>
        <v>-65000000</v>
      </c>
      <c r="AFD69" s="61">
        <f t="shared" si="1552"/>
        <v>-65000000</v>
      </c>
      <c r="AFE69" s="61">
        <f t="shared" si="1552"/>
        <v>-65000000</v>
      </c>
      <c r="AFF69" s="61">
        <f t="shared" si="1552"/>
        <v>-65000000</v>
      </c>
      <c r="AFG69" s="61">
        <f t="shared" si="1552"/>
        <v>-65000000</v>
      </c>
      <c r="AFH69" s="61">
        <f t="shared" si="1552"/>
        <v>-65000000</v>
      </c>
      <c r="AFI69" s="61">
        <f t="shared" si="1552"/>
        <v>-65000000</v>
      </c>
      <c r="AFJ69" s="61">
        <f t="shared" si="1552"/>
        <v>-65000000</v>
      </c>
      <c r="AFK69" s="61">
        <f t="shared" si="1552"/>
        <v>-65000000</v>
      </c>
      <c r="AFL69" s="61">
        <f t="shared" si="1552"/>
        <v>-65000000</v>
      </c>
      <c r="AFM69" s="61">
        <f t="shared" si="1552"/>
        <v>-65000000</v>
      </c>
      <c r="AFN69" s="61">
        <f t="shared" si="1552"/>
        <v>-65000000</v>
      </c>
      <c r="AFO69" s="61">
        <f t="shared" si="1552"/>
        <v>-65000000</v>
      </c>
      <c r="AFP69" s="61">
        <f t="shared" si="1552"/>
        <v>-65000000</v>
      </c>
      <c r="AFQ69" s="61">
        <f t="shared" si="1552"/>
        <v>-65000000</v>
      </c>
      <c r="AFR69" s="61">
        <f t="shared" si="1552"/>
        <v>-65000000</v>
      </c>
      <c r="AFS69" s="61">
        <f t="shared" si="1552"/>
        <v>-65000000</v>
      </c>
      <c r="AFT69" s="61">
        <f t="shared" si="1552"/>
        <v>-65000000</v>
      </c>
      <c r="AFU69" s="61">
        <f t="shared" si="1552"/>
        <v>-65000000</v>
      </c>
      <c r="AFV69" s="61">
        <f t="shared" si="1552"/>
        <v>-65000000</v>
      </c>
      <c r="AFW69" s="61">
        <f t="shared" si="1552"/>
        <v>-65000000</v>
      </c>
      <c r="AFX69" s="61">
        <f t="shared" si="1552"/>
        <v>-65000000</v>
      </c>
      <c r="AFY69" s="61">
        <f t="shared" si="1552"/>
        <v>-65000000</v>
      </c>
      <c r="AFZ69" s="61">
        <f t="shared" si="1552"/>
        <v>-65000000</v>
      </c>
      <c r="AGA69" s="61">
        <f t="shared" si="1552"/>
        <v>-65000000</v>
      </c>
      <c r="AGB69" s="61">
        <f t="shared" si="1552"/>
        <v>-65000000</v>
      </c>
      <c r="AGC69" s="61">
        <f t="shared" si="1552"/>
        <v>-65000000</v>
      </c>
      <c r="AGD69" s="61">
        <f t="shared" si="1552"/>
        <v>-65000000</v>
      </c>
      <c r="AGE69" s="61">
        <f t="shared" ref="AGE69:AIP69" si="1553">AGE68-$EC$11-AGE11</f>
        <v>-65000000</v>
      </c>
      <c r="AGF69" s="61">
        <f t="shared" si="1553"/>
        <v>-65000000</v>
      </c>
      <c r="AGG69" s="61">
        <f t="shared" si="1553"/>
        <v>-65000000</v>
      </c>
      <c r="AGH69" s="61">
        <f t="shared" si="1553"/>
        <v>-65000000</v>
      </c>
      <c r="AGI69" s="61">
        <f t="shared" si="1553"/>
        <v>-65000000</v>
      </c>
      <c r="AGJ69" s="61">
        <f t="shared" si="1553"/>
        <v>-65000000</v>
      </c>
      <c r="AGK69" s="61">
        <f t="shared" si="1553"/>
        <v>-65000000</v>
      </c>
      <c r="AGL69" s="61">
        <f t="shared" si="1553"/>
        <v>-65000000</v>
      </c>
      <c r="AGM69" s="61">
        <f t="shared" si="1553"/>
        <v>-65000000</v>
      </c>
      <c r="AGN69" s="61">
        <f t="shared" si="1553"/>
        <v>-65000000</v>
      </c>
      <c r="AGO69" s="61">
        <f t="shared" si="1553"/>
        <v>-65000000</v>
      </c>
      <c r="AGP69" s="61">
        <f t="shared" si="1553"/>
        <v>-65000000</v>
      </c>
      <c r="AGQ69" s="61">
        <f t="shared" si="1553"/>
        <v>-65000000</v>
      </c>
      <c r="AGR69" s="61">
        <f t="shared" si="1553"/>
        <v>-65000000</v>
      </c>
      <c r="AGS69" s="61">
        <f t="shared" si="1553"/>
        <v>-65000000</v>
      </c>
      <c r="AGT69" s="61">
        <f t="shared" si="1553"/>
        <v>-65000000</v>
      </c>
      <c r="AGU69" s="61">
        <f t="shared" si="1553"/>
        <v>-65000000</v>
      </c>
      <c r="AGV69" s="61">
        <f t="shared" si="1553"/>
        <v>-65000000</v>
      </c>
      <c r="AGW69" s="61">
        <f t="shared" si="1553"/>
        <v>-65000000</v>
      </c>
      <c r="AGX69" s="61">
        <f t="shared" si="1553"/>
        <v>-65000000</v>
      </c>
      <c r="AGY69" s="61">
        <f t="shared" si="1553"/>
        <v>-65000000</v>
      </c>
      <c r="AGZ69" s="61">
        <f t="shared" si="1553"/>
        <v>-65000000</v>
      </c>
      <c r="AHA69" s="61">
        <f t="shared" si="1553"/>
        <v>-65000000</v>
      </c>
      <c r="AHB69" s="61">
        <f t="shared" si="1553"/>
        <v>-65000000</v>
      </c>
      <c r="AHC69" s="61">
        <f t="shared" si="1553"/>
        <v>-65000000</v>
      </c>
      <c r="AHD69" s="61">
        <f t="shared" si="1553"/>
        <v>-65000000</v>
      </c>
      <c r="AHE69" s="61">
        <f t="shared" si="1553"/>
        <v>-65000000</v>
      </c>
      <c r="AHF69" s="61">
        <f t="shared" si="1553"/>
        <v>-65000000</v>
      </c>
      <c r="AHG69" s="61">
        <f t="shared" si="1553"/>
        <v>-65000000</v>
      </c>
      <c r="AHH69" s="61">
        <f t="shared" si="1553"/>
        <v>-65000000</v>
      </c>
      <c r="AHI69" s="61">
        <f t="shared" si="1553"/>
        <v>-65000000</v>
      </c>
      <c r="AHJ69" s="61">
        <f t="shared" si="1553"/>
        <v>-65000000</v>
      </c>
      <c r="AHK69" s="61">
        <f t="shared" si="1553"/>
        <v>-65000000</v>
      </c>
      <c r="AHL69" s="61">
        <f t="shared" si="1553"/>
        <v>-65000000</v>
      </c>
      <c r="AHM69" s="61">
        <f t="shared" si="1553"/>
        <v>-65000000</v>
      </c>
      <c r="AHN69" s="61">
        <f t="shared" si="1553"/>
        <v>-65000000</v>
      </c>
      <c r="AHO69" s="61">
        <f t="shared" si="1553"/>
        <v>-65000000</v>
      </c>
      <c r="AHP69" s="61">
        <f t="shared" si="1553"/>
        <v>-65000000</v>
      </c>
      <c r="AHQ69" s="61">
        <f t="shared" si="1553"/>
        <v>-65000000</v>
      </c>
      <c r="AHR69" s="61">
        <f t="shared" si="1553"/>
        <v>-65000000</v>
      </c>
      <c r="AHS69" s="61">
        <f t="shared" si="1553"/>
        <v>-65000000</v>
      </c>
      <c r="AHT69" s="61">
        <f t="shared" si="1553"/>
        <v>-65000000</v>
      </c>
      <c r="AHU69" s="61">
        <f t="shared" si="1553"/>
        <v>-65000000</v>
      </c>
      <c r="AHV69" s="61">
        <f t="shared" si="1553"/>
        <v>-65000000</v>
      </c>
      <c r="AHW69" s="61">
        <f t="shared" si="1553"/>
        <v>-65000000</v>
      </c>
      <c r="AHX69" s="61">
        <f t="shared" si="1553"/>
        <v>-65000000</v>
      </c>
      <c r="AHY69" s="61">
        <f t="shared" si="1553"/>
        <v>-65000000</v>
      </c>
      <c r="AHZ69" s="61">
        <f t="shared" si="1553"/>
        <v>-65000000</v>
      </c>
      <c r="AIA69" s="61">
        <f t="shared" si="1553"/>
        <v>-65000000</v>
      </c>
      <c r="AIB69" s="61">
        <f t="shared" si="1553"/>
        <v>-65000000</v>
      </c>
      <c r="AIC69" s="61">
        <f t="shared" si="1553"/>
        <v>-65000000</v>
      </c>
      <c r="AID69" s="61">
        <f t="shared" si="1553"/>
        <v>-65000000</v>
      </c>
      <c r="AIE69" s="61">
        <f t="shared" si="1553"/>
        <v>-65000000</v>
      </c>
      <c r="AIF69" s="61">
        <f t="shared" si="1553"/>
        <v>-65000000</v>
      </c>
      <c r="AIG69" s="61">
        <f t="shared" si="1553"/>
        <v>-65000000</v>
      </c>
      <c r="AIH69" s="61">
        <f t="shared" si="1553"/>
        <v>-65000000</v>
      </c>
      <c r="AII69" s="61">
        <f t="shared" si="1553"/>
        <v>-65000000</v>
      </c>
      <c r="AIJ69" s="61">
        <f t="shared" si="1553"/>
        <v>-65000000</v>
      </c>
      <c r="AIK69" s="61">
        <f t="shared" si="1553"/>
        <v>-65000000</v>
      </c>
      <c r="AIL69" s="61">
        <f t="shared" si="1553"/>
        <v>-65000000</v>
      </c>
      <c r="AIM69" s="61">
        <f t="shared" si="1553"/>
        <v>-65000000</v>
      </c>
      <c r="AIN69" s="61">
        <f t="shared" si="1553"/>
        <v>-65000000</v>
      </c>
      <c r="AIO69" s="61">
        <f t="shared" si="1553"/>
        <v>-65000000</v>
      </c>
      <c r="AIP69" s="61">
        <f t="shared" si="1553"/>
        <v>-65000000</v>
      </c>
      <c r="AIQ69" s="61">
        <f t="shared" ref="AIQ69:ALB69" si="1554">AIQ68-$EC$11-AIQ11</f>
        <v>-65000000</v>
      </c>
      <c r="AIR69" s="61">
        <f t="shared" si="1554"/>
        <v>-65000000</v>
      </c>
      <c r="AIS69" s="61">
        <f t="shared" si="1554"/>
        <v>-65000000</v>
      </c>
      <c r="AIT69" s="61">
        <f t="shared" si="1554"/>
        <v>-65000000</v>
      </c>
      <c r="AIU69" s="61">
        <f t="shared" si="1554"/>
        <v>-65000000</v>
      </c>
      <c r="AIV69" s="61">
        <f t="shared" si="1554"/>
        <v>-65000000</v>
      </c>
      <c r="AIW69" s="61">
        <f t="shared" si="1554"/>
        <v>-65000000</v>
      </c>
      <c r="AIX69" s="61">
        <f t="shared" si="1554"/>
        <v>-65000000</v>
      </c>
      <c r="AIY69" s="61">
        <f t="shared" si="1554"/>
        <v>-65000000</v>
      </c>
      <c r="AIZ69" s="61">
        <f t="shared" si="1554"/>
        <v>-65000000</v>
      </c>
      <c r="AJA69" s="61">
        <f t="shared" si="1554"/>
        <v>-65000000</v>
      </c>
      <c r="AJB69" s="61">
        <f t="shared" si="1554"/>
        <v>-65000000</v>
      </c>
      <c r="AJC69" s="61">
        <f t="shared" si="1554"/>
        <v>-65000000</v>
      </c>
      <c r="AJD69" s="61">
        <f t="shared" si="1554"/>
        <v>-65000000</v>
      </c>
      <c r="AJE69" s="61">
        <f t="shared" si="1554"/>
        <v>-65000000</v>
      </c>
      <c r="AJF69" s="61">
        <f t="shared" si="1554"/>
        <v>-65000000</v>
      </c>
      <c r="AJG69" s="61">
        <f t="shared" si="1554"/>
        <v>-65000000</v>
      </c>
      <c r="AJH69" s="61">
        <f t="shared" si="1554"/>
        <v>-65000000</v>
      </c>
      <c r="AJI69" s="61">
        <f t="shared" si="1554"/>
        <v>-65000000</v>
      </c>
      <c r="AJJ69" s="61">
        <f t="shared" si="1554"/>
        <v>-65000000</v>
      </c>
      <c r="AJK69" s="61">
        <f t="shared" si="1554"/>
        <v>-65000000</v>
      </c>
      <c r="AJL69" s="61">
        <f t="shared" si="1554"/>
        <v>-65000000</v>
      </c>
      <c r="AJM69" s="61">
        <f t="shared" si="1554"/>
        <v>-65000000</v>
      </c>
      <c r="AJN69" s="61">
        <f t="shared" si="1554"/>
        <v>-65000000</v>
      </c>
      <c r="AJO69" s="61">
        <f t="shared" si="1554"/>
        <v>-65000000</v>
      </c>
      <c r="AJP69" s="61">
        <f t="shared" si="1554"/>
        <v>-65000000</v>
      </c>
      <c r="AJQ69" s="61">
        <f t="shared" si="1554"/>
        <v>-65000000</v>
      </c>
      <c r="AJR69" s="61">
        <f t="shared" si="1554"/>
        <v>-65000000</v>
      </c>
      <c r="AJS69" s="61">
        <f t="shared" si="1554"/>
        <v>-65000000</v>
      </c>
      <c r="AJT69" s="61">
        <f t="shared" si="1554"/>
        <v>-65000000</v>
      </c>
      <c r="AJU69" s="61">
        <f t="shared" si="1554"/>
        <v>-65000000</v>
      </c>
      <c r="AJV69" s="61">
        <f t="shared" si="1554"/>
        <v>-65000000</v>
      </c>
      <c r="AJW69" s="61">
        <f t="shared" si="1554"/>
        <v>-65000000</v>
      </c>
      <c r="AJX69" s="61">
        <f t="shared" si="1554"/>
        <v>-65000000</v>
      </c>
      <c r="AJY69" s="61">
        <f t="shared" si="1554"/>
        <v>-65000000</v>
      </c>
      <c r="AJZ69" s="61">
        <f t="shared" si="1554"/>
        <v>-65000000</v>
      </c>
      <c r="AKA69" s="61">
        <f t="shared" si="1554"/>
        <v>-65000000</v>
      </c>
      <c r="AKB69" s="61">
        <f t="shared" si="1554"/>
        <v>-65000000</v>
      </c>
      <c r="AKC69" s="61">
        <f t="shared" si="1554"/>
        <v>-65000000</v>
      </c>
      <c r="AKD69" s="61">
        <f t="shared" si="1554"/>
        <v>-65000000</v>
      </c>
      <c r="AKE69" s="61">
        <f t="shared" si="1554"/>
        <v>-65000000</v>
      </c>
      <c r="AKF69" s="61">
        <f t="shared" si="1554"/>
        <v>-65000000</v>
      </c>
      <c r="AKG69" s="61">
        <f t="shared" si="1554"/>
        <v>-65000000</v>
      </c>
      <c r="AKH69" s="61">
        <f t="shared" si="1554"/>
        <v>-65000000</v>
      </c>
      <c r="AKI69" s="61">
        <f t="shared" si="1554"/>
        <v>-65000000</v>
      </c>
      <c r="AKJ69" s="61">
        <f t="shared" si="1554"/>
        <v>-65000000</v>
      </c>
      <c r="AKK69" s="61">
        <f t="shared" si="1554"/>
        <v>-65000000</v>
      </c>
      <c r="AKL69" s="61">
        <f t="shared" si="1554"/>
        <v>-65000000</v>
      </c>
      <c r="AKM69" s="61">
        <f t="shared" si="1554"/>
        <v>-65000000</v>
      </c>
      <c r="AKN69" s="61">
        <f t="shared" si="1554"/>
        <v>-65000000</v>
      </c>
      <c r="AKO69" s="61">
        <f t="shared" si="1554"/>
        <v>-65000000</v>
      </c>
      <c r="AKP69" s="61">
        <f t="shared" si="1554"/>
        <v>-65000000</v>
      </c>
      <c r="AKQ69" s="61">
        <f t="shared" si="1554"/>
        <v>-65000000</v>
      </c>
      <c r="AKR69" s="61">
        <f t="shared" si="1554"/>
        <v>-65000000</v>
      </c>
      <c r="AKS69" s="61">
        <f t="shared" si="1554"/>
        <v>-65000000</v>
      </c>
      <c r="AKT69" s="61">
        <f t="shared" si="1554"/>
        <v>-65000000</v>
      </c>
      <c r="AKU69" s="61">
        <f t="shared" si="1554"/>
        <v>-65000000</v>
      </c>
      <c r="AKV69" s="61">
        <f t="shared" si="1554"/>
        <v>-65000000</v>
      </c>
      <c r="AKW69" s="61">
        <f t="shared" si="1554"/>
        <v>-65000000</v>
      </c>
      <c r="AKX69" s="61">
        <f t="shared" si="1554"/>
        <v>-65000000</v>
      </c>
      <c r="AKY69" s="61">
        <f t="shared" si="1554"/>
        <v>-65000000</v>
      </c>
      <c r="AKZ69" s="61">
        <f t="shared" si="1554"/>
        <v>-65000000</v>
      </c>
      <c r="ALA69" s="61">
        <f t="shared" si="1554"/>
        <v>-65000000</v>
      </c>
      <c r="ALB69" s="61">
        <f t="shared" si="1554"/>
        <v>-65000000</v>
      </c>
      <c r="ALC69" s="61">
        <f t="shared" ref="ALC69:ANN69" si="1555">ALC68-$EC$11-ALC11</f>
        <v>-65000000</v>
      </c>
      <c r="ALD69" s="61">
        <f t="shared" si="1555"/>
        <v>-65000000</v>
      </c>
      <c r="ALE69" s="61">
        <f t="shared" si="1555"/>
        <v>-65000000</v>
      </c>
      <c r="ALF69" s="61">
        <f t="shared" si="1555"/>
        <v>-65000000</v>
      </c>
      <c r="ALG69" s="61">
        <f t="shared" si="1555"/>
        <v>-65000000</v>
      </c>
      <c r="ALH69" s="61">
        <f t="shared" si="1555"/>
        <v>-65000000</v>
      </c>
      <c r="ALI69" s="61">
        <f t="shared" si="1555"/>
        <v>-65000000</v>
      </c>
      <c r="ALJ69" s="61">
        <f t="shared" si="1555"/>
        <v>-65000000</v>
      </c>
      <c r="ALK69" s="61">
        <f t="shared" si="1555"/>
        <v>-65000000</v>
      </c>
      <c r="ALL69" s="61">
        <f t="shared" si="1555"/>
        <v>-65000000</v>
      </c>
      <c r="ALM69" s="61">
        <f t="shared" si="1555"/>
        <v>-65000000</v>
      </c>
      <c r="ALN69" s="61">
        <f t="shared" si="1555"/>
        <v>-65000000</v>
      </c>
      <c r="ALO69" s="61">
        <f t="shared" si="1555"/>
        <v>-65000000</v>
      </c>
      <c r="ALP69" s="61">
        <f t="shared" si="1555"/>
        <v>-65000000</v>
      </c>
      <c r="ALQ69" s="61">
        <f t="shared" si="1555"/>
        <v>-65000000</v>
      </c>
      <c r="ALR69" s="61">
        <f t="shared" si="1555"/>
        <v>-65000000</v>
      </c>
      <c r="ALS69" s="61">
        <f t="shared" si="1555"/>
        <v>-65000000</v>
      </c>
      <c r="ALT69" s="61">
        <f t="shared" si="1555"/>
        <v>-65000000</v>
      </c>
      <c r="ALU69" s="61">
        <f t="shared" si="1555"/>
        <v>-65000000</v>
      </c>
      <c r="ALV69" s="61">
        <f t="shared" si="1555"/>
        <v>-65000000</v>
      </c>
      <c r="ALW69" s="61">
        <f t="shared" si="1555"/>
        <v>-65000000</v>
      </c>
      <c r="ALX69" s="61">
        <f t="shared" si="1555"/>
        <v>-65000000</v>
      </c>
      <c r="ALY69" s="61">
        <f t="shared" si="1555"/>
        <v>-65000000</v>
      </c>
      <c r="ALZ69" s="61">
        <f t="shared" si="1555"/>
        <v>-65000000</v>
      </c>
      <c r="AMA69" s="61">
        <f t="shared" si="1555"/>
        <v>-65000000</v>
      </c>
      <c r="AMB69" s="61">
        <f t="shared" si="1555"/>
        <v>-65000000</v>
      </c>
      <c r="AMC69" s="61">
        <f t="shared" si="1555"/>
        <v>-65000000</v>
      </c>
      <c r="AMD69" s="61">
        <f t="shared" si="1555"/>
        <v>-65000000</v>
      </c>
      <c r="AME69" s="61">
        <f t="shared" si="1555"/>
        <v>-65000000</v>
      </c>
      <c r="AMF69" s="61">
        <f t="shared" si="1555"/>
        <v>-65000000</v>
      </c>
      <c r="AMG69" s="61">
        <f t="shared" si="1555"/>
        <v>-65000000</v>
      </c>
      <c r="AMH69" s="61">
        <f t="shared" si="1555"/>
        <v>-65000000</v>
      </c>
      <c r="AMI69" s="61">
        <f t="shared" si="1555"/>
        <v>-65000000</v>
      </c>
      <c r="AMJ69" s="61">
        <f t="shared" si="1555"/>
        <v>-65000000</v>
      </c>
      <c r="AMK69" s="61">
        <f t="shared" si="1555"/>
        <v>-65000000</v>
      </c>
      <c r="AML69" s="61">
        <f t="shared" si="1555"/>
        <v>-65000000</v>
      </c>
      <c r="AMM69" s="61">
        <f t="shared" si="1555"/>
        <v>-65000000</v>
      </c>
      <c r="AMN69" s="61">
        <f t="shared" si="1555"/>
        <v>-65000000</v>
      </c>
      <c r="AMO69" s="61">
        <f t="shared" si="1555"/>
        <v>-65000000</v>
      </c>
      <c r="AMP69" s="61">
        <f t="shared" si="1555"/>
        <v>-65000000</v>
      </c>
      <c r="AMQ69" s="61">
        <f t="shared" si="1555"/>
        <v>-65000000</v>
      </c>
      <c r="AMR69" s="61">
        <f t="shared" si="1555"/>
        <v>-65000000</v>
      </c>
      <c r="AMS69" s="61">
        <f t="shared" si="1555"/>
        <v>-65000000</v>
      </c>
      <c r="AMT69" s="61">
        <f t="shared" si="1555"/>
        <v>-65000000</v>
      </c>
      <c r="AMU69" s="61">
        <f t="shared" si="1555"/>
        <v>-65000000</v>
      </c>
      <c r="AMV69" s="61">
        <f t="shared" si="1555"/>
        <v>-65000000</v>
      </c>
      <c r="AMW69" s="61">
        <f t="shared" si="1555"/>
        <v>-65000000</v>
      </c>
      <c r="AMX69" s="61">
        <f t="shared" si="1555"/>
        <v>-65000000</v>
      </c>
      <c r="AMY69" s="61">
        <f t="shared" si="1555"/>
        <v>-65000000</v>
      </c>
      <c r="AMZ69" s="61">
        <f t="shared" si="1555"/>
        <v>-65000000</v>
      </c>
      <c r="ANA69" s="61">
        <f t="shared" si="1555"/>
        <v>-65000000</v>
      </c>
      <c r="ANB69" s="61">
        <f t="shared" si="1555"/>
        <v>-65000000</v>
      </c>
      <c r="ANC69" s="61">
        <f t="shared" si="1555"/>
        <v>-65000000</v>
      </c>
      <c r="AND69" s="61">
        <f t="shared" si="1555"/>
        <v>-65000000</v>
      </c>
      <c r="ANE69" s="61">
        <f t="shared" si="1555"/>
        <v>-65000000</v>
      </c>
      <c r="ANF69" s="61">
        <f t="shared" si="1555"/>
        <v>-65000000</v>
      </c>
      <c r="ANG69" s="61">
        <f t="shared" si="1555"/>
        <v>-65000000</v>
      </c>
      <c r="ANH69" s="61">
        <f t="shared" si="1555"/>
        <v>-65000000</v>
      </c>
      <c r="ANI69" s="61">
        <f t="shared" si="1555"/>
        <v>-65000000</v>
      </c>
      <c r="ANJ69" s="61">
        <f t="shared" si="1555"/>
        <v>-65000000</v>
      </c>
      <c r="ANK69" s="61">
        <f t="shared" si="1555"/>
        <v>-65000000</v>
      </c>
      <c r="ANL69" s="61">
        <f t="shared" si="1555"/>
        <v>-65000000</v>
      </c>
      <c r="ANM69" s="61">
        <f t="shared" si="1555"/>
        <v>-65000000</v>
      </c>
      <c r="ANN69" s="61">
        <f t="shared" si="1555"/>
        <v>-65000000</v>
      </c>
      <c r="ANO69" s="61">
        <f t="shared" ref="ANO69:APZ69" si="1556">ANO68-$EC$11-ANO11</f>
        <v>-65000000</v>
      </c>
      <c r="ANP69" s="61">
        <f t="shared" si="1556"/>
        <v>-65000000</v>
      </c>
      <c r="ANQ69" s="61">
        <f t="shared" si="1556"/>
        <v>-65000000</v>
      </c>
      <c r="ANR69" s="61">
        <f t="shared" si="1556"/>
        <v>-65000000</v>
      </c>
      <c r="ANS69" s="61">
        <f t="shared" si="1556"/>
        <v>-65000000</v>
      </c>
      <c r="ANT69" s="61">
        <f t="shared" si="1556"/>
        <v>-65000000</v>
      </c>
      <c r="ANU69" s="61">
        <f t="shared" si="1556"/>
        <v>-65000000</v>
      </c>
      <c r="ANV69" s="61">
        <f t="shared" si="1556"/>
        <v>-65000000</v>
      </c>
      <c r="ANW69" s="61">
        <f t="shared" si="1556"/>
        <v>-65000000</v>
      </c>
      <c r="ANX69" s="61">
        <f t="shared" si="1556"/>
        <v>-65000000</v>
      </c>
      <c r="ANY69" s="61">
        <f t="shared" si="1556"/>
        <v>-65000000</v>
      </c>
      <c r="ANZ69" s="61">
        <f t="shared" si="1556"/>
        <v>-65000000</v>
      </c>
      <c r="AOA69" s="61">
        <f t="shared" si="1556"/>
        <v>-65000000</v>
      </c>
      <c r="AOB69" s="61">
        <f t="shared" si="1556"/>
        <v>-65000000</v>
      </c>
      <c r="AOC69" s="61">
        <f t="shared" si="1556"/>
        <v>-65000000</v>
      </c>
      <c r="AOD69" s="61">
        <f t="shared" si="1556"/>
        <v>-65000000</v>
      </c>
      <c r="AOE69" s="61">
        <f t="shared" si="1556"/>
        <v>-65000000</v>
      </c>
      <c r="AOF69" s="61">
        <f t="shared" si="1556"/>
        <v>-65000000</v>
      </c>
      <c r="AOG69" s="61">
        <f t="shared" si="1556"/>
        <v>-65000000</v>
      </c>
      <c r="AOH69" s="61">
        <f t="shared" si="1556"/>
        <v>-65000000</v>
      </c>
      <c r="AOI69" s="61">
        <f t="shared" si="1556"/>
        <v>-65000000</v>
      </c>
      <c r="AOJ69" s="61">
        <f t="shared" si="1556"/>
        <v>-65000000</v>
      </c>
      <c r="AOK69" s="61">
        <f t="shared" si="1556"/>
        <v>-65000000</v>
      </c>
      <c r="AOL69" s="61">
        <f t="shared" si="1556"/>
        <v>-65000000</v>
      </c>
      <c r="AOM69" s="61">
        <f t="shared" si="1556"/>
        <v>-65000000</v>
      </c>
      <c r="AON69" s="61">
        <f t="shared" si="1556"/>
        <v>-65000000</v>
      </c>
      <c r="AOO69" s="61">
        <f t="shared" si="1556"/>
        <v>-65000000</v>
      </c>
      <c r="AOP69" s="61">
        <f t="shared" si="1556"/>
        <v>-65000000</v>
      </c>
      <c r="AOQ69" s="61">
        <f t="shared" si="1556"/>
        <v>-65000000</v>
      </c>
      <c r="AOR69" s="61">
        <f t="shared" si="1556"/>
        <v>-65000000</v>
      </c>
      <c r="AOS69" s="61">
        <f t="shared" si="1556"/>
        <v>-65000000</v>
      </c>
      <c r="AOT69" s="61">
        <f t="shared" si="1556"/>
        <v>-65000000</v>
      </c>
      <c r="AOU69" s="61">
        <f t="shared" si="1556"/>
        <v>-65000000</v>
      </c>
      <c r="AOV69" s="61">
        <f t="shared" si="1556"/>
        <v>-65000000</v>
      </c>
      <c r="AOW69" s="61">
        <f t="shared" si="1556"/>
        <v>-65000000</v>
      </c>
      <c r="AOX69" s="61">
        <f t="shared" si="1556"/>
        <v>-65000000</v>
      </c>
      <c r="AOY69" s="61">
        <f t="shared" si="1556"/>
        <v>-65000000</v>
      </c>
      <c r="AOZ69" s="61">
        <f t="shared" si="1556"/>
        <v>-65000000</v>
      </c>
      <c r="APA69" s="61">
        <f t="shared" si="1556"/>
        <v>-65000000</v>
      </c>
      <c r="APB69" s="61">
        <f t="shared" si="1556"/>
        <v>-65000000</v>
      </c>
      <c r="APC69" s="61">
        <f t="shared" si="1556"/>
        <v>-65000000</v>
      </c>
      <c r="APD69" s="61">
        <f t="shared" si="1556"/>
        <v>-65000000</v>
      </c>
      <c r="APE69" s="61">
        <f t="shared" si="1556"/>
        <v>-65000000</v>
      </c>
      <c r="APF69" s="61">
        <f t="shared" si="1556"/>
        <v>-65000000</v>
      </c>
      <c r="APG69" s="61">
        <f t="shared" si="1556"/>
        <v>-65000000</v>
      </c>
      <c r="APH69" s="61">
        <f t="shared" si="1556"/>
        <v>-65000000</v>
      </c>
      <c r="API69" s="61">
        <f t="shared" si="1556"/>
        <v>-65000000</v>
      </c>
      <c r="APJ69" s="61">
        <f t="shared" si="1556"/>
        <v>-65000000</v>
      </c>
      <c r="APK69" s="61">
        <f t="shared" si="1556"/>
        <v>-65000000</v>
      </c>
      <c r="APL69" s="61">
        <f t="shared" si="1556"/>
        <v>-65000000</v>
      </c>
      <c r="APM69" s="61">
        <f t="shared" si="1556"/>
        <v>-65000000</v>
      </c>
      <c r="APN69" s="61">
        <f t="shared" si="1556"/>
        <v>-65000000</v>
      </c>
      <c r="APO69" s="61">
        <f t="shared" si="1556"/>
        <v>-65000000</v>
      </c>
      <c r="APP69" s="61">
        <f t="shared" si="1556"/>
        <v>-65000000</v>
      </c>
      <c r="APQ69" s="61">
        <f t="shared" si="1556"/>
        <v>-65000000</v>
      </c>
      <c r="APR69" s="61">
        <f t="shared" si="1556"/>
        <v>-65000000</v>
      </c>
      <c r="APS69" s="61">
        <f t="shared" si="1556"/>
        <v>-65000000</v>
      </c>
      <c r="APT69" s="61">
        <f t="shared" si="1556"/>
        <v>-65000000</v>
      </c>
      <c r="APU69" s="61">
        <f t="shared" si="1556"/>
        <v>-65000000</v>
      </c>
      <c r="APV69" s="61">
        <f t="shared" si="1556"/>
        <v>-65000000</v>
      </c>
      <c r="APW69" s="61">
        <f t="shared" si="1556"/>
        <v>-65000000</v>
      </c>
      <c r="APX69" s="61">
        <f t="shared" si="1556"/>
        <v>-65000000</v>
      </c>
      <c r="APY69" s="61">
        <f t="shared" si="1556"/>
        <v>-65000000</v>
      </c>
      <c r="APZ69" s="61">
        <f t="shared" si="1556"/>
        <v>-65000000</v>
      </c>
      <c r="AQA69" s="61">
        <f t="shared" ref="AQA69:ASL69" si="1557">AQA68-$EC$11-AQA11</f>
        <v>-65000000</v>
      </c>
      <c r="AQB69" s="61">
        <f t="shared" si="1557"/>
        <v>-65000000</v>
      </c>
      <c r="AQC69" s="61">
        <f t="shared" si="1557"/>
        <v>-65000000</v>
      </c>
      <c r="AQD69" s="61">
        <f t="shared" si="1557"/>
        <v>-65000000</v>
      </c>
      <c r="AQE69" s="61">
        <f t="shared" si="1557"/>
        <v>-65000000</v>
      </c>
      <c r="AQF69" s="61">
        <f t="shared" si="1557"/>
        <v>-65000000</v>
      </c>
      <c r="AQG69" s="61">
        <f t="shared" si="1557"/>
        <v>-65000000</v>
      </c>
      <c r="AQH69" s="61">
        <f t="shared" si="1557"/>
        <v>-65000000</v>
      </c>
      <c r="AQI69" s="61">
        <f t="shared" si="1557"/>
        <v>-65000000</v>
      </c>
      <c r="AQJ69" s="61">
        <f t="shared" si="1557"/>
        <v>-65000000</v>
      </c>
      <c r="AQK69" s="61">
        <f t="shared" si="1557"/>
        <v>-65000000</v>
      </c>
      <c r="AQL69" s="61">
        <f t="shared" si="1557"/>
        <v>-65000000</v>
      </c>
      <c r="AQM69" s="61">
        <f t="shared" si="1557"/>
        <v>-65000000</v>
      </c>
      <c r="AQN69" s="61">
        <f t="shared" si="1557"/>
        <v>-65000000</v>
      </c>
      <c r="AQO69" s="61">
        <f t="shared" si="1557"/>
        <v>-65000000</v>
      </c>
      <c r="AQP69" s="61">
        <f t="shared" si="1557"/>
        <v>-65000000</v>
      </c>
      <c r="AQQ69" s="61">
        <f t="shared" si="1557"/>
        <v>-65000000</v>
      </c>
      <c r="AQR69" s="61">
        <f t="shared" si="1557"/>
        <v>-65000000</v>
      </c>
      <c r="AQS69" s="61">
        <f t="shared" si="1557"/>
        <v>-65000000</v>
      </c>
      <c r="AQT69" s="61">
        <f t="shared" si="1557"/>
        <v>-65000000</v>
      </c>
      <c r="AQU69" s="61">
        <f t="shared" si="1557"/>
        <v>-65000000</v>
      </c>
      <c r="AQV69" s="61">
        <f t="shared" si="1557"/>
        <v>-65000000</v>
      </c>
      <c r="AQW69" s="61">
        <f t="shared" si="1557"/>
        <v>-65000000</v>
      </c>
      <c r="AQX69" s="61">
        <f t="shared" si="1557"/>
        <v>-65000000</v>
      </c>
      <c r="AQY69" s="61">
        <f t="shared" si="1557"/>
        <v>-65000000</v>
      </c>
      <c r="AQZ69" s="61">
        <f t="shared" si="1557"/>
        <v>-65000000</v>
      </c>
      <c r="ARA69" s="61">
        <f t="shared" si="1557"/>
        <v>-65000000</v>
      </c>
      <c r="ARB69" s="61">
        <f t="shared" si="1557"/>
        <v>-65000000</v>
      </c>
      <c r="ARC69" s="61">
        <f t="shared" si="1557"/>
        <v>-65000000</v>
      </c>
      <c r="ARD69" s="61">
        <f t="shared" si="1557"/>
        <v>-65000000</v>
      </c>
      <c r="ARE69" s="61">
        <f t="shared" si="1557"/>
        <v>-65000000</v>
      </c>
      <c r="ARF69" s="61">
        <f t="shared" si="1557"/>
        <v>-65000000</v>
      </c>
      <c r="ARG69" s="61">
        <f t="shared" si="1557"/>
        <v>-65000000</v>
      </c>
      <c r="ARH69" s="61">
        <f t="shared" si="1557"/>
        <v>-65000000</v>
      </c>
      <c r="ARI69" s="61">
        <f t="shared" si="1557"/>
        <v>-65000000</v>
      </c>
      <c r="ARJ69" s="61">
        <f t="shared" si="1557"/>
        <v>-65000000</v>
      </c>
      <c r="ARK69" s="61">
        <f t="shared" si="1557"/>
        <v>-65000000</v>
      </c>
      <c r="ARL69" s="61">
        <f t="shared" si="1557"/>
        <v>-65000000</v>
      </c>
      <c r="ARM69" s="61">
        <f t="shared" si="1557"/>
        <v>-65000000</v>
      </c>
      <c r="ARN69" s="61">
        <f t="shared" si="1557"/>
        <v>-65000000</v>
      </c>
      <c r="ARO69" s="61">
        <f t="shared" si="1557"/>
        <v>-65000000</v>
      </c>
      <c r="ARP69" s="61">
        <f t="shared" si="1557"/>
        <v>-65000000</v>
      </c>
      <c r="ARQ69" s="61">
        <f t="shared" si="1557"/>
        <v>-65000000</v>
      </c>
      <c r="ARR69" s="61">
        <f t="shared" si="1557"/>
        <v>-65000000</v>
      </c>
      <c r="ARS69" s="61">
        <f t="shared" si="1557"/>
        <v>-65000000</v>
      </c>
      <c r="ART69" s="61">
        <f t="shared" si="1557"/>
        <v>-65000000</v>
      </c>
      <c r="ARU69" s="61">
        <f t="shared" si="1557"/>
        <v>-65000000</v>
      </c>
      <c r="ARV69" s="61">
        <f t="shared" si="1557"/>
        <v>-65000000</v>
      </c>
      <c r="ARW69" s="61">
        <f t="shared" si="1557"/>
        <v>-65000000</v>
      </c>
      <c r="ARX69" s="61">
        <f t="shared" si="1557"/>
        <v>-65000000</v>
      </c>
      <c r="ARY69" s="61">
        <f t="shared" si="1557"/>
        <v>-65000000</v>
      </c>
      <c r="ARZ69" s="61">
        <f t="shared" si="1557"/>
        <v>-65000000</v>
      </c>
      <c r="ASA69" s="61">
        <f t="shared" si="1557"/>
        <v>-65000000</v>
      </c>
      <c r="ASB69" s="61">
        <f t="shared" si="1557"/>
        <v>-65000000</v>
      </c>
      <c r="ASC69" s="61">
        <f t="shared" si="1557"/>
        <v>-65000000</v>
      </c>
      <c r="ASD69" s="61">
        <f t="shared" si="1557"/>
        <v>-65000000</v>
      </c>
      <c r="ASE69" s="61">
        <f t="shared" si="1557"/>
        <v>-65000000</v>
      </c>
      <c r="ASF69" s="61">
        <f t="shared" si="1557"/>
        <v>-65000000</v>
      </c>
      <c r="ASG69" s="61">
        <f t="shared" si="1557"/>
        <v>-65000000</v>
      </c>
      <c r="ASH69" s="61">
        <f t="shared" si="1557"/>
        <v>-65000000</v>
      </c>
      <c r="ASI69" s="61">
        <f t="shared" si="1557"/>
        <v>-65000000</v>
      </c>
      <c r="ASJ69" s="61">
        <f t="shared" si="1557"/>
        <v>-65000000</v>
      </c>
      <c r="ASK69" s="61">
        <f t="shared" si="1557"/>
        <v>-65000000</v>
      </c>
      <c r="ASL69" s="61">
        <f t="shared" si="1557"/>
        <v>-65000000</v>
      </c>
      <c r="ASM69" s="61">
        <f t="shared" ref="ASM69:AUX69" si="1558">ASM68-$EC$11-ASM11</f>
        <v>-65000000</v>
      </c>
      <c r="ASN69" s="61">
        <f t="shared" si="1558"/>
        <v>-65000000</v>
      </c>
      <c r="ASO69" s="61">
        <f t="shared" si="1558"/>
        <v>-65000000</v>
      </c>
      <c r="ASP69" s="61">
        <f t="shared" si="1558"/>
        <v>-65000000</v>
      </c>
      <c r="ASQ69" s="61">
        <f t="shared" si="1558"/>
        <v>-65000000</v>
      </c>
      <c r="ASR69" s="61">
        <f t="shared" si="1558"/>
        <v>-65000000</v>
      </c>
      <c r="ASS69" s="61">
        <f t="shared" si="1558"/>
        <v>-65000000</v>
      </c>
      <c r="AST69" s="61">
        <f t="shared" si="1558"/>
        <v>-65000000</v>
      </c>
      <c r="ASU69" s="61">
        <f t="shared" si="1558"/>
        <v>-65000000</v>
      </c>
      <c r="ASV69" s="61">
        <f t="shared" si="1558"/>
        <v>-65000000</v>
      </c>
      <c r="ASW69" s="61">
        <f t="shared" si="1558"/>
        <v>-65000000</v>
      </c>
      <c r="ASX69" s="61">
        <f t="shared" si="1558"/>
        <v>-65000000</v>
      </c>
      <c r="ASY69" s="61">
        <f t="shared" si="1558"/>
        <v>-65000000</v>
      </c>
      <c r="ASZ69" s="61">
        <f t="shared" si="1558"/>
        <v>-65000000</v>
      </c>
      <c r="ATA69" s="61">
        <f t="shared" si="1558"/>
        <v>-65000000</v>
      </c>
      <c r="ATB69" s="61">
        <f t="shared" si="1558"/>
        <v>-65000000</v>
      </c>
      <c r="ATC69" s="61">
        <f t="shared" si="1558"/>
        <v>-65000000</v>
      </c>
      <c r="ATD69" s="61">
        <f t="shared" si="1558"/>
        <v>-65000000</v>
      </c>
      <c r="ATE69" s="61">
        <f t="shared" si="1558"/>
        <v>-65000000</v>
      </c>
      <c r="ATF69" s="61">
        <f t="shared" si="1558"/>
        <v>-65000000</v>
      </c>
      <c r="ATG69" s="61">
        <f t="shared" si="1558"/>
        <v>-65000000</v>
      </c>
      <c r="ATH69" s="61">
        <f t="shared" si="1558"/>
        <v>-65000000</v>
      </c>
      <c r="ATI69" s="61">
        <f t="shared" si="1558"/>
        <v>-65000000</v>
      </c>
      <c r="ATJ69" s="61">
        <f t="shared" si="1558"/>
        <v>-65000000</v>
      </c>
      <c r="ATK69" s="61">
        <f t="shared" si="1558"/>
        <v>-65000000</v>
      </c>
      <c r="ATL69" s="61">
        <f t="shared" si="1558"/>
        <v>-65000000</v>
      </c>
      <c r="ATM69" s="61">
        <f t="shared" si="1558"/>
        <v>-65000000</v>
      </c>
      <c r="ATN69" s="61">
        <f t="shared" si="1558"/>
        <v>-65000000</v>
      </c>
      <c r="ATO69" s="61">
        <f t="shared" si="1558"/>
        <v>-65000000</v>
      </c>
      <c r="ATP69" s="61">
        <f t="shared" si="1558"/>
        <v>-65000000</v>
      </c>
      <c r="ATQ69" s="61">
        <f t="shared" si="1558"/>
        <v>-65000000</v>
      </c>
      <c r="ATR69" s="61">
        <f t="shared" si="1558"/>
        <v>-65000000</v>
      </c>
      <c r="ATS69" s="61">
        <f t="shared" si="1558"/>
        <v>-65000000</v>
      </c>
      <c r="ATT69" s="61">
        <f t="shared" si="1558"/>
        <v>-65000000</v>
      </c>
      <c r="ATU69" s="61">
        <f t="shared" si="1558"/>
        <v>-65000000</v>
      </c>
      <c r="ATV69" s="61">
        <f t="shared" si="1558"/>
        <v>-65000000</v>
      </c>
      <c r="ATW69" s="61">
        <f t="shared" si="1558"/>
        <v>-65000000</v>
      </c>
      <c r="ATX69" s="61">
        <f t="shared" si="1558"/>
        <v>-65000000</v>
      </c>
      <c r="ATY69" s="61">
        <f t="shared" si="1558"/>
        <v>-65000000</v>
      </c>
      <c r="ATZ69" s="61">
        <f t="shared" si="1558"/>
        <v>-65000000</v>
      </c>
      <c r="AUA69" s="61">
        <f t="shared" si="1558"/>
        <v>-65000000</v>
      </c>
      <c r="AUB69" s="61">
        <f t="shared" si="1558"/>
        <v>-65000000</v>
      </c>
      <c r="AUC69" s="61">
        <f t="shared" si="1558"/>
        <v>-65000000</v>
      </c>
      <c r="AUD69" s="61">
        <f t="shared" si="1558"/>
        <v>-65000000</v>
      </c>
      <c r="AUE69" s="61">
        <f t="shared" si="1558"/>
        <v>-65000000</v>
      </c>
      <c r="AUF69" s="61">
        <f t="shared" si="1558"/>
        <v>-65000000</v>
      </c>
      <c r="AUG69" s="61">
        <f t="shared" si="1558"/>
        <v>-65000000</v>
      </c>
      <c r="AUH69" s="61">
        <f t="shared" si="1558"/>
        <v>-65000000</v>
      </c>
      <c r="AUI69" s="61">
        <f t="shared" si="1558"/>
        <v>-65000000</v>
      </c>
      <c r="AUJ69" s="61">
        <f t="shared" si="1558"/>
        <v>-65000000</v>
      </c>
      <c r="AUK69" s="61">
        <f t="shared" si="1558"/>
        <v>-65000000</v>
      </c>
      <c r="AUL69" s="61">
        <f t="shared" si="1558"/>
        <v>-65000000</v>
      </c>
      <c r="AUM69" s="61">
        <f t="shared" si="1558"/>
        <v>-65000000</v>
      </c>
      <c r="AUN69" s="61">
        <f t="shared" si="1558"/>
        <v>-65000000</v>
      </c>
      <c r="AUO69" s="61">
        <f t="shared" si="1558"/>
        <v>-65000000</v>
      </c>
      <c r="AUP69" s="61">
        <f t="shared" si="1558"/>
        <v>-65000000</v>
      </c>
      <c r="AUQ69" s="61">
        <f t="shared" si="1558"/>
        <v>-65000000</v>
      </c>
      <c r="AUR69" s="61">
        <f t="shared" si="1558"/>
        <v>-65000000</v>
      </c>
      <c r="AUS69" s="61">
        <f t="shared" si="1558"/>
        <v>-65000000</v>
      </c>
      <c r="AUT69" s="61">
        <f t="shared" si="1558"/>
        <v>-65000000</v>
      </c>
      <c r="AUU69" s="61">
        <f t="shared" si="1558"/>
        <v>-65000000</v>
      </c>
      <c r="AUV69" s="61">
        <f t="shared" si="1558"/>
        <v>-65000000</v>
      </c>
      <c r="AUW69" s="61">
        <f t="shared" si="1558"/>
        <v>-65000000</v>
      </c>
      <c r="AUX69" s="61">
        <f t="shared" si="1558"/>
        <v>-65000000</v>
      </c>
      <c r="AUY69" s="61">
        <f t="shared" ref="AUY69:AXJ69" si="1559">AUY68-$EC$11-AUY11</f>
        <v>-65000000</v>
      </c>
      <c r="AUZ69" s="61">
        <f t="shared" si="1559"/>
        <v>-65000000</v>
      </c>
      <c r="AVA69" s="61">
        <f t="shared" si="1559"/>
        <v>-65000000</v>
      </c>
      <c r="AVB69" s="61">
        <f t="shared" si="1559"/>
        <v>-65000000</v>
      </c>
      <c r="AVC69" s="61">
        <f t="shared" si="1559"/>
        <v>-65000000</v>
      </c>
      <c r="AVD69" s="61">
        <f t="shared" si="1559"/>
        <v>-65000000</v>
      </c>
      <c r="AVE69" s="61">
        <f t="shared" si="1559"/>
        <v>-65000000</v>
      </c>
      <c r="AVF69" s="61">
        <f t="shared" si="1559"/>
        <v>-65000000</v>
      </c>
      <c r="AVG69" s="61">
        <f t="shared" si="1559"/>
        <v>-65000000</v>
      </c>
      <c r="AVH69" s="61">
        <f t="shared" si="1559"/>
        <v>-65000000</v>
      </c>
      <c r="AVI69" s="61">
        <f t="shared" si="1559"/>
        <v>-65000000</v>
      </c>
      <c r="AVJ69" s="61">
        <f t="shared" si="1559"/>
        <v>-65000000</v>
      </c>
      <c r="AVK69" s="61">
        <f t="shared" si="1559"/>
        <v>-65000000</v>
      </c>
      <c r="AVL69" s="61">
        <f t="shared" si="1559"/>
        <v>-65000000</v>
      </c>
      <c r="AVM69" s="61">
        <f t="shared" si="1559"/>
        <v>-65000000</v>
      </c>
      <c r="AVN69" s="61">
        <f t="shared" si="1559"/>
        <v>-65000000</v>
      </c>
      <c r="AVO69" s="61">
        <f t="shared" si="1559"/>
        <v>-65000000</v>
      </c>
      <c r="AVP69" s="61">
        <f t="shared" si="1559"/>
        <v>-65000000</v>
      </c>
      <c r="AVQ69" s="61">
        <f t="shared" si="1559"/>
        <v>-65000000</v>
      </c>
      <c r="AVR69" s="61">
        <f t="shared" si="1559"/>
        <v>-65000000</v>
      </c>
      <c r="AVS69" s="61">
        <f t="shared" si="1559"/>
        <v>-65000000</v>
      </c>
      <c r="AVT69" s="61">
        <f t="shared" si="1559"/>
        <v>-65000000</v>
      </c>
      <c r="AVU69" s="61">
        <f t="shared" si="1559"/>
        <v>-65000000</v>
      </c>
      <c r="AVV69" s="61">
        <f t="shared" si="1559"/>
        <v>-65000000</v>
      </c>
      <c r="AVW69" s="61">
        <f t="shared" si="1559"/>
        <v>-65000000</v>
      </c>
      <c r="AVX69" s="61">
        <f t="shared" si="1559"/>
        <v>-65000000</v>
      </c>
      <c r="AVY69" s="61">
        <f t="shared" si="1559"/>
        <v>-65000000</v>
      </c>
      <c r="AVZ69" s="61">
        <f t="shared" si="1559"/>
        <v>-65000000</v>
      </c>
      <c r="AWA69" s="61">
        <f t="shared" si="1559"/>
        <v>-65000000</v>
      </c>
      <c r="AWB69" s="61">
        <f t="shared" si="1559"/>
        <v>-65000000</v>
      </c>
      <c r="AWC69" s="61">
        <f t="shared" si="1559"/>
        <v>-65000000</v>
      </c>
      <c r="AWD69" s="61">
        <f t="shared" si="1559"/>
        <v>-65000000</v>
      </c>
      <c r="AWE69" s="61">
        <f t="shared" si="1559"/>
        <v>-65000000</v>
      </c>
      <c r="AWF69" s="61">
        <f t="shared" si="1559"/>
        <v>-65000000</v>
      </c>
      <c r="AWG69" s="61">
        <f t="shared" si="1559"/>
        <v>-65000000</v>
      </c>
      <c r="AWH69" s="61">
        <f t="shared" si="1559"/>
        <v>-65000000</v>
      </c>
      <c r="AWI69" s="61">
        <f t="shared" si="1559"/>
        <v>-65000000</v>
      </c>
      <c r="AWJ69" s="61">
        <f t="shared" si="1559"/>
        <v>-65000000</v>
      </c>
      <c r="AWK69" s="61">
        <f t="shared" si="1559"/>
        <v>-65000000</v>
      </c>
      <c r="AWL69" s="61">
        <f t="shared" si="1559"/>
        <v>-65000000</v>
      </c>
      <c r="AWM69" s="61">
        <f t="shared" si="1559"/>
        <v>-65000000</v>
      </c>
      <c r="AWN69" s="61">
        <f t="shared" si="1559"/>
        <v>-65000000</v>
      </c>
      <c r="AWO69" s="61">
        <f t="shared" si="1559"/>
        <v>-65000000</v>
      </c>
      <c r="AWP69" s="61">
        <f t="shared" si="1559"/>
        <v>-65000000</v>
      </c>
      <c r="AWQ69" s="61">
        <f t="shared" si="1559"/>
        <v>-65000000</v>
      </c>
      <c r="AWR69" s="61">
        <f t="shared" si="1559"/>
        <v>-65000000</v>
      </c>
      <c r="AWS69" s="61">
        <f t="shared" si="1559"/>
        <v>-65000000</v>
      </c>
      <c r="AWT69" s="61">
        <f t="shared" si="1559"/>
        <v>-65000000</v>
      </c>
      <c r="AWU69" s="61">
        <f t="shared" si="1559"/>
        <v>-65000000</v>
      </c>
      <c r="AWV69" s="61">
        <f t="shared" si="1559"/>
        <v>-65000000</v>
      </c>
      <c r="AWW69" s="61">
        <f t="shared" si="1559"/>
        <v>-65000000</v>
      </c>
      <c r="AWX69" s="61">
        <f t="shared" si="1559"/>
        <v>-65000000</v>
      </c>
      <c r="AWY69" s="61">
        <f t="shared" si="1559"/>
        <v>-65000000</v>
      </c>
      <c r="AWZ69" s="61">
        <f t="shared" si="1559"/>
        <v>-65000000</v>
      </c>
      <c r="AXA69" s="61">
        <f t="shared" si="1559"/>
        <v>-65000000</v>
      </c>
      <c r="AXB69" s="61">
        <f t="shared" si="1559"/>
        <v>-65000000</v>
      </c>
      <c r="AXC69" s="61">
        <f t="shared" si="1559"/>
        <v>-65000000</v>
      </c>
      <c r="AXD69" s="61">
        <f t="shared" si="1559"/>
        <v>-65000000</v>
      </c>
      <c r="AXE69" s="61">
        <f t="shared" si="1559"/>
        <v>-65000000</v>
      </c>
      <c r="AXF69" s="61">
        <f t="shared" si="1559"/>
        <v>-65000000</v>
      </c>
      <c r="AXG69" s="61">
        <f t="shared" si="1559"/>
        <v>-65000000</v>
      </c>
      <c r="AXH69" s="61">
        <f t="shared" si="1559"/>
        <v>-65000000</v>
      </c>
      <c r="AXI69" s="61">
        <f t="shared" si="1559"/>
        <v>-65000000</v>
      </c>
      <c r="AXJ69" s="61">
        <f t="shared" si="1559"/>
        <v>-65000000</v>
      </c>
      <c r="AXK69" s="61">
        <f t="shared" ref="AXK69:AZV69" si="1560">AXK68-$EC$11-AXK11</f>
        <v>-65000000</v>
      </c>
      <c r="AXL69" s="61">
        <f t="shared" si="1560"/>
        <v>-65000000</v>
      </c>
      <c r="AXM69" s="61">
        <f t="shared" si="1560"/>
        <v>-65000000</v>
      </c>
      <c r="AXN69" s="61">
        <f t="shared" si="1560"/>
        <v>-65000000</v>
      </c>
      <c r="AXO69" s="61">
        <f t="shared" si="1560"/>
        <v>-65000000</v>
      </c>
      <c r="AXP69" s="61">
        <f t="shared" si="1560"/>
        <v>-65000000</v>
      </c>
      <c r="AXQ69" s="61">
        <f t="shared" si="1560"/>
        <v>-65000000</v>
      </c>
      <c r="AXR69" s="61">
        <f t="shared" si="1560"/>
        <v>-65000000</v>
      </c>
      <c r="AXS69" s="61">
        <f t="shared" si="1560"/>
        <v>-65000000</v>
      </c>
      <c r="AXT69" s="61">
        <f t="shared" si="1560"/>
        <v>-65000000</v>
      </c>
      <c r="AXU69" s="61">
        <f t="shared" si="1560"/>
        <v>-65000000</v>
      </c>
      <c r="AXV69" s="61">
        <f t="shared" si="1560"/>
        <v>-65000000</v>
      </c>
      <c r="AXW69" s="61">
        <f t="shared" si="1560"/>
        <v>-65000000</v>
      </c>
      <c r="AXX69" s="61">
        <f t="shared" si="1560"/>
        <v>-65000000</v>
      </c>
      <c r="AXY69" s="61">
        <f t="shared" si="1560"/>
        <v>-65000000</v>
      </c>
      <c r="AXZ69" s="61">
        <f t="shared" si="1560"/>
        <v>-65000000</v>
      </c>
      <c r="AYA69" s="61">
        <f t="shared" si="1560"/>
        <v>-65000000</v>
      </c>
      <c r="AYB69" s="61">
        <f t="shared" si="1560"/>
        <v>-65000000</v>
      </c>
      <c r="AYC69" s="61">
        <f t="shared" si="1560"/>
        <v>-65000000</v>
      </c>
      <c r="AYD69" s="61">
        <f t="shared" si="1560"/>
        <v>-65000000</v>
      </c>
      <c r="AYE69" s="61">
        <f t="shared" si="1560"/>
        <v>-65000000</v>
      </c>
      <c r="AYF69" s="61">
        <f t="shared" si="1560"/>
        <v>-65000000</v>
      </c>
      <c r="AYG69" s="61">
        <f t="shared" si="1560"/>
        <v>-65000000</v>
      </c>
      <c r="AYH69" s="61">
        <f t="shared" si="1560"/>
        <v>-65000000</v>
      </c>
      <c r="AYI69" s="61">
        <f t="shared" si="1560"/>
        <v>-65000000</v>
      </c>
      <c r="AYJ69" s="61">
        <f t="shared" si="1560"/>
        <v>-65000000</v>
      </c>
      <c r="AYK69" s="61">
        <f t="shared" si="1560"/>
        <v>-65000000</v>
      </c>
      <c r="AYL69" s="61">
        <f t="shared" si="1560"/>
        <v>-65000000</v>
      </c>
      <c r="AYM69" s="61">
        <f t="shared" si="1560"/>
        <v>-65000000</v>
      </c>
      <c r="AYN69" s="61">
        <f t="shared" si="1560"/>
        <v>-65000000</v>
      </c>
      <c r="AYO69" s="61">
        <f t="shared" si="1560"/>
        <v>-65000000</v>
      </c>
      <c r="AYP69" s="61">
        <f t="shared" si="1560"/>
        <v>-65000000</v>
      </c>
      <c r="AYQ69" s="61">
        <f t="shared" si="1560"/>
        <v>-65000000</v>
      </c>
      <c r="AYR69" s="61">
        <f t="shared" si="1560"/>
        <v>-65000000</v>
      </c>
      <c r="AYS69" s="61">
        <f t="shared" si="1560"/>
        <v>-65000000</v>
      </c>
      <c r="AYT69" s="61">
        <f t="shared" si="1560"/>
        <v>-65000000</v>
      </c>
      <c r="AYU69" s="61">
        <f t="shared" si="1560"/>
        <v>-65000000</v>
      </c>
      <c r="AYV69" s="61">
        <f t="shared" si="1560"/>
        <v>-65000000</v>
      </c>
      <c r="AYW69" s="61">
        <f t="shared" si="1560"/>
        <v>-65000000</v>
      </c>
      <c r="AYX69" s="61">
        <f t="shared" si="1560"/>
        <v>-65000000</v>
      </c>
      <c r="AYY69" s="61">
        <f t="shared" si="1560"/>
        <v>-65000000</v>
      </c>
      <c r="AYZ69" s="61">
        <f t="shared" si="1560"/>
        <v>-65000000</v>
      </c>
      <c r="AZA69" s="61">
        <f t="shared" si="1560"/>
        <v>-65000000</v>
      </c>
      <c r="AZB69" s="61">
        <f t="shared" si="1560"/>
        <v>-65000000</v>
      </c>
      <c r="AZC69" s="61">
        <f t="shared" si="1560"/>
        <v>-65000000</v>
      </c>
      <c r="AZD69" s="61">
        <f t="shared" si="1560"/>
        <v>-65000000</v>
      </c>
      <c r="AZE69" s="61">
        <f t="shared" si="1560"/>
        <v>-65000000</v>
      </c>
      <c r="AZF69" s="61">
        <f t="shared" si="1560"/>
        <v>-65000000</v>
      </c>
      <c r="AZG69" s="61">
        <f t="shared" si="1560"/>
        <v>-65000000</v>
      </c>
      <c r="AZH69" s="61">
        <f t="shared" si="1560"/>
        <v>-65000000</v>
      </c>
      <c r="AZI69" s="61">
        <f t="shared" si="1560"/>
        <v>-65000000</v>
      </c>
      <c r="AZJ69" s="61">
        <f t="shared" si="1560"/>
        <v>-65000000</v>
      </c>
      <c r="AZK69" s="61">
        <f t="shared" si="1560"/>
        <v>-65000000</v>
      </c>
      <c r="AZL69" s="61">
        <f t="shared" si="1560"/>
        <v>-65000000</v>
      </c>
      <c r="AZM69" s="61">
        <f t="shared" si="1560"/>
        <v>-65000000</v>
      </c>
      <c r="AZN69" s="61">
        <f t="shared" si="1560"/>
        <v>-65000000</v>
      </c>
      <c r="AZO69" s="61">
        <f t="shared" si="1560"/>
        <v>-65000000</v>
      </c>
      <c r="AZP69" s="61">
        <f t="shared" si="1560"/>
        <v>-65000000</v>
      </c>
      <c r="AZQ69" s="61">
        <f t="shared" si="1560"/>
        <v>-65000000</v>
      </c>
      <c r="AZR69" s="61">
        <f t="shared" si="1560"/>
        <v>-65000000</v>
      </c>
      <c r="AZS69" s="61">
        <f t="shared" si="1560"/>
        <v>-65000000</v>
      </c>
      <c r="AZT69" s="61">
        <f t="shared" si="1560"/>
        <v>-65000000</v>
      </c>
      <c r="AZU69" s="61">
        <f t="shared" si="1560"/>
        <v>-65000000</v>
      </c>
      <c r="AZV69" s="61">
        <f t="shared" si="1560"/>
        <v>-65000000</v>
      </c>
      <c r="AZW69" s="61">
        <f t="shared" ref="AZW69:BCH69" si="1561">AZW68-$EC$11-AZW11</f>
        <v>-65000000</v>
      </c>
      <c r="AZX69" s="61">
        <f t="shared" si="1561"/>
        <v>-65000000</v>
      </c>
      <c r="AZY69" s="61">
        <f t="shared" si="1561"/>
        <v>-65000000</v>
      </c>
      <c r="AZZ69" s="61">
        <f t="shared" si="1561"/>
        <v>-65000000</v>
      </c>
      <c r="BAA69" s="61">
        <f t="shared" si="1561"/>
        <v>-65000000</v>
      </c>
      <c r="BAB69" s="61">
        <f t="shared" si="1561"/>
        <v>-65000000</v>
      </c>
      <c r="BAC69" s="61">
        <f t="shared" si="1561"/>
        <v>-65000000</v>
      </c>
      <c r="BAD69" s="61">
        <f t="shared" si="1561"/>
        <v>-65000000</v>
      </c>
      <c r="BAE69" s="61">
        <f t="shared" si="1561"/>
        <v>-65000000</v>
      </c>
      <c r="BAF69" s="61">
        <f t="shared" si="1561"/>
        <v>-65000000</v>
      </c>
      <c r="BAG69" s="61">
        <f t="shared" si="1561"/>
        <v>-65000000</v>
      </c>
      <c r="BAH69" s="61">
        <f t="shared" si="1561"/>
        <v>-65000000</v>
      </c>
      <c r="BAI69" s="61">
        <f t="shared" si="1561"/>
        <v>-65000000</v>
      </c>
      <c r="BAJ69" s="61">
        <f t="shared" si="1561"/>
        <v>-65000000</v>
      </c>
      <c r="BAK69" s="61">
        <f t="shared" si="1561"/>
        <v>-65000000</v>
      </c>
      <c r="BAL69" s="61">
        <f t="shared" si="1561"/>
        <v>-65000000</v>
      </c>
      <c r="BAM69" s="61">
        <f t="shared" si="1561"/>
        <v>-65000000</v>
      </c>
      <c r="BAN69" s="61">
        <f t="shared" si="1561"/>
        <v>-65000000</v>
      </c>
      <c r="BAO69" s="61">
        <f t="shared" si="1561"/>
        <v>-65000000</v>
      </c>
      <c r="BAP69" s="61">
        <f t="shared" si="1561"/>
        <v>-65000000</v>
      </c>
      <c r="BAQ69" s="61">
        <f t="shared" si="1561"/>
        <v>-65000000</v>
      </c>
      <c r="BAR69" s="61">
        <f t="shared" si="1561"/>
        <v>-65000000</v>
      </c>
      <c r="BAS69" s="61">
        <f t="shared" si="1561"/>
        <v>-65000000</v>
      </c>
      <c r="BAT69" s="61">
        <f t="shared" si="1561"/>
        <v>-65000000</v>
      </c>
      <c r="BAU69" s="61">
        <f t="shared" si="1561"/>
        <v>-65000000</v>
      </c>
      <c r="BAV69" s="61">
        <f t="shared" si="1561"/>
        <v>-65000000</v>
      </c>
      <c r="BAW69" s="61">
        <f t="shared" si="1561"/>
        <v>-65000000</v>
      </c>
      <c r="BAX69" s="61">
        <f t="shared" si="1561"/>
        <v>-65000000</v>
      </c>
      <c r="BAY69" s="61">
        <f t="shared" si="1561"/>
        <v>-65000000</v>
      </c>
      <c r="BAZ69" s="61">
        <f t="shared" si="1561"/>
        <v>-65000000</v>
      </c>
      <c r="BBA69" s="61">
        <f t="shared" si="1561"/>
        <v>-65000000</v>
      </c>
      <c r="BBB69" s="61">
        <f t="shared" si="1561"/>
        <v>-65000000</v>
      </c>
      <c r="BBC69" s="61">
        <f t="shared" si="1561"/>
        <v>-65000000</v>
      </c>
      <c r="BBD69" s="61">
        <f t="shared" si="1561"/>
        <v>-65000000</v>
      </c>
      <c r="BBE69" s="61">
        <f t="shared" si="1561"/>
        <v>-65000000</v>
      </c>
      <c r="BBF69" s="61">
        <f t="shared" si="1561"/>
        <v>-65000000</v>
      </c>
      <c r="BBG69" s="61">
        <f t="shared" si="1561"/>
        <v>-65000000</v>
      </c>
      <c r="BBH69" s="61">
        <f t="shared" si="1561"/>
        <v>-65000000</v>
      </c>
      <c r="BBI69" s="61">
        <f t="shared" si="1561"/>
        <v>-65000000</v>
      </c>
      <c r="BBJ69" s="61">
        <f t="shared" si="1561"/>
        <v>-65000000</v>
      </c>
      <c r="BBK69" s="61">
        <f t="shared" si="1561"/>
        <v>-65000000</v>
      </c>
      <c r="BBL69" s="61">
        <f t="shared" si="1561"/>
        <v>-65000000</v>
      </c>
      <c r="BBM69" s="61">
        <f t="shared" si="1561"/>
        <v>-65000000</v>
      </c>
      <c r="BBN69" s="61">
        <f t="shared" si="1561"/>
        <v>-65000000</v>
      </c>
      <c r="BBO69" s="61">
        <f t="shared" si="1561"/>
        <v>-65000000</v>
      </c>
      <c r="BBP69" s="61">
        <f t="shared" si="1561"/>
        <v>-65000000</v>
      </c>
      <c r="BBQ69" s="61">
        <f t="shared" si="1561"/>
        <v>-65000000</v>
      </c>
      <c r="BBR69" s="61">
        <f t="shared" si="1561"/>
        <v>-65000000</v>
      </c>
      <c r="BBS69" s="61">
        <f t="shared" si="1561"/>
        <v>-65000000</v>
      </c>
      <c r="BBT69" s="61">
        <f t="shared" si="1561"/>
        <v>-65000000</v>
      </c>
      <c r="BBU69" s="61">
        <f t="shared" si="1561"/>
        <v>-65000000</v>
      </c>
      <c r="BBV69" s="61">
        <f t="shared" si="1561"/>
        <v>-65000000</v>
      </c>
      <c r="BBW69" s="61">
        <f t="shared" si="1561"/>
        <v>-65000000</v>
      </c>
      <c r="BBX69" s="61">
        <f t="shared" si="1561"/>
        <v>-65000000</v>
      </c>
      <c r="BBY69" s="61">
        <f t="shared" si="1561"/>
        <v>-65000000</v>
      </c>
      <c r="BBZ69" s="61">
        <f t="shared" si="1561"/>
        <v>-65000000</v>
      </c>
      <c r="BCA69" s="61">
        <f t="shared" si="1561"/>
        <v>-65000000</v>
      </c>
      <c r="BCB69" s="61">
        <f t="shared" si="1561"/>
        <v>-65000000</v>
      </c>
      <c r="BCC69" s="61">
        <f t="shared" si="1561"/>
        <v>-65000000</v>
      </c>
      <c r="BCD69" s="61">
        <f t="shared" si="1561"/>
        <v>-65000000</v>
      </c>
      <c r="BCE69" s="61">
        <f t="shared" si="1561"/>
        <v>-65000000</v>
      </c>
      <c r="BCF69" s="61">
        <f t="shared" si="1561"/>
        <v>-65000000</v>
      </c>
      <c r="BCG69" s="61">
        <f t="shared" si="1561"/>
        <v>-65000000</v>
      </c>
      <c r="BCH69" s="61">
        <f t="shared" si="1561"/>
        <v>-65000000</v>
      </c>
      <c r="BCI69" s="61">
        <f t="shared" ref="BCI69:BET69" si="1562">BCI68-$EC$11-BCI11</f>
        <v>-65000000</v>
      </c>
      <c r="BCJ69" s="61">
        <f t="shared" si="1562"/>
        <v>-65000000</v>
      </c>
      <c r="BCK69" s="61">
        <f t="shared" si="1562"/>
        <v>-65000000</v>
      </c>
      <c r="BCL69" s="61">
        <f t="shared" si="1562"/>
        <v>-65000000</v>
      </c>
      <c r="BCM69" s="61">
        <f t="shared" si="1562"/>
        <v>-65000000</v>
      </c>
      <c r="BCN69" s="61">
        <f t="shared" si="1562"/>
        <v>-65000000</v>
      </c>
      <c r="BCO69" s="61">
        <f t="shared" si="1562"/>
        <v>-65000000</v>
      </c>
      <c r="BCP69" s="61">
        <f t="shared" si="1562"/>
        <v>-65000000</v>
      </c>
      <c r="BCQ69" s="61">
        <f t="shared" si="1562"/>
        <v>-65000000</v>
      </c>
      <c r="BCR69" s="61">
        <f t="shared" si="1562"/>
        <v>-65000000</v>
      </c>
      <c r="BCS69" s="61">
        <f t="shared" si="1562"/>
        <v>-65000000</v>
      </c>
      <c r="BCT69" s="61">
        <f t="shared" si="1562"/>
        <v>-65000000</v>
      </c>
      <c r="BCU69" s="61">
        <f t="shared" si="1562"/>
        <v>-65000000</v>
      </c>
      <c r="BCV69" s="61">
        <f t="shared" si="1562"/>
        <v>-65000000</v>
      </c>
      <c r="BCW69" s="61">
        <f t="shared" si="1562"/>
        <v>-65000000</v>
      </c>
      <c r="BCX69" s="61">
        <f t="shared" si="1562"/>
        <v>-65000000</v>
      </c>
      <c r="BCY69" s="61">
        <f t="shared" si="1562"/>
        <v>-65000000</v>
      </c>
      <c r="BCZ69" s="61">
        <f t="shared" si="1562"/>
        <v>-65000000</v>
      </c>
      <c r="BDA69" s="61">
        <f t="shared" si="1562"/>
        <v>-65000000</v>
      </c>
      <c r="BDB69" s="61">
        <f t="shared" si="1562"/>
        <v>-65000000</v>
      </c>
      <c r="BDC69" s="61">
        <f t="shared" si="1562"/>
        <v>-65000000</v>
      </c>
      <c r="BDD69" s="61">
        <f t="shared" si="1562"/>
        <v>-65000000</v>
      </c>
      <c r="BDE69" s="61">
        <f t="shared" si="1562"/>
        <v>-65000000</v>
      </c>
      <c r="BDF69" s="61">
        <f t="shared" si="1562"/>
        <v>-65000000</v>
      </c>
      <c r="BDG69" s="61">
        <f t="shared" si="1562"/>
        <v>-65000000</v>
      </c>
      <c r="BDH69" s="61">
        <f t="shared" si="1562"/>
        <v>-65000000</v>
      </c>
      <c r="BDI69" s="61">
        <f t="shared" si="1562"/>
        <v>-65000000</v>
      </c>
      <c r="BDJ69" s="61">
        <f t="shared" si="1562"/>
        <v>-65000000</v>
      </c>
      <c r="BDK69" s="61">
        <f t="shared" si="1562"/>
        <v>-65000000</v>
      </c>
      <c r="BDL69" s="61">
        <f t="shared" si="1562"/>
        <v>-65000000</v>
      </c>
      <c r="BDM69" s="61">
        <f t="shared" si="1562"/>
        <v>-65000000</v>
      </c>
      <c r="BDN69" s="61">
        <f t="shared" si="1562"/>
        <v>-65000000</v>
      </c>
      <c r="BDO69" s="61">
        <f t="shared" si="1562"/>
        <v>-65000000</v>
      </c>
      <c r="BDP69" s="61">
        <f t="shared" si="1562"/>
        <v>-65000000</v>
      </c>
      <c r="BDQ69" s="61">
        <f t="shared" si="1562"/>
        <v>-65000000</v>
      </c>
      <c r="BDR69" s="61">
        <f t="shared" si="1562"/>
        <v>-65000000</v>
      </c>
      <c r="BDS69" s="61">
        <f t="shared" si="1562"/>
        <v>-65000000</v>
      </c>
      <c r="BDT69" s="61">
        <f t="shared" si="1562"/>
        <v>-65000000</v>
      </c>
      <c r="BDU69" s="61">
        <f t="shared" si="1562"/>
        <v>-65000000</v>
      </c>
      <c r="BDV69" s="61">
        <f t="shared" si="1562"/>
        <v>-65000000</v>
      </c>
      <c r="BDW69" s="61">
        <f t="shared" si="1562"/>
        <v>-65000000</v>
      </c>
      <c r="BDX69" s="61">
        <f t="shared" si="1562"/>
        <v>-65000000</v>
      </c>
      <c r="BDY69" s="61">
        <f t="shared" si="1562"/>
        <v>-65000000</v>
      </c>
      <c r="BDZ69" s="61">
        <f t="shared" si="1562"/>
        <v>-65000000</v>
      </c>
      <c r="BEA69" s="61">
        <f t="shared" si="1562"/>
        <v>-65000000</v>
      </c>
      <c r="BEB69" s="61">
        <f t="shared" si="1562"/>
        <v>-65000000</v>
      </c>
      <c r="BEC69" s="61">
        <f t="shared" si="1562"/>
        <v>-65000000</v>
      </c>
      <c r="BED69" s="61">
        <f t="shared" si="1562"/>
        <v>-65000000</v>
      </c>
      <c r="BEE69" s="61">
        <f t="shared" si="1562"/>
        <v>-65000000</v>
      </c>
      <c r="BEF69" s="61">
        <f t="shared" si="1562"/>
        <v>-65000000</v>
      </c>
      <c r="BEG69" s="61">
        <f t="shared" si="1562"/>
        <v>-65000000</v>
      </c>
      <c r="BEH69" s="61">
        <f t="shared" si="1562"/>
        <v>-65000000</v>
      </c>
      <c r="BEI69" s="61">
        <f t="shared" si="1562"/>
        <v>-65000000</v>
      </c>
      <c r="BEJ69" s="61">
        <f t="shared" si="1562"/>
        <v>-65000000</v>
      </c>
      <c r="BEK69" s="61">
        <f t="shared" si="1562"/>
        <v>-65000000</v>
      </c>
      <c r="BEL69" s="61">
        <f t="shared" si="1562"/>
        <v>-65000000</v>
      </c>
      <c r="BEM69" s="61">
        <f t="shared" si="1562"/>
        <v>-65000000</v>
      </c>
      <c r="BEN69" s="61">
        <f t="shared" si="1562"/>
        <v>-65000000</v>
      </c>
      <c r="BEO69" s="61">
        <f t="shared" si="1562"/>
        <v>-65000000</v>
      </c>
      <c r="BEP69" s="61">
        <f t="shared" si="1562"/>
        <v>-65000000</v>
      </c>
      <c r="BEQ69" s="61">
        <f t="shared" si="1562"/>
        <v>-65000000</v>
      </c>
      <c r="BER69" s="61">
        <f t="shared" si="1562"/>
        <v>-65000000</v>
      </c>
      <c r="BES69" s="61">
        <f t="shared" si="1562"/>
        <v>-65000000</v>
      </c>
      <c r="BET69" s="61">
        <f t="shared" si="1562"/>
        <v>-65000000</v>
      </c>
      <c r="BEU69" s="61">
        <f t="shared" ref="BEU69:BHF69" si="1563">BEU68-$EC$11-BEU11</f>
        <v>-65000000</v>
      </c>
      <c r="BEV69" s="61">
        <f t="shared" si="1563"/>
        <v>-65000000</v>
      </c>
      <c r="BEW69" s="61">
        <f t="shared" si="1563"/>
        <v>-65000000</v>
      </c>
      <c r="BEX69" s="61">
        <f t="shared" si="1563"/>
        <v>-65000000</v>
      </c>
      <c r="BEY69" s="61">
        <f t="shared" si="1563"/>
        <v>-65000000</v>
      </c>
      <c r="BEZ69" s="61">
        <f t="shared" si="1563"/>
        <v>-65000000</v>
      </c>
      <c r="BFA69" s="61">
        <f t="shared" si="1563"/>
        <v>-65000000</v>
      </c>
      <c r="BFB69" s="61">
        <f t="shared" si="1563"/>
        <v>-65000000</v>
      </c>
      <c r="BFC69" s="61">
        <f t="shared" si="1563"/>
        <v>-65000000</v>
      </c>
      <c r="BFD69" s="61">
        <f t="shared" si="1563"/>
        <v>-65000000</v>
      </c>
      <c r="BFE69" s="61">
        <f t="shared" si="1563"/>
        <v>-65000000</v>
      </c>
      <c r="BFF69" s="61">
        <f t="shared" si="1563"/>
        <v>-65000000</v>
      </c>
      <c r="BFG69" s="61">
        <f t="shared" si="1563"/>
        <v>-65000000</v>
      </c>
      <c r="BFH69" s="61">
        <f t="shared" si="1563"/>
        <v>-65000000</v>
      </c>
      <c r="BFI69" s="61">
        <f t="shared" si="1563"/>
        <v>-65000000</v>
      </c>
      <c r="BFJ69" s="61">
        <f t="shared" si="1563"/>
        <v>-65000000</v>
      </c>
      <c r="BFK69" s="61">
        <f t="shared" si="1563"/>
        <v>-65000000</v>
      </c>
      <c r="BFL69" s="61">
        <f t="shared" si="1563"/>
        <v>-65000000</v>
      </c>
      <c r="BFM69" s="61">
        <f t="shared" si="1563"/>
        <v>-65000000</v>
      </c>
      <c r="BFN69" s="61">
        <f t="shared" si="1563"/>
        <v>-65000000</v>
      </c>
      <c r="BFO69" s="61">
        <f t="shared" si="1563"/>
        <v>-65000000</v>
      </c>
      <c r="BFP69" s="61">
        <f t="shared" si="1563"/>
        <v>-65000000</v>
      </c>
      <c r="BFQ69" s="61">
        <f t="shared" si="1563"/>
        <v>-65000000</v>
      </c>
      <c r="BFR69" s="61">
        <f t="shared" si="1563"/>
        <v>-65000000</v>
      </c>
      <c r="BFS69" s="61">
        <f t="shared" si="1563"/>
        <v>-65000000</v>
      </c>
      <c r="BFT69" s="61">
        <f t="shared" si="1563"/>
        <v>-65000000</v>
      </c>
      <c r="BFU69" s="61">
        <f t="shared" si="1563"/>
        <v>-65000000</v>
      </c>
      <c r="BFV69" s="61">
        <f t="shared" si="1563"/>
        <v>-65000000</v>
      </c>
      <c r="BFW69" s="61">
        <f t="shared" si="1563"/>
        <v>-65000000</v>
      </c>
      <c r="BFX69" s="61">
        <f t="shared" si="1563"/>
        <v>-65000000</v>
      </c>
      <c r="BFY69" s="61">
        <f t="shared" si="1563"/>
        <v>-65000000</v>
      </c>
      <c r="BFZ69" s="61">
        <f t="shared" si="1563"/>
        <v>-65000000</v>
      </c>
      <c r="BGA69" s="61">
        <f t="shared" si="1563"/>
        <v>-65000000</v>
      </c>
      <c r="BGB69" s="61">
        <f t="shared" si="1563"/>
        <v>-65000000</v>
      </c>
      <c r="BGC69" s="61">
        <f t="shared" si="1563"/>
        <v>-65000000</v>
      </c>
      <c r="BGD69" s="61">
        <f t="shared" si="1563"/>
        <v>-65000000</v>
      </c>
      <c r="BGE69" s="61">
        <f t="shared" si="1563"/>
        <v>-65000000</v>
      </c>
      <c r="BGF69" s="61">
        <f t="shared" si="1563"/>
        <v>-65000000</v>
      </c>
      <c r="BGG69" s="61">
        <f t="shared" si="1563"/>
        <v>-65000000</v>
      </c>
      <c r="BGH69" s="61">
        <f t="shared" si="1563"/>
        <v>-65000000</v>
      </c>
      <c r="BGI69" s="61">
        <f t="shared" si="1563"/>
        <v>-65000000</v>
      </c>
      <c r="BGJ69" s="61">
        <f t="shared" si="1563"/>
        <v>-65000000</v>
      </c>
      <c r="BGK69" s="61">
        <f t="shared" si="1563"/>
        <v>-65000000</v>
      </c>
      <c r="BGL69" s="61">
        <f t="shared" si="1563"/>
        <v>-65000000</v>
      </c>
      <c r="BGM69" s="61">
        <f t="shared" si="1563"/>
        <v>-65000000</v>
      </c>
      <c r="BGN69" s="61">
        <f t="shared" si="1563"/>
        <v>-65000000</v>
      </c>
      <c r="BGO69" s="61">
        <f t="shared" si="1563"/>
        <v>-65000000</v>
      </c>
      <c r="BGP69" s="61">
        <f t="shared" si="1563"/>
        <v>-65000000</v>
      </c>
      <c r="BGQ69" s="61">
        <f t="shared" si="1563"/>
        <v>-65000000</v>
      </c>
      <c r="BGR69" s="61">
        <f t="shared" si="1563"/>
        <v>-65000000</v>
      </c>
      <c r="BGS69" s="61">
        <f t="shared" si="1563"/>
        <v>-65000000</v>
      </c>
      <c r="BGT69" s="61">
        <f t="shared" si="1563"/>
        <v>-65000000</v>
      </c>
      <c r="BGU69" s="61">
        <f t="shared" si="1563"/>
        <v>-65000000</v>
      </c>
      <c r="BGV69" s="61">
        <f t="shared" si="1563"/>
        <v>-65000000</v>
      </c>
      <c r="BGW69" s="61">
        <f t="shared" si="1563"/>
        <v>-65000000</v>
      </c>
      <c r="BGX69" s="61">
        <f t="shared" si="1563"/>
        <v>-65000000</v>
      </c>
      <c r="BGY69" s="61">
        <f t="shared" si="1563"/>
        <v>-65000000</v>
      </c>
      <c r="BGZ69" s="61">
        <f t="shared" si="1563"/>
        <v>-65000000</v>
      </c>
      <c r="BHA69" s="61">
        <f t="shared" si="1563"/>
        <v>-65000000</v>
      </c>
      <c r="BHB69" s="61">
        <f t="shared" si="1563"/>
        <v>-65000000</v>
      </c>
      <c r="BHC69" s="61">
        <f t="shared" si="1563"/>
        <v>-65000000</v>
      </c>
      <c r="BHD69" s="61">
        <f t="shared" si="1563"/>
        <v>-65000000</v>
      </c>
      <c r="BHE69" s="61">
        <f t="shared" si="1563"/>
        <v>-65000000</v>
      </c>
      <c r="BHF69" s="61">
        <f t="shared" si="1563"/>
        <v>-65000000</v>
      </c>
      <c r="BHG69" s="61">
        <f t="shared" ref="BHG69:BJR69" si="1564">BHG68-$EC$11-BHG11</f>
        <v>-65000000</v>
      </c>
      <c r="BHH69" s="61">
        <f t="shared" si="1564"/>
        <v>-65000000</v>
      </c>
      <c r="BHI69" s="61">
        <f t="shared" si="1564"/>
        <v>-65000000</v>
      </c>
      <c r="BHJ69" s="61">
        <f t="shared" si="1564"/>
        <v>-65000000</v>
      </c>
      <c r="BHK69" s="61">
        <f t="shared" si="1564"/>
        <v>-65000000</v>
      </c>
      <c r="BHL69" s="61">
        <f t="shared" si="1564"/>
        <v>-65000000</v>
      </c>
      <c r="BHM69" s="61">
        <f t="shared" si="1564"/>
        <v>-65000000</v>
      </c>
      <c r="BHN69" s="61">
        <f t="shared" si="1564"/>
        <v>-65000000</v>
      </c>
      <c r="BHO69" s="61">
        <f t="shared" si="1564"/>
        <v>-65000000</v>
      </c>
      <c r="BHP69" s="61">
        <f t="shared" si="1564"/>
        <v>-65000000</v>
      </c>
      <c r="BHQ69" s="61">
        <f t="shared" si="1564"/>
        <v>-65000000</v>
      </c>
      <c r="BHR69" s="61">
        <f t="shared" si="1564"/>
        <v>-65000000</v>
      </c>
      <c r="BHS69" s="61">
        <f t="shared" si="1564"/>
        <v>-65000000</v>
      </c>
      <c r="BHT69" s="61">
        <f t="shared" si="1564"/>
        <v>-65000000</v>
      </c>
      <c r="BHU69" s="61">
        <f t="shared" si="1564"/>
        <v>-65000000</v>
      </c>
      <c r="BHV69" s="61">
        <f t="shared" si="1564"/>
        <v>-65000000</v>
      </c>
      <c r="BHW69" s="61">
        <f t="shared" si="1564"/>
        <v>-65000000</v>
      </c>
      <c r="BHX69" s="61">
        <f t="shared" si="1564"/>
        <v>-65000000</v>
      </c>
      <c r="BHY69" s="61">
        <f t="shared" si="1564"/>
        <v>-65000000</v>
      </c>
      <c r="BHZ69" s="61">
        <f t="shared" si="1564"/>
        <v>-65000000</v>
      </c>
      <c r="BIA69" s="61">
        <f t="shared" si="1564"/>
        <v>-65000000</v>
      </c>
      <c r="BIB69" s="61">
        <f t="shared" si="1564"/>
        <v>-65000000</v>
      </c>
      <c r="BIC69" s="61">
        <f t="shared" si="1564"/>
        <v>-65000000</v>
      </c>
      <c r="BID69" s="61">
        <f t="shared" si="1564"/>
        <v>-65000000</v>
      </c>
      <c r="BIE69" s="61">
        <f t="shared" si="1564"/>
        <v>-65000000</v>
      </c>
      <c r="BIF69" s="61">
        <f t="shared" si="1564"/>
        <v>-65000000</v>
      </c>
      <c r="BIG69" s="61">
        <f t="shared" si="1564"/>
        <v>-65000000</v>
      </c>
      <c r="BIH69" s="61">
        <f t="shared" si="1564"/>
        <v>-65000000</v>
      </c>
      <c r="BII69" s="61">
        <f t="shared" si="1564"/>
        <v>-65000000</v>
      </c>
      <c r="BIJ69" s="61">
        <f t="shared" si="1564"/>
        <v>-65000000</v>
      </c>
      <c r="BIK69" s="61">
        <f t="shared" si="1564"/>
        <v>-65000000</v>
      </c>
      <c r="BIL69" s="61">
        <f t="shared" si="1564"/>
        <v>-65000000</v>
      </c>
      <c r="BIM69" s="61">
        <f t="shared" si="1564"/>
        <v>-65000000</v>
      </c>
      <c r="BIN69" s="61">
        <f t="shared" si="1564"/>
        <v>-65000000</v>
      </c>
      <c r="BIO69" s="61">
        <f t="shared" si="1564"/>
        <v>-65000000</v>
      </c>
      <c r="BIP69" s="61">
        <f t="shared" si="1564"/>
        <v>-65000000</v>
      </c>
      <c r="BIQ69" s="61">
        <f t="shared" si="1564"/>
        <v>-65000000</v>
      </c>
      <c r="BIR69" s="61">
        <f t="shared" si="1564"/>
        <v>-65000000</v>
      </c>
      <c r="BIS69" s="61">
        <f t="shared" si="1564"/>
        <v>-65000000</v>
      </c>
      <c r="BIT69" s="61">
        <f t="shared" si="1564"/>
        <v>-65000000</v>
      </c>
      <c r="BIU69" s="61">
        <f t="shared" si="1564"/>
        <v>-65000000</v>
      </c>
      <c r="BIV69" s="61">
        <f t="shared" si="1564"/>
        <v>-65000000</v>
      </c>
      <c r="BIW69" s="61">
        <f t="shared" si="1564"/>
        <v>-65000000</v>
      </c>
      <c r="BIX69" s="61">
        <f t="shared" si="1564"/>
        <v>-65000000</v>
      </c>
      <c r="BIY69" s="61">
        <f t="shared" si="1564"/>
        <v>-65000000</v>
      </c>
      <c r="BIZ69" s="61">
        <f t="shared" si="1564"/>
        <v>-65000000</v>
      </c>
      <c r="BJA69" s="61">
        <f t="shared" si="1564"/>
        <v>-65000000</v>
      </c>
      <c r="BJB69" s="61">
        <f t="shared" si="1564"/>
        <v>-65000000</v>
      </c>
      <c r="BJC69" s="61">
        <f t="shared" si="1564"/>
        <v>-65000000</v>
      </c>
      <c r="BJD69" s="61">
        <f t="shared" si="1564"/>
        <v>-65000000</v>
      </c>
      <c r="BJE69" s="61">
        <f t="shared" si="1564"/>
        <v>-65000000</v>
      </c>
      <c r="BJF69" s="61">
        <f t="shared" si="1564"/>
        <v>-65000000</v>
      </c>
      <c r="BJG69" s="61">
        <f t="shared" si="1564"/>
        <v>-65000000</v>
      </c>
      <c r="BJH69" s="61">
        <f t="shared" si="1564"/>
        <v>-65000000</v>
      </c>
      <c r="BJI69" s="61">
        <f t="shared" si="1564"/>
        <v>-65000000</v>
      </c>
      <c r="BJJ69" s="61">
        <f t="shared" si="1564"/>
        <v>-65000000</v>
      </c>
      <c r="BJK69" s="61">
        <f t="shared" si="1564"/>
        <v>-65000000</v>
      </c>
      <c r="BJL69" s="61">
        <f t="shared" si="1564"/>
        <v>-65000000</v>
      </c>
      <c r="BJM69" s="61">
        <f t="shared" si="1564"/>
        <v>-65000000</v>
      </c>
      <c r="BJN69" s="61">
        <f t="shared" si="1564"/>
        <v>-65000000</v>
      </c>
      <c r="BJO69" s="61">
        <f t="shared" si="1564"/>
        <v>-65000000</v>
      </c>
      <c r="BJP69" s="61">
        <f t="shared" si="1564"/>
        <v>-65000000</v>
      </c>
      <c r="BJQ69" s="61">
        <f t="shared" si="1564"/>
        <v>-65000000</v>
      </c>
      <c r="BJR69" s="61">
        <f t="shared" si="1564"/>
        <v>-65000000</v>
      </c>
      <c r="BJS69" s="61">
        <f t="shared" ref="BJS69:BMD69" si="1565">BJS68-$EC$11-BJS11</f>
        <v>-65000000</v>
      </c>
      <c r="BJT69" s="61">
        <f t="shared" si="1565"/>
        <v>-65000000</v>
      </c>
      <c r="BJU69" s="61">
        <f t="shared" si="1565"/>
        <v>-65000000</v>
      </c>
      <c r="BJV69" s="61">
        <f t="shared" si="1565"/>
        <v>-65000000</v>
      </c>
      <c r="BJW69" s="61">
        <f t="shared" si="1565"/>
        <v>-65000000</v>
      </c>
      <c r="BJX69" s="61">
        <f t="shared" si="1565"/>
        <v>-65000000</v>
      </c>
      <c r="BJY69" s="61">
        <f t="shared" si="1565"/>
        <v>-65000000</v>
      </c>
      <c r="BJZ69" s="61">
        <f t="shared" si="1565"/>
        <v>-65000000</v>
      </c>
      <c r="BKA69" s="61">
        <f t="shared" si="1565"/>
        <v>-65000000</v>
      </c>
      <c r="BKB69" s="61">
        <f t="shared" si="1565"/>
        <v>-65000000</v>
      </c>
      <c r="BKC69" s="61">
        <f t="shared" si="1565"/>
        <v>-65000000</v>
      </c>
      <c r="BKD69" s="61">
        <f t="shared" si="1565"/>
        <v>-65000000</v>
      </c>
      <c r="BKE69" s="61">
        <f t="shared" si="1565"/>
        <v>-65000000</v>
      </c>
      <c r="BKF69" s="61">
        <f t="shared" si="1565"/>
        <v>-65000000</v>
      </c>
      <c r="BKG69" s="61">
        <f t="shared" si="1565"/>
        <v>-65000000</v>
      </c>
      <c r="BKH69" s="61">
        <f t="shared" si="1565"/>
        <v>-65000000</v>
      </c>
      <c r="BKI69" s="61">
        <f t="shared" si="1565"/>
        <v>-65000000</v>
      </c>
      <c r="BKJ69" s="61">
        <f t="shared" si="1565"/>
        <v>-65000000</v>
      </c>
      <c r="BKK69" s="61">
        <f t="shared" si="1565"/>
        <v>-65000000</v>
      </c>
      <c r="BKL69" s="61">
        <f t="shared" si="1565"/>
        <v>-65000000</v>
      </c>
      <c r="BKM69" s="61">
        <f t="shared" si="1565"/>
        <v>-65000000</v>
      </c>
      <c r="BKN69" s="61">
        <f t="shared" si="1565"/>
        <v>-65000000</v>
      </c>
      <c r="BKO69" s="61">
        <f t="shared" si="1565"/>
        <v>-65000000</v>
      </c>
      <c r="BKP69" s="61">
        <f t="shared" si="1565"/>
        <v>-65000000</v>
      </c>
      <c r="BKQ69" s="61">
        <f t="shared" si="1565"/>
        <v>-65000000</v>
      </c>
      <c r="BKR69" s="61">
        <f t="shared" si="1565"/>
        <v>-65000000</v>
      </c>
      <c r="BKS69" s="61">
        <f t="shared" si="1565"/>
        <v>-65000000</v>
      </c>
      <c r="BKT69" s="61">
        <f t="shared" si="1565"/>
        <v>-65000000</v>
      </c>
      <c r="BKU69" s="61">
        <f t="shared" si="1565"/>
        <v>-65000000</v>
      </c>
      <c r="BKV69" s="61">
        <f t="shared" si="1565"/>
        <v>-65000000</v>
      </c>
      <c r="BKW69" s="61">
        <f t="shared" si="1565"/>
        <v>-65000000</v>
      </c>
      <c r="BKX69" s="61">
        <f t="shared" si="1565"/>
        <v>-65000000</v>
      </c>
      <c r="BKY69" s="61">
        <f t="shared" si="1565"/>
        <v>-65000000</v>
      </c>
      <c r="BKZ69" s="61">
        <f t="shared" si="1565"/>
        <v>-65000000</v>
      </c>
      <c r="BLA69" s="61">
        <f t="shared" si="1565"/>
        <v>-65000000</v>
      </c>
      <c r="BLB69" s="61">
        <f t="shared" si="1565"/>
        <v>-65000000</v>
      </c>
      <c r="BLC69" s="61">
        <f t="shared" si="1565"/>
        <v>-65000000</v>
      </c>
      <c r="BLD69" s="61">
        <f t="shared" si="1565"/>
        <v>-65000000</v>
      </c>
      <c r="BLE69" s="61">
        <f t="shared" si="1565"/>
        <v>-65000000</v>
      </c>
      <c r="BLF69" s="61">
        <f t="shared" si="1565"/>
        <v>-65000000</v>
      </c>
      <c r="BLG69" s="61">
        <f t="shared" si="1565"/>
        <v>-65000000</v>
      </c>
      <c r="BLH69" s="61">
        <f t="shared" si="1565"/>
        <v>-65000000</v>
      </c>
      <c r="BLI69" s="61">
        <f t="shared" si="1565"/>
        <v>-65000000</v>
      </c>
      <c r="BLJ69" s="61">
        <f t="shared" si="1565"/>
        <v>-65000000</v>
      </c>
      <c r="BLK69" s="61">
        <f t="shared" si="1565"/>
        <v>-65000000</v>
      </c>
      <c r="BLL69" s="61">
        <f t="shared" si="1565"/>
        <v>-65000000</v>
      </c>
      <c r="BLM69" s="61">
        <f t="shared" si="1565"/>
        <v>-65000000</v>
      </c>
      <c r="BLN69" s="61">
        <f t="shared" si="1565"/>
        <v>-65000000</v>
      </c>
      <c r="BLO69" s="61">
        <f t="shared" si="1565"/>
        <v>-65000000</v>
      </c>
      <c r="BLP69" s="61">
        <f t="shared" si="1565"/>
        <v>-65000000</v>
      </c>
      <c r="BLQ69" s="61">
        <f t="shared" si="1565"/>
        <v>-65000000</v>
      </c>
      <c r="BLR69" s="61">
        <f t="shared" si="1565"/>
        <v>-65000000</v>
      </c>
      <c r="BLS69" s="61">
        <f t="shared" si="1565"/>
        <v>-65000000</v>
      </c>
      <c r="BLT69" s="61">
        <f t="shared" si="1565"/>
        <v>-65000000</v>
      </c>
      <c r="BLU69" s="61">
        <f t="shared" si="1565"/>
        <v>-65000000</v>
      </c>
      <c r="BLV69" s="61">
        <f t="shared" si="1565"/>
        <v>-65000000</v>
      </c>
      <c r="BLW69" s="61">
        <f t="shared" si="1565"/>
        <v>-65000000</v>
      </c>
      <c r="BLX69" s="61">
        <f t="shared" si="1565"/>
        <v>-65000000</v>
      </c>
      <c r="BLY69" s="61">
        <f t="shared" si="1565"/>
        <v>-65000000</v>
      </c>
      <c r="BLZ69" s="61">
        <f t="shared" si="1565"/>
        <v>-65000000</v>
      </c>
      <c r="BMA69" s="61">
        <f t="shared" si="1565"/>
        <v>-65000000</v>
      </c>
      <c r="BMB69" s="61">
        <f t="shared" si="1565"/>
        <v>-65000000</v>
      </c>
      <c r="BMC69" s="61">
        <f t="shared" si="1565"/>
        <v>-65000000</v>
      </c>
      <c r="BMD69" s="61">
        <f t="shared" si="1565"/>
        <v>-65000000</v>
      </c>
      <c r="BME69" s="61">
        <f t="shared" ref="BME69:BOP69" si="1566">BME68-$EC$11-BME11</f>
        <v>-65000000</v>
      </c>
      <c r="BMF69" s="61">
        <f t="shared" si="1566"/>
        <v>-65000000</v>
      </c>
      <c r="BMG69" s="61">
        <f t="shared" si="1566"/>
        <v>-65000000</v>
      </c>
      <c r="BMH69" s="61">
        <f t="shared" si="1566"/>
        <v>-65000000</v>
      </c>
      <c r="BMI69" s="61">
        <f t="shared" si="1566"/>
        <v>-65000000</v>
      </c>
      <c r="BMJ69" s="61">
        <f t="shared" si="1566"/>
        <v>-65000000</v>
      </c>
      <c r="BMK69" s="61">
        <f t="shared" si="1566"/>
        <v>-65000000</v>
      </c>
      <c r="BML69" s="61">
        <f t="shared" si="1566"/>
        <v>-65000000</v>
      </c>
      <c r="BMM69" s="61">
        <f t="shared" si="1566"/>
        <v>-65000000</v>
      </c>
      <c r="BMN69" s="61">
        <f t="shared" si="1566"/>
        <v>-65000000</v>
      </c>
      <c r="BMO69" s="61">
        <f t="shared" si="1566"/>
        <v>-65000000</v>
      </c>
      <c r="BMP69" s="61">
        <f t="shared" si="1566"/>
        <v>-65000000</v>
      </c>
      <c r="BMQ69" s="61">
        <f t="shared" si="1566"/>
        <v>-65000000</v>
      </c>
      <c r="BMR69" s="61">
        <f t="shared" si="1566"/>
        <v>-65000000</v>
      </c>
      <c r="BMS69" s="61">
        <f t="shared" si="1566"/>
        <v>-65000000</v>
      </c>
      <c r="BMT69" s="61">
        <f t="shared" si="1566"/>
        <v>-65000000</v>
      </c>
      <c r="BMU69" s="61">
        <f t="shared" si="1566"/>
        <v>-65000000</v>
      </c>
      <c r="BMV69" s="61">
        <f t="shared" si="1566"/>
        <v>-65000000</v>
      </c>
      <c r="BMW69" s="61">
        <f t="shared" si="1566"/>
        <v>-65000000</v>
      </c>
      <c r="BMX69" s="61">
        <f t="shared" si="1566"/>
        <v>-65000000</v>
      </c>
      <c r="BMY69" s="61">
        <f t="shared" si="1566"/>
        <v>-65000000</v>
      </c>
      <c r="BMZ69" s="61">
        <f t="shared" si="1566"/>
        <v>-65000000</v>
      </c>
      <c r="BNA69" s="61">
        <f t="shared" si="1566"/>
        <v>-65000000</v>
      </c>
      <c r="BNB69" s="61">
        <f t="shared" si="1566"/>
        <v>-65000000</v>
      </c>
      <c r="BNC69" s="61">
        <f t="shared" si="1566"/>
        <v>-65000000</v>
      </c>
      <c r="BND69" s="61">
        <f t="shared" si="1566"/>
        <v>-65000000</v>
      </c>
      <c r="BNE69" s="61">
        <f t="shared" si="1566"/>
        <v>-65000000</v>
      </c>
      <c r="BNF69" s="61">
        <f t="shared" si="1566"/>
        <v>-65000000</v>
      </c>
      <c r="BNG69" s="61">
        <f t="shared" si="1566"/>
        <v>-65000000</v>
      </c>
      <c r="BNH69" s="61">
        <f t="shared" si="1566"/>
        <v>-65000000</v>
      </c>
      <c r="BNI69" s="61">
        <f t="shared" si="1566"/>
        <v>-65000000</v>
      </c>
      <c r="BNJ69" s="61">
        <f t="shared" si="1566"/>
        <v>-65000000</v>
      </c>
      <c r="BNK69" s="61">
        <f t="shared" si="1566"/>
        <v>-65000000</v>
      </c>
      <c r="BNL69" s="61">
        <f t="shared" si="1566"/>
        <v>-65000000</v>
      </c>
      <c r="BNM69" s="61">
        <f t="shared" si="1566"/>
        <v>-65000000</v>
      </c>
      <c r="BNN69" s="61">
        <f t="shared" si="1566"/>
        <v>-65000000</v>
      </c>
      <c r="BNO69" s="61">
        <f t="shared" si="1566"/>
        <v>-65000000</v>
      </c>
      <c r="BNP69" s="61">
        <f t="shared" si="1566"/>
        <v>-65000000</v>
      </c>
      <c r="BNQ69" s="61">
        <f t="shared" si="1566"/>
        <v>-65000000</v>
      </c>
      <c r="BNR69" s="61">
        <f t="shared" si="1566"/>
        <v>-65000000</v>
      </c>
      <c r="BNS69" s="61">
        <f t="shared" si="1566"/>
        <v>-65000000</v>
      </c>
      <c r="BNT69" s="61">
        <f t="shared" si="1566"/>
        <v>-65000000</v>
      </c>
      <c r="BNU69" s="61">
        <f t="shared" si="1566"/>
        <v>-65000000</v>
      </c>
      <c r="BNV69" s="61">
        <f t="shared" si="1566"/>
        <v>-65000000</v>
      </c>
      <c r="BNW69" s="61">
        <f t="shared" si="1566"/>
        <v>-65000000</v>
      </c>
      <c r="BNX69" s="61">
        <f t="shared" si="1566"/>
        <v>-65000000</v>
      </c>
      <c r="BNY69" s="61">
        <f t="shared" si="1566"/>
        <v>-65000000</v>
      </c>
      <c r="BNZ69" s="61">
        <f t="shared" si="1566"/>
        <v>-65000000</v>
      </c>
      <c r="BOA69" s="61">
        <f t="shared" si="1566"/>
        <v>-65000000</v>
      </c>
      <c r="BOB69" s="61">
        <f t="shared" si="1566"/>
        <v>-65000000</v>
      </c>
      <c r="BOC69" s="61">
        <f t="shared" si="1566"/>
        <v>-65000000</v>
      </c>
      <c r="BOD69" s="61">
        <f t="shared" si="1566"/>
        <v>-65000000</v>
      </c>
      <c r="BOE69" s="61">
        <f t="shared" si="1566"/>
        <v>-65000000</v>
      </c>
      <c r="BOF69" s="61">
        <f t="shared" si="1566"/>
        <v>-65000000</v>
      </c>
      <c r="BOG69" s="61">
        <f t="shared" si="1566"/>
        <v>-65000000</v>
      </c>
      <c r="BOH69" s="61">
        <f t="shared" si="1566"/>
        <v>-65000000</v>
      </c>
      <c r="BOI69" s="61">
        <f t="shared" si="1566"/>
        <v>-65000000</v>
      </c>
      <c r="BOJ69" s="61">
        <f t="shared" si="1566"/>
        <v>-65000000</v>
      </c>
      <c r="BOK69" s="61">
        <f t="shared" si="1566"/>
        <v>-65000000</v>
      </c>
      <c r="BOL69" s="61">
        <f t="shared" si="1566"/>
        <v>-65000000</v>
      </c>
      <c r="BOM69" s="61">
        <f t="shared" si="1566"/>
        <v>-65000000</v>
      </c>
      <c r="BON69" s="61">
        <f t="shared" si="1566"/>
        <v>-65000000</v>
      </c>
      <c r="BOO69" s="61">
        <f t="shared" si="1566"/>
        <v>-65000000</v>
      </c>
      <c r="BOP69" s="61">
        <f t="shared" si="1566"/>
        <v>-65000000</v>
      </c>
      <c r="BOQ69" s="61">
        <f t="shared" ref="BOQ69:BRB69" si="1567">BOQ68-$EC$11-BOQ11</f>
        <v>-65000000</v>
      </c>
      <c r="BOR69" s="61">
        <f t="shared" si="1567"/>
        <v>-65000000</v>
      </c>
      <c r="BOS69" s="61">
        <f t="shared" si="1567"/>
        <v>-65000000</v>
      </c>
      <c r="BOT69" s="61">
        <f t="shared" si="1567"/>
        <v>-65000000</v>
      </c>
      <c r="BOU69" s="61">
        <f t="shared" si="1567"/>
        <v>-65000000</v>
      </c>
      <c r="BOV69" s="61">
        <f t="shared" si="1567"/>
        <v>-65000000</v>
      </c>
      <c r="BOW69" s="61">
        <f t="shared" si="1567"/>
        <v>-65000000</v>
      </c>
      <c r="BOX69" s="61">
        <f t="shared" si="1567"/>
        <v>-65000000</v>
      </c>
      <c r="BOY69" s="61">
        <f t="shared" si="1567"/>
        <v>-65000000</v>
      </c>
      <c r="BOZ69" s="61">
        <f t="shared" si="1567"/>
        <v>-65000000</v>
      </c>
      <c r="BPA69" s="61">
        <f t="shared" si="1567"/>
        <v>-65000000</v>
      </c>
      <c r="BPB69" s="61">
        <f t="shared" si="1567"/>
        <v>-65000000</v>
      </c>
      <c r="BPC69" s="61">
        <f t="shared" si="1567"/>
        <v>-65000000</v>
      </c>
      <c r="BPD69" s="61">
        <f t="shared" si="1567"/>
        <v>-65000000</v>
      </c>
      <c r="BPE69" s="61">
        <f t="shared" si="1567"/>
        <v>-65000000</v>
      </c>
      <c r="BPF69" s="61">
        <f t="shared" si="1567"/>
        <v>-65000000</v>
      </c>
      <c r="BPG69" s="61">
        <f t="shared" si="1567"/>
        <v>-65000000</v>
      </c>
      <c r="BPH69" s="61">
        <f t="shared" si="1567"/>
        <v>-65000000</v>
      </c>
      <c r="BPI69" s="61">
        <f t="shared" si="1567"/>
        <v>-65000000</v>
      </c>
      <c r="BPJ69" s="61">
        <f t="shared" si="1567"/>
        <v>-65000000</v>
      </c>
      <c r="BPK69" s="61">
        <f t="shared" si="1567"/>
        <v>-65000000</v>
      </c>
      <c r="BPL69" s="61">
        <f t="shared" si="1567"/>
        <v>-65000000</v>
      </c>
      <c r="BPM69" s="61">
        <f t="shared" si="1567"/>
        <v>-65000000</v>
      </c>
      <c r="BPN69" s="61">
        <f t="shared" si="1567"/>
        <v>-65000000</v>
      </c>
      <c r="BPO69" s="61">
        <f t="shared" si="1567"/>
        <v>-65000000</v>
      </c>
      <c r="BPP69" s="61">
        <f t="shared" si="1567"/>
        <v>-65000000</v>
      </c>
      <c r="BPQ69" s="61">
        <f t="shared" si="1567"/>
        <v>-65000000</v>
      </c>
      <c r="BPR69" s="61">
        <f t="shared" si="1567"/>
        <v>-65000000</v>
      </c>
      <c r="BPS69" s="61">
        <f t="shared" si="1567"/>
        <v>-65000000</v>
      </c>
      <c r="BPT69" s="61">
        <f t="shared" si="1567"/>
        <v>-65000000</v>
      </c>
      <c r="BPU69" s="61">
        <f t="shared" si="1567"/>
        <v>-65000000</v>
      </c>
      <c r="BPV69" s="61">
        <f t="shared" si="1567"/>
        <v>-65000000</v>
      </c>
      <c r="BPW69" s="61">
        <f t="shared" si="1567"/>
        <v>-65000000</v>
      </c>
      <c r="BPX69" s="61">
        <f t="shared" si="1567"/>
        <v>-65000000</v>
      </c>
      <c r="BPY69" s="61">
        <f t="shared" si="1567"/>
        <v>-65000000</v>
      </c>
      <c r="BPZ69" s="61">
        <f t="shared" si="1567"/>
        <v>-65000000</v>
      </c>
      <c r="BQA69" s="61">
        <f t="shared" si="1567"/>
        <v>-65000000</v>
      </c>
      <c r="BQB69" s="61">
        <f t="shared" si="1567"/>
        <v>-65000000</v>
      </c>
      <c r="BQC69" s="61">
        <f t="shared" si="1567"/>
        <v>-65000000</v>
      </c>
      <c r="BQD69" s="61">
        <f t="shared" si="1567"/>
        <v>-65000000</v>
      </c>
      <c r="BQE69" s="61">
        <f t="shared" si="1567"/>
        <v>-65000000</v>
      </c>
      <c r="BQF69" s="61">
        <f t="shared" si="1567"/>
        <v>-65000000</v>
      </c>
      <c r="BQG69" s="61">
        <f t="shared" si="1567"/>
        <v>-65000000</v>
      </c>
      <c r="BQH69" s="61">
        <f t="shared" si="1567"/>
        <v>-65000000</v>
      </c>
      <c r="BQI69" s="61">
        <f t="shared" si="1567"/>
        <v>-65000000</v>
      </c>
      <c r="BQJ69" s="61">
        <f t="shared" si="1567"/>
        <v>-65000000</v>
      </c>
      <c r="BQK69" s="61">
        <f t="shared" si="1567"/>
        <v>-65000000</v>
      </c>
      <c r="BQL69" s="61">
        <f t="shared" si="1567"/>
        <v>-65000000</v>
      </c>
      <c r="BQM69" s="61">
        <f t="shared" si="1567"/>
        <v>-65000000</v>
      </c>
      <c r="BQN69" s="61">
        <f t="shared" si="1567"/>
        <v>-65000000</v>
      </c>
      <c r="BQO69" s="61">
        <f t="shared" si="1567"/>
        <v>-65000000</v>
      </c>
      <c r="BQP69" s="61">
        <f t="shared" si="1567"/>
        <v>-65000000</v>
      </c>
      <c r="BQQ69" s="61">
        <f t="shared" si="1567"/>
        <v>-65000000</v>
      </c>
      <c r="BQR69" s="61">
        <f t="shared" si="1567"/>
        <v>-65000000</v>
      </c>
      <c r="BQS69" s="61">
        <f t="shared" si="1567"/>
        <v>-65000000</v>
      </c>
      <c r="BQT69" s="61">
        <f t="shared" si="1567"/>
        <v>-65000000</v>
      </c>
      <c r="BQU69" s="61">
        <f t="shared" si="1567"/>
        <v>-65000000</v>
      </c>
      <c r="BQV69" s="61">
        <f t="shared" si="1567"/>
        <v>-65000000</v>
      </c>
      <c r="BQW69" s="61">
        <f t="shared" si="1567"/>
        <v>-65000000</v>
      </c>
      <c r="BQX69" s="61">
        <f t="shared" si="1567"/>
        <v>-65000000</v>
      </c>
      <c r="BQY69" s="61">
        <f t="shared" si="1567"/>
        <v>-65000000</v>
      </c>
      <c r="BQZ69" s="61">
        <f t="shared" si="1567"/>
        <v>-65000000</v>
      </c>
      <c r="BRA69" s="61">
        <f t="shared" si="1567"/>
        <v>-65000000</v>
      </c>
      <c r="BRB69" s="61">
        <f t="shared" si="1567"/>
        <v>-65000000</v>
      </c>
      <c r="BRC69" s="61">
        <f t="shared" ref="BRC69:BTN69" si="1568">BRC68-$EC$11-BRC11</f>
        <v>-65000000</v>
      </c>
      <c r="BRD69" s="61">
        <f t="shared" si="1568"/>
        <v>-65000000</v>
      </c>
      <c r="BRE69" s="61">
        <f t="shared" si="1568"/>
        <v>-65000000</v>
      </c>
      <c r="BRF69" s="61">
        <f t="shared" si="1568"/>
        <v>-65000000</v>
      </c>
      <c r="BRG69" s="61">
        <f t="shared" si="1568"/>
        <v>-65000000</v>
      </c>
      <c r="BRH69" s="61">
        <f t="shared" si="1568"/>
        <v>-65000000</v>
      </c>
      <c r="BRI69" s="61">
        <f t="shared" si="1568"/>
        <v>-65000000</v>
      </c>
      <c r="BRJ69" s="61">
        <f t="shared" si="1568"/>
        <v>-65000000</v>
      </c>
      <c r="BRK69" s="61">
        <f t="shared" si="1568"/>
        <v>-65000000</v>
      </c>
      <c r="BRL69" s="61">
        <f t="shared" si="1568"/>
        <v>-65000000</v>
      </c>
      <c r="BRM69" s="61">
        <f t="shared" si="1568"/>
        <v>-65000000</v>
      </c>
      <c r="BRN69" s="61">
        <f t="shared" si="1568"/>
        <v>-65000000</v>
      </c>
      <c r="BRO69" s="61">
        <f t="shared" si="1568"/>
        <v>-65000000</v>
      </c>
      <c r="BRP69" s="61">
        <f t="shared" si="1568"/>
        <v>-65000000</v>
      </c>
      <c r="BRQ69" s="61">
        <f t="shared" si="1568"/>
        <v>-65000000</v>
      </c>
      <c r="BRR69" s="61">
        <f t="shared" si="1568"/>
        <v>-65000000</v>
      </c>
      <c r="BRS69" s="61">
        <f t="shared" si="1568"/>
        <v>-65000000</v>
      </c>
      <c r="BRT69" s="61">
        <f t="shared" si="1568"/>
        <v>-65000000</v>
      </c>
      <c r="BRU69" s="61">
        <f t="shared" si="1568"/>
        <v>-65000000</v>
      </c>
      <c r="BRV69" s="61">
        <f t="shared" si="1568"/>
        <v>-65000000</v>
      </c>
      <c r="BRW69" s="61">
        <f t="shared" si="1568"/>
        <v>-65000000</v>
      </c>
      <c r="BRX69" s="61">
        <f t="shared" si="1568"/>
        <v>-65000000</v>
      </c>
      <c r="BRY69" s="61">
        <f t="shared" si="1568"/>
        <v>-65000000</v>
      </c>
      <c r="BRZ69" s="61">
        <f t="shared" si="1568"/>
        <v>-65000000</v>
      </c>
      <c r="BSA69" s="61">
        <f t="shared" si="1568"/>
        <v>-65000000</v>
      </c>
      <c r="BSB69" s="61">
        <f t="shared" si="1568"/>
        <v>-65000000</v>
      </c>
      <c r="BSC69" s="61">
        <f t="shared" si="1568"/>
        <v>-65000000</v>
      </c>
      <c r="BSD69" s="61">
        <f t="shared" si="1568"/>
        <v>-65000000</v>
      </c>
      <c r="BSE69" s="61">
        <f t="shared" si="1568"/>
        <v>-65000000</v>
      </c>
      <c r="BSF69" s="61">
        <f t="shared" si="1568"/>
        <v>-65000000</v>
      </c>
      <c r="BSG69" s="61">
        <f t="shared" si="1568"/>
        <v>-65000000</v>
      </c>
      <c r="BSH69" s="61">
        <f t="shared" si="1568"/>
        <v>-65000000</v>
      </c>
      <c r="BSI69" s="61">
        <f t="shared" si="1568"/>
        <v>-65000000</v>
      </c>
      <c r="BSJ69" s="61">
        <f t="shared" si="1568"/>
        <v>-65000000</v>
      </c>
      <c r="BSK69" s="61">
        <f t="shared" si="1568"/>
        <v>-65000000</v>
      </c>
      <c r="BSL69" s="61">
        <f t="shared" si="1568"/>
        <v>-65000000</v>
      </c>
      <c r="BSM69" s="61">
        <f t="shared" si="1568"/>
        <v>-65000000</v>
      </c>
      <c r="BSN69" s="61">
        <f t="shared" si="1568"/>
        <v>-65000000</v>
      </c>
      <c r="BSO69" s="61">
        <f t="shared" si="1568"/>
        <v>-65000000</v>
      </c>
      <c r="BSP69" s="61">
        <f t="shared" si="1568"/>
        <v>-65000000</v>
      </c>
      <c r="BSQ69" s="61">
        <f t="shared" si="1568"/>
        <v>-65000000</v>
      </c>
      <c r="BSR69" s="61">
        <f t="shared" si="1568"/>
        <v>-65000000</v>
      </c>
      <c r="BSS69" s="61">
        <f t="shared" si="1568"/>
        <v>-65000000</v>
      </c>
      <c r="BST69" s="61">
        <f t="shared" si="1568"/>
        <v>-65000000</v>
      </c>
      <c r="BSU69" s="61">
        <f t="shared" si="1568"/>
        <v>-65000000</v>
      </c>
      <c r="BSV69" s="61">
        <f t="shared" si="1568"/>
        <v>-65000000</v>
      </c>
      <c r="BSW69" s="61">
        <f t="shared" si="1568"/>
        <v>-65000000</v>
      </c>
      <c r="BSX69" s="61">
        <f t="shared" si="1568"/>
        <v>-65000000</v>
      </c>
      <c r="BSY69" s="61">
        <f t="shared" si="1568"/>
        <v>-65000000</v>
      </c>
      <c r="BSZ69" s="61">
        <f t="shared" si="1568"/>
        <v>-65000000</v>
      </c>
      <c r="BTA69" s="61">
        <f t="shared" si="1568"/>
        <v>-65000000</v>
      </c>
      <c r="BTB69" s="61">
        <f t="shared" si="1568"/>
        <v>-65000000</v>
      </c>
      <c r="BTC69" s="61">
        <f t="shared" si="1568"/>
        <v>-65000000</v>
      </c>
      <c r="BTD69" s="61">
        <f t="shared" si="1568"/>
        <v>-65000000</v>
      </c>
      <c r="BTE69" s="61">
        <f t="shared" si="1568"/>
        <v>-65000000</v>
      </c>
      <c r="BTF69" s="61">
        <f t="shared" si="1568"/>
        <v>-65000000</v>
      </c>
      <c r="BTG69" s="61">
        <f t="shared" si="1568"/>
        <v>-65000000</v>
      </c>
      <c r="BTH69" s="61">
        <f t="shared" si="1568"/>
        <v>-65000000</v>
      </c>
      <c r="BTI69" s="61">
        <f t="shared" si="1568"/>
        <v>-65000000</v>
      </c>
      <c r="BTJ69" s="61">
        <f t="shared" si="1568"/>
        <v>-65000000</v>
      </c>
      <c r="BTK69" s="61">
        <f t="shared" si="1568"/>
        <v>-65000000</v>
      </c>
      <c r="BTL69" s="61">
        <f t="shared" si="1568"/>
        <v>-65000000</v>
      </c>
      <c r="BTM69" s="61">
        <f t="shared" si="1568"/>
        <v>-65000000</v>
      </c>
      <c r="BTN69" s="61">
        <f t="shared" si="1568"/>
        <v>-65000000</v>
      </c>
      <c r="BTO69" s="61">
        <f t="shared" ref="BTO69:BVZ69" si="1569">BTO68-$EC$11-BTO11</f>
        <v>-65000000</v>
      </c>
      <c r="BTP69" s="61">
        <f t="shared" si="1569"/>
        <v>-65000000</v>
      </c>
      <c r="BTQ69" s="61">
        <f t="shared" si="1569"/>
        <v>-65000000</v>
      </c>
      <c r="BTR69" s="61">
        <f t="shared" si="1569"/>
        <v>-65000000</v>
      </c>
      <c r="BTS69" s="61">
        <f t="shared" si="1569"/>
        <v>-65000000</v>
      </c>
      <c r="BTT69" s="61">
        <f t="shared" si="1569"/>
        <v>-65000000</v>
      </c>
      <c r="BTU69" s="61">
        <f t="shared" si="1569"/>
        <v>-65000000</v>
      </c>
      <c r="BTV69" s="61">
        <f t="shared" si="1569"/>
        <v>-65000000</v>
      </c>
      <c r="BTW69" s="61">
        <f t="shared" si="1569"/>
        <v>-65000000</v>
      </c>
      <c r="BTX69" s="61">
        <f t="shared" si="1569"/>
        <v>-65000000</v>
      </c>
      <c r="BTY69" s="61">
        <f t="shared" si="1569"/>
        <v>-65000000</v>
      </c>
      <c r="BTZ69" s="61">
        <f t="shared" si="1569"/>
        <v>-65000000</v>
      </c>
      <c r="BUA69" s="61">
        <f t="shared" si="1569"/>
        <v>-65000000</v>
      </c>
      <c r="BUB69" s="61">
        <f t="shared" si="1569"/>
        <v>-65000000</v>
      </c>
      <c r="BUC69" s="61">
        <f t="shared" si="1569"/>
        <v>-65000000</v>
      </c>
      <c r="BUD69" s="61">
        <f t="shared" si="1569"/>
        <v>-65000000</v>
      </c>
      <c r="BUE69" s="61">
        <f t="shared" si="1569"/>
        <v>-65000000</v>
      </c>
      <c r="BUF69" s="61">
        <f t="shared" si="1569"/>
        <v>-65000000</v>
      </c>
      <c r="BUG69" s="61">
        <f t="shared" si="1569"/>
        <v>-65000000</v>
      </c>
      <c r="BUH69" s="61">
        <f t="shared" si="1569"/>
        <v>-65000000</v>
      </c>
      <c r="BUI69" s="61">
        <f t="shared" si="1569"/>
        <v>-65000000</v>
      </c>
      <c r="BUJ69" s="61">
        <f t="shared" si="1569"/>
        <v>-65000000</v>
      </c>
      <c r="BUK69" s="61">
        <f t="shared" si="1569"/>
        <v>-65000000</v>
      </c>
      <c r="BUL69" s="61">
        <f t="shared" si="1569"/>
        <v>-65000000</v>
      </c>
      <c r="BUM69" s="61">
        <f t="shared" si="1569"/>
        <v>-65000000</v>
      </c>
      <c r="BUN69" s="61">
        <f t="shared" si="1569"/>
        <v>-65000000</v>
      </c>
      <c r="BUO69" s="61">
        <f t="shared" si="1569"/>
        <v>-65000000</v>
      </c>
      <c r="BUP69" s="61">
        <f t="shared" si="1569"/>
        <v>-65000000</v>
      </c>
      <c r="BUQ69" s="61">
        <f t="shared" si="1569"/>
        <v>-65000000</v>
      </c>
      <c r="BUR69" s="61">
        <f t="shared" si="1569"/>
        <v>-65000000</v>
      </c>
      <c r="BUS69" s="61">
        <f t="shared" si="1569"/>
        <v>-65000000</v>
      </c>
      <c r="BUT69" s="61">
        <f t="shared" si="1569"/>
        <v>-65000000</v>
      </c>
      <c r="BUU69" s="61">
        <f t="shared" si="1569"/>
        <v>-65000000</v>
      </c>
      <c r="BUV69" s="61">
        <f t="shared" si="1569"/>
        <v>-65000000</v>
      </c>
      <c r="BUW69" s="61">
        <f t="shared" si="1569"/>
        <v>-65000000</v>
      </c>
      <c r="BUX69" s="61">
        <f t="shared" si="1569"/>
        <v>-65000000</v>
      </c>
      <c r="BUY69" s="61">
        <f t="shared" si="1569"/>
        <v>-65000000</v>
      </c>
      <c r="BUZ69" s="61">
        <f t="shared" si="1569"/>
        <v>-65000000</v>
      </c>
      <c r="BVA69" s="61">
        <f t="shared" si="1569"/>
        <v>-65000000</v>
      </c>
      <c r="BVB69" s="61">
        <f t="shared" si="1569"/>
        <v>-65000000</v>
      </c>
      <c r="BVC69" s="61">
        <f t="shared" si="1569"/>
        <v>-65000000</v>
      </c>
      <c r="BVD69" s="61">
        <f t="shared" si="1569"/>
        <v>-65000000</v>
      </c>
      <c r="BVE69" s="61">
        <f t="shared" si="1569"/>
        <v>-65000000</v>
      </c>
      <c r="BVF69" s="61">
        <f t="shared" si="1569"/>
        <v>-65000000</v>
      </c>
      <c r="BVG69" s="61">
        <f t="shared" si="1569"/>
        <v>-65000000</v>
      </c>
      <c r="BVH69" s="61">
        <f t="shared" si="1569"/>
        <v>-65000000</v>
      </c>
      <c r="BVI69" s="61">
        <f t="shared" si="1569"/>
        <v>-65000000</v>
      </c>
      <c r="BVJ69" s="61">
        <f t="shared" si="1569"/>
        <v>-65000000</v>
      </c>
      <c r="BVK69" s="61">
        <f t="shared" si="1569"/>
        <v>-65000000</v>
      </c>
      <c r="BVL69" s="61">
        <f t="shared" si="1569"/>
        <v>-65000000</v>
      </c>
      <c r="BVM69" s="61">
        <f t="shared" si="1569"/>
        <v>-65000000</v>
      </c>
      <c r="BVN69" s="61">
        <f t="shared" si="1569"/>
        <v>-65000000</v>
      </c>
      <c r="BVO69" s="61">
        <f t="shared" si="1569"/>
        <v>-65000000</v>
      </c>
      <c r="BVP69" s="61">
        <f t="shared" si="1569"/>
        <v>-65000000</v>
      </c>
      <c r="BVQ69" s="61">
        <f t="shared" si="1569"/>
        <v>-65000000</v>
      </c>
      <c r="BVR69" s="61">
        <f t="shared" si="1569"/>
        <v>-65000000</v>
      </c>
      <c r="BVS69" s="61">
        <f t="shared" si="1569"/>
        <v>-65000000</v>
      </c>
      <c r="BVT69" s="61">
        <f t="shared" si="1569"/>
        <v>-65000000</v>
      </c>
      <c r="BVU69" s="61">
        <f t="shared" si="1569"/>
        <v>-65000000</v>
      </c>
      <c r="BVV69" s="61">
        <f t="shared" si="1569"/>
        <v>-65000000</v>
      </c>
      <c r="BVW69" s="61">
        <f t="shared" si="1569"/>
        <v>-65000000</v>
      </c>
      <c r="BVX69" s="61">
        <f t="shared" si="1569"/>
        <v>-65000000</v>
      </c>
      <c r="BVY69" s="61">
        <f t="shared" si="1569"/>
        <v>-65000000</v>
      </c>
      <c r="BVZ69" s="61">
        <f t="shared" si="1569"/>
        <v>-65000000</v>
      </c>
      <c r="BWA69" s="61">
        <f t="shared" ref="BWA69:BYL69" si="1570">BWA68-$EC$11-BWA11</f>
        <v>-65000000</v>
      </c>
      <c r="BWB69" s="61">
        <f t="shared" si="1570"/>
        <v>-65000000</v>
      </c>
      <c r="BWC69" s="61">
        <f t="shared" si="1570"/>
        <v>-65000000</v>
      </c>
      <c r="BWD69" s="61">
        <f t="shared" si="1570"/>
        <v>-65000000</v>
      </c>
      <c r="BWE69" s="61">
        <f t="shared" si="1570"/>
        <v>-65000000</v>
      </c>
      <c r="BWF69" s="61">
        <f t="shared" si="1570"/>
        <v>-65000000</v>
      </c>
      <c r="BWG69" s="61">
        <f t="shared" si="1570"/>
        <v>-65000000</v>
      </c>
      <c r="BWH69" s="61">
        <f t="shared" si="1570"/>
        <v>-65000000</v>
      </c>
      <c r="BWI69" s="61">
        <f t="shared" si="1570"/>
        <v>-65000000</v>
      </c>
      <c r="BWJ69" s="61">
        <f t="shared" si="1570"/>
        <v>-65000000</v>
      </c>
      <c r="BWK69" s="61">
        <f t="shared" si="1570"/>
        <v>-65000000</v>
      </c>
      <c r="BWL69" s="61">
        <f t="shared" si="1570"/>
        <v>-65000000</v>
      </c>
      <c r="BWM69" s="61">
        <f t="shared" si="1570"/>
        <v>-65000000</v>
      </c>
      <c r="BWN69" s="61">
        <f t="shared" si="1570"/>
        <v>-65000000</v>
      </c>
      <c r="BWO69" s="61">
        <f t="shared" si="1570"/>
        <v>-65000000</v>
      </c>
      <c r="BWP69" s="61">
        <f t="shared" si="1570"/>
        <v>-65000000</v>
      </c>
      <c r="BWQ69" s="61">
        <f t="shared" si="1570"/>
        <v>-65000000</v>
      </c>
      <c r="BWR69" s="61">
        <f t="shared" si="1570"/>
        <v>-65000000</v>
      </c>
      <c r="BWS69" s="61">
        <f t="shared" si="1570"/>
        <v>-65000000</v>
      </c>
      <c r="BWT69" s="61">
        <f t="shared" si="1570"/>
        <v>-65000000</v>
      </c>
      <c r="BWU69" s="61">
        <f t="shared" si="1570"/>
        <v>-65000000</v>
      </c>
      <c r="BWV69" s="61">
        <f t="shared" si="1570"/>
        <v>-65000000</v>
      </c>
      <c r="BWW69" s="61">
        <f t="shared" si="1570"/>
        <v>-65000000</v>
      </c>
      <c r="BWX69" s="61">
        <f t="shared" si="1570"/>
        <v>-65000000</v>
      </c>
      <c r="BWY69" s="61">
        <f t="shared" si="1570"/>
        <v>-65000000</v>
      </c>
      <c r="BWZ69" s="61">
        <f t="shared" si="1570"/>
        <v>-65000000</v>
      </c>
      <c r="BXA69" s="61">
        <f t="shared" si="1570"/>
        <v>-65000000</v>
      </c>
      <c r="BXB69" s="61">
        <f t="shared" si="1570"/>
        <v>-65000000</v>
      </c>
      <c r="BXC69" s="61">
        <f t="shared" si="1570"/>
        <v>-65000000</v>
      </c>
      <c r="BXD69" s="61">
        <f t="shared" si="1570"/>
        <v>-65000000</v>
      </c>
      <c r="BXE69" s="61">
        <f t="shared" si="1570"/>
        <v>-65000000</v>
      </c>
      <c r="BXF69" s="61">
        <f t="shared" si="1570"/>
        <v>-65000000</v>
      </c>
      <c r="BXG69" s="61">
        <f t="shared" si="1570"/>
        <v>-65000000</v>
      </c>
      <c r="BXH69" s="61">
        <f t="shared" si="1570"/>
        <v>-65000000</v>
      </c>
      <c r="BXI69" s="61">
        <f t="shared" si="1570"/>
        <v>-65000000</v>
      </c>
      <c r="BXJ69" s="61">
        <f t="shared" si="1570"/>
        <v>-65000000</v>
      </c>
      <c r="BXK69" s="61">
        <f t="shared" si="1570"/>
        <v>-65000000</v>
      </c>
      <c r="BXL69" s="61">
        <f t="shared" si="1570"/>
        <v>-65000000</v>
      </c>
      <c r="BXM69" s="61">
        <f t="shared" si="1570"/>
        <v>-65000000</v>
      </c>
      <c r="BXN69" s="61">
        <f t="shared" si="1570"/>
        <v>-65000000</v>
      </c>
      <c r="BXO69" s="61">
        <f t="shared" si="1570"/>
        <v>-65000000</v>
      </c>
      <c r="BXP69" s="61">
        <f t="shared" si="1570"/>
        <v>-65000000</v>
      </c>
      <c r="BXQ69" s="61">
        <f t="shared" si="1570"/>
        <v>-65000000</v>
      </c>
      <c r="BXR69" s="61">
        <f t="shared" si="1570"/>
        <v>-65000000</v>
      </c>
      <c r="BXS69" s="61">
        <f t="shared" si="1570"/>
        <v>-65000000</v>
      </c>
      <c r="BXT69" s="61">
        <f t="shared" si="1570"/>
        <v>-65000000</v>
      </c>
      <c r="BXU69" s="61">
        <f t="shared" si="1570"/>
        <v>-65000000</v>
      </c>
      <c r="BXV69" s="61">
        <f t="shared" si="1570"/>
        <v>-65000000</v>
      </c>
      <c r="BXW69" s="61">
        <f t="shared" si="1570"/>
        <v>-65000000</v>
      </c>
      <c r="BXX69" s="61">
        <f t="shared" si="1570"/>
        <v>-65000000</v>
      </c>
      <c r="BXY69" s="61">
        <f t="shared" si="1570"/>
        <v>-65000000</v>
      </c>
      <c r="BXZ69" s="61">
        <f t="shared" si="1570"/>
        <v>-65000000</v>
      </c>
      <c r="BYA69" s="61">
        <f t="shared" si="1570"/>
        <v>-65000000</v>
      </c>
      <c r="BYB69" s="61">
        <f t="shared" si="1570"/>
        <v>-65000000</v>
      </c>
      <c r="BYC69" s="61">
        <f t="shared" si="1570"/>
        <v>-65000000</v>
      </c>
      <c r="BYD69" s="61">
        <f t="shared" si="1570"/>
        <v>-65000000</v>
      </c>
      <c r="BYE69" s="61">
        <f t="shared" si="1570"/>
        <v>-65000000</v>
      </c>
      <c r="BYF69" s="61">
        <f t="shared" si="1570"/>
        <v>-65000000</v>
      </c>
      <c r="BYG69" s="61">
        <f t="shared" si="1570"/>
        <v>-65000000</v>
      </c>
      <c r="BYH69" s="61">
        <f t="shared" si="1570"/>
        <v>-65000000</v>
      </c>
      <c r="BYI69" s="61">
        <f t="shared" si="1570"/>
        <v>-65000000</v>
      </c>
      <c r="BYJ69" s="61">
        <f t="shared" si="1570"/>
        <v>-65000000</v>
      </c>
      <c r="BYK69" s="61">
        <f t="shared" si="1570"/>
        <v>-65000000</v>
      </c>
      <c r="BYL69" s="61">
        <f t="shared" si="1570"/>
        <v>-65000000</v>
      </c>
      <c r="BYM69" s="61">
        <f t="shared" ref="BYM69:CAX69" si="1571">BYM68-$EC$11-BYM11</f>
        <v>-65000000</v>
      </c>
      <c r="BYN69" s="61">
        <f t="shared" si="1571"/>
        <v>-65000000</v>
      </c>
      <c r="BYO69" s="61">
        <f t="shared" si="1571"/>
        <v>-65000000</v>
      </c>
      <c r="BYP69" s="61">
        <f t="shared" si="1571"/>
        <v>-65000000</v>
      </c>
      <c r="BYQ69" s="61">
        <f t="shared" si="1571"/>
        <v>-65000000</v>
      </c>
      <c r="BYR69" s="61">
        <f t="shared" si="1571"/>
        <v>-65000000</v>
      </c>
      <c r="BYS69" s="61">
        <f t="shared" si="1571"/>
        <v>-65000000</v>
      </c>
      <c r="BYT69" s="61">
        <f t="shared" si="1571"/>
        <v>-65000000</v>
      </c>
      <c r="BYU69" s="61">
        <f t="shared" si="1571"/>
        <v>-65000000</v>
      </c>
      <c r="BYV69" s="61">
        <f t="shared" si="1571"/>
        <v>-65000000</v>
      </c>
      <c r="BYW69" s="61">
        <f t="shared" si="1571"/>
        <v>-65000000</v>
      </c>
      <c r="BYX69" s="61">
        <f t="shared" si="1571"/>
        <v>-65000000</v>
      </c>
      <c r="BYY69" s="61">
        <f t="shared" si="1571"/>
        <v>-65000000</v>
      </c>
      <c r="BYZ69" s="61">
        <f t="shared" si="1571"/>
        <v>-65000000</v>
      </c>
      <c r="BZA69" s="61">
        <f t="shared" si="1571"/>
        <v>-65000000</v>
      </c>
      <c r="BZB69" s="61">
        <f t="shared" si="1571"/>
        <v>-65000000</v>
      </c>
      <c r="BZC69" s="61">
        <f t="shared" si="1571"/>
        <v>-65000000</v>
      </c>
      <c r="BZD69" s="61">
        <f t="shared" si="1571"/>
        <v>-65000000</v>
      </c>
      <c r="BZE69" s="61">
        <f t="shared" si="1571"/>
        <v>-65000000</v>
      </c>
      <c r="BZF69" s="61">
        <f t="shared" si="1571"/>
        <v>-65000000</v>
      </c>
      <c r="BZG69" s="61">
        <f t="shared" si="1571"/>
        <v>-65000000</v>
      </c>
      <c r="BZH69" s="61">
        <f t="shared" si="1571"/>
        <v>-65000000</v>
      </c>
      <c r="BZI69" s="61">
        <f t="shared" si="1571"/>
        <v>-65000000</v>
      </c>
      <c r="BZJ69" s="61">
        <f t="shared" si="1571"/>
        <v>-65000000</v>
      </c>
      <c r="BZK69" s="61">
        <f t="shared" si="1571"/>
        <v>-65000000</v>
      </c>
      <c r="BZL69" s="61">
        <f t="shared" si="1571"/>
        <v>-65000000</v>
      </c>
      <c r="BZM69" s="61">
        <f t="shared" si="1571"/>
        <v>-65000000</v>
      </c>
      <c r="BZN69" s="61">
        <f t="shared" si="1571"/>
        <v>-65000000</v>
      </c>
      <c r="BZO69" s="61">
        <f t="shared" si="1571"/>
        <v>-65000000</v>
      </c>
      <c r="BZP69" s="61">
        <f t="shared" si="1571"/>
        <v>-65000000</v>
      </c>
      <c r="BZQ69" s="61">
        <f t="shared" si="1571"/>
        <v>-65000000</v>
      </c>
      <c r="BZR69" s="61">
        <f t="shared" si="1571"/>
        <v>-65000000</v>
      </c>
      <c r="BZS69" s="61">
        <f t="shared" si="1571"/>
        <v>-65000000</v>
      </c>
      <c r="BZT69" s="61">
        <f t="shared" si="1571"/>
        <v>-65000000</v>
      </c>
      <c r="BZU69" s="61">
        <f t="shared" si="1571"/>
        <v>-65000000</v>
      </c>
      <c r="BZV69" s="61">
        <f t="shared" si="1571"/>
        <v>-65000000</v>
      </c>
      <c r="BZW69" s="61">
        <f t="shared" si="1571"/>
        <v>-65000000</v>
      </c>
      <c r="BZX69" s="61">
        <f t="shared" si="1571"/>
        <v>-65000000</v>
      </c>
      <c r="BZY69" s="61">
        <f t="shared" si="1571"/>
        <v>-65000000</v>
      </c>
      <c r="BZZ69" s="61">
        <f t="shared" si="1571"/>
        <v>-65000000</v>
      </c>
      <c r="CAA69" s="61">
        <f t="shared" si="1571"/>
        <v>-65000000</v>
      </c>
      <c r="CAB69" s="61">
        <f t="shared" si="1571"/>
        <v>-65000000</v>
      </c>
      <c r="CAC69" s="61">
        <f t="shared" si="1571"/>
        <v>-65000000</v>
      </c>
      <c r="CAD69" s="61">
        <f t="shared" si="1571"/>
        <v>-65000000</v>
      </c>
      <c r="CAE69" s="61">
        <f t="shared" si="1571"/>
        <v>-65000000</v>
      </c>
      <c r="CAF69" s="61">
        <f t="shared" si="1571"/>
        <v>-65000000</v>
      </c>
      <c r="CAG69" s="61">
        <f t="shared" si="1571"/>
        <v>-65000000</v>
      </c>
      <c r="CAH69" s="61">
        <f t="shared" si="1571"/>
        <v>-65000000</v>
      </c>
      <c r="CAI69" s="61">
        <f t="shared" si="1571"/>
        <v>-65000000</v>
      </c>
      <c r="CAJ69" s="61">
        <f t="shared" si="1571"/>
        <v>-65000000</v>
      </c>
      <c r="CAK69" s="61">
        <f t="shared" si="1571"/>
        <v>-65000000</v>
      </c>
      <c r="CAL69" s="61">
        <f t="shared" si="1571"/>
        <v>-65000000</v>
      </c>
      <c r="CAM69" s="61">
        <f t="shared" si="1571"/>
        <v>-65000000</v>
      </c>
      <c r="CAN69" s="61">
        <f t="shared" si="1571"/>
        <v>-65000000</v>
      </c>
      <c r="CAO69" s="61">
        <f t="shared" si="1571"/>
        <v>-65000000</v>
      </c>
      <c r="CAP69" s="61">
        <f t="shared" si="1571"/>
        <v>-65000000</v>
      </c>
      <c r="CAQ69" s="61">
        <f t="shared" si="1571"/>
        <v>-65000000</v>
      </c>
      <c r="CAR69" s="61">
        <f t="shared" si="1571"/>
        <v>-65000000</v>
      </c>
      <c r="CAS69" s="61">
        <f t="shared" si="1571"/>
        <v>-65000000</v>
      </c>
      <c r="CAT69" s="61">
        <f t="shared" si="1571"/>
        <v>-65000000</v>
      </c>
      <c r="CAU69" s="61">
        <f t="shared" si="1571"/>
        <v>-65000000</v>
      </c>
      <c r="CAV69" s="61">
        <f t="shared" si="1571"/>
        <v>-65000000</v>
      </c>
      <c r="CAW69" s="61">
        <f t="shared" si="1571"/>
        <v>-65000000</v>
      </c>
      <c r="CAX69" s="61">
        <f t="shared" si="1571"/>
        <v>-65000000</v>
      </c>
      <c r="CAY69" s="61">
        <f t="shared" ref="CAY69:CDJ69" si="1572">CAY68-$EC$11-CAY11</f>
        <v>-65000000</v>
      </c>
      <c r="CAZ69" s="61">
        <f t="shared" si="1572"/>
        <v>-65000000</v>
      </c>
      <c r="CBA69" s="61">
        <f t="shared" si="1572"/>
        <v>-65000000</v>
      </c>
      <c r="CBB69" s="61">
        <f t="shared" si="1572"/>
        <v>-65000000</v>
      </c>
      <c r="CBC69" s="61">
        <f t="shared" si="1572"/>
        <v>-65000000</v>
      </c>
      <c r="CBD69" s="61">
        <f t="shared" si="1572"/>
        <v>-65000000</v>
      </c>
      <c r="CBE69" s="61">
        <f t="shared" si="1572"/>
        <v>-65000000</v>
      </c>
      <c r="CBF69" s="61">
        <f t="shared" si="1572"/>
        <v>-65000000</v>
      </c>
      <c r="CBG69" s="61">
        <f t="shared" si="1572"/>
        <v>-65000000</v>
      </c>
      <c r="CBH69" s="61">
        <f t="shared" si="1572"/>
        <v>-65000000</v>
      </c>
      <c r="CBI69" s="61">
        <f t="shared" si="1572"/>
        <v>-65000000</v>
      </c>
      <c r="CBJ69" s="61">
        <f t="shared" si="1572"/>
        <v>-65000000</v>
      </c>
      <c r="CBK69" s="61">
        <f t="shared" si="1572"/>
        <v>-65000000</v>
      </c>
      <c r="CBL69" s="61">
        <f t="shared" si="1572"/>
        <v>-65000000</v>
      </c>
      <c r="CBM69" s="61">
        <f t="shared" si="1572"/>
        <v>-65000000</v>
      </c>
      <c r="CBN69" s="61">
        <f t="shared" si="1572"/>
        <v>-65000000</v>
      </c>
      <c r="CBO69" s="61">
        <f t="shared" si="1572"/>
        <v>-65000000</v>
      </c>
      <c r="CBP69" s="61">
        <f t="shared" si="1572"/>
        <v>-65000000</v>
      </c>
      <c r="CBQ69" s="61">
        <f t="shared" si="1572"/>
        <v>-65000000</v>
      </c>
      <c r="CBR69" s="61">
        <f t="shared" si="1572"/>
        <v>-65000000</v>
      </c>
      <c r="CBS69" s="61">
        <f t="shared" si="1572"/>
        <v>-65000000</v>
      </c>
      <c r="CBT69" s="61">
        <f t="shared" si="1572"/>
        <v>-65000000</v>
      </c>
      <c r="CBU69" s="61">
        <f t="shared" si="1572"/>
        <v>-65000000</v>
      </c>
      <c r="CBV69" s="61">
        <f t="shared" si="1572"/>
        <v>-65000000</v>
      </c>
      <c r="CBW69" s="61">
        <f t="shared" si="1572"/>
        <v>-65000000</v>
      </c>
      <c r="CBX69" s="61">
        <f t="shared" si="1572"/>
        <v>-65000000</v>
      </c>
      <c r="CBY69" s="61">
        <f t="shared" si="1572"/>
        <v>-65000000</v>
      </c>
      <c r="CBZ69" s="61">
        <f t="shared" si="1572"/>
        <v>-65000000</v>
      </c>
      <c r="CCA69" s="61">
        <f t="shared" si="1572"/>
        <v>-65000000</v>
      </c>
      <c r="CCB69" s="61">
        <f t="shared" si="1572"/>
        <v>-65000000</v>
      </c>
      <c r="CCC69" s="61">
        <f t="shared" si="1572"/>
        <v>-65000000</v>
      </c>
      <c r="CCD69" s="61">
        <f t="shared" si="1572"/>
        <v>-65000000</v>
      </c>
      <c r="CCE69" s="61">
        <f t="shared" si="1572"/>
        <v>-65000000</v>
      </c>
      <c r="CCF69" s="61">
        <f t="shared" si="1572"/>
        <v>-65000000</v>
      </c>
      <c r="CCG69" s="61">
        <f t="shared" si="1572"/>
        <v>-65000000</v>
      </c>
      <c r="CCH69" s="61">
        <f t="shared" si="1572"/>
        <v>-65000000</v>
      </c>
      <c r="CCI69" s="61">
        <f t="shared" si="1572"/>
        <v>-65000000</v>
      </c>
      <c r="CCJ69" s="61">
        <f t="shared" si="1572"/>
        <v>-65000000</v>
      </c>
      <c r="CCK69" s="61">
        <f t="shared" si="1572"/>
        <v>-65000000</v>
      </c>
      <c r="CCL69" s="61">
        <f t="shared" si="1572"/>
        <v>-65000000</v>
      </c>
      <c r="CCM69" s="61">
        <f t="shared" si="1572"/>
        <v>-65000000</v>
      </c>
      <c r="CCN69" s="61">
        <f t="shared" si="1572"/>
        <v>-65000000</v>
      </c>
      <c r="CCO69" s="61">
        <f t="shared" si="1572"/>
        <v>-65000000</v>
      </c>
      <c r="CCP69" s="61">
        <f t="shared" si="1572"/>
        <v>-65000000</v>
      </c>
      <c r="CCQ69" s="61">
        <f t="shared" si="1572"/>
        <v>-65000000</v>
      </c>
      <c r="CCR69" s="61">
        <f t="shared" si="1572"/>
        <v>-65000000</v>
      </c>
      <c r="CCS69" s="61">
        <f t="shared" si="1572"/>
        <v>-65000000</v>
      </c>
      <c r="CCT69" s="61">
        <f t="shared" si="1572"/>
        <v>-65000000</v>
      </c>
      <c r="CCU69" s="61">
        <f t="shared" si="1572"/>
        <v>-65000000</v>
      </c>
      <c r="CCV69" s="61">
        <f t="shared" si="1572"/>
        <v>-65000000</v>
      </c>
      <c r="CCW69" s="61">
        <f t="shared" si="1572"/>
        <v>-65000000</v>
      </c>
      <c r="CCX69" s="61">
        <f t="shared" si="1572"/>
        <v>-65000000</v>
      </c>
      <c r="CCY69" s="61">
        <f t="shared" si="1572"/>
        <v>-65000000</v>
      </c>
      <c r="CCZ69" s="61">
        <f t="shared" si="1572"/>
        <v>-65000000</v>
      </c>
      <c r="CDA69" s="61">
        <f t="shared" si="1572"/>
        <v>-65000000</v>
      </c>
      <c r="CDB69" s="61">
        <f t="shared" si="1572"/>
        <v>-65000000</v>
      </c>
      <c r="CDC69" s="61">
        <f t="shared" si="1572"/>
        <v>-65000000</v>
      </c>
      <c r="CDD69" s="61">
        <f t="shared" si="1572"/>
        <v>-65000000</v>
      </c>
      <c r="CDE69" s="61">
        <f t="shared" si="1572"/>
        <v>-65000000</v>
      </c>
      <c r="CDF69" s="61">
        <f t="shared" si="1572"/>
        <v>-65000000</v>
      </c>
      <c r="CDG69" s="61">
        <f t="shared" si="1572"/>
        <v>-65000000</v>
      </c>
      <c r="CDH69" s="61">
        <f t="shared" si="1572"/>
        <v>-65000000</v>
      </c>
      <c r="CDI69" s="61">
        <f t="shared" si="1572"/>
        <v>-65000000</v>
      </c>
      <c r="CDJ69" s="61">
        <f t="shared" si="1572"/>
        <v>-65000000</v>
      </c>
      <c r="CDK69" s="61">
        <f t="shared" ref="CDK69:CFV69" si="1573">CDK68-$EC$11-CDK11</f>
        <v>-65000000</v>
      </c>
      <c r="CDL69" s="61">
        <f t="shared" si="1573"/>
        <v>-65000000</v>
      </c>
      <c r="CDM69" s="61">
        <f t="shared" si="1573"/>
        <v>-65000000</v>
      </c>
      <c r="CDN69" s="61">
        <f t="shared" si="1573"/>
        <v>-65000000</v>
      </c>
      <c r="CDO69" s="61">
        <f t="shared" si="1573"/>
        <v>-65000000</v>
      </c>
      <c r="CDP69" s="61">
        <f t="shared" si="1573"/>
        <v>-65000000</v>
      </c>
      <c r="CDQ69" s="61">
        <f t="shared" si="1573"/>
        <v>-65000000</v>
      </c>
      <c r="CDR69" s="61">
        <f t="shared" si="1573"/>
        <v>-65000000</v>
      </c>
      <c r="CDS69" s="61">
        <f t="shared" si="1573"/>
        <v>-65000000</v>
      </c>
      <c r="CDT69" s="61">
        <f t="shared" si="1573"/>
        <v>-65000000</v>
      </c>
      <c r="CDU69" s="61">
        <f t="shared" si="1573"/>
        <v>-65000000</v>
      </c>
      <c r="CDV69" s="61">
        <f t="shared" si="1573"/>
        <v>-65000000</v>
      </c>
      <c r="CDW69" s="61">
        <f t="shared" si="1573"/>
        <v>-65000000</v>
      </c>
      <c r="CDX69" s="61">
        <f t="shared" si="1573"/>
        <v>-65000000</v>
      </c>
      <c r="CDY69" s="61">
        <f t="shared" si="1573"/>
        <v>-65000000</v>
      </c>
      <c r="CDZ69" s="61">
        <f t="shared" si="1573"/>
        <v>-65000000</v>
      </c>
      <c r="CEA69" s="61">
        <f t="shared" si="1573"/>
        <v>-65000000</v>
      </c>
      <c r="CEB69" s="61">
        <f t="shared" si="1573"/>
        <v>-65000000</v>
      </c>
      <c r="CEC69" s="61">
        <f t="shared" si="1573"/>
        <v>-65000000</v>
      </c>
      <c r="CED69" s="61">
        <f t="shared" si="1573"/>
        <v>-65000000</v>
      </c>
      <c r="CEE69" s="61">
        <f t="shared" si="1573"/>
        <v>-65000000</v>
      </c>
      <c r="CEF69" s="61">
        <f t="shared" si="1573"/>
        <v>-65000000</v>
      </c>
      <c r="CEG69" s="61">
        <f t="shared" si="1573"/>
        <v>-65000000</v>
      </c>
      <c r="CEH69" s="61">
        <f t="shared" si="1573"/>
        <v>-65000000</v>
      </c>
      <c r="CEI69" s="61">
        <f t="shared" si="1573"/>
        <v>-65000000</v>
      </c>
      <c r="CEJ69" s="61">
        <f t="shared" si="1573"/>
        <v>-65000000</v>
      </c>
      <c r="CEK69" s="61">
        <f t="shared" si="1573"/>
        <v>-65000000</v>
      </c>
      <c r="CEL69" s="61">
        <f t="shared" si="1573"/>
        <v>-65000000</v>
      </c>
      <c r="CEM69" s="61">
        <f t="shared" si="1573"/>
        <v>-65000000</v>
      </c>
      <c r="CEN69" s="61">
        <f t="shared" si="1573"/>
        <v>-65000000</v>
      </c>
      <c r="CEO69" s="61">
        <f t="shared" si="1573"/>
        <v>-65000000</v>
      </c>
      <c r="CEP69" s="61">
        <f t="shared" si="1573"/>
        <v>-65000000</v>
      </c>
      <c r="CEQ69" s="61">
        <f t="shared" si="1573"/>
        <v>-65000000</v>
      </c>
      <c r="CER69" s="61">
        <f t="shared" si="1573"/>
        <v>-65000000</v>
      </c>
      <c r="CES69" s="61">
        <f t="shared" si="1573"/>
        <v>-65000000</v>
      </c>
      <c r="CET69" s="61">
        <f t="shared" si="1573"/>
        <v>-65000000</v>
      </c>
      <c r="CEU69" s="61">
        <f t="shared" si="1573"/>
        <v>-65000000</v>
      </c>
      <c r="CEV69" s="61">
        <f t="shared" si="1573"/>
        <v>-65000000</v>
      </c>
      <c r="CEW69" s="61">
        <f t="shared" si="1573"/>
        <v>-65000000</v>
      </c>
      <c r="CEX69" s="61">
        <f t="shared" si="1573"/>
        <v>-65000000</v>
      </c>
      <c r="CEY69" s="61">
        <f t="shared" si="1573"/>
        <v>-65000000</v>
      </c>
      <c r="CEZ69" s="61">
        <f t="shared" si="1573"/>
        <v>-65000000</v>
      </c>
      <c r="CFA69" s="61">
        <f t="shared" si="1573"/>
        <v>-65000000</v>
      </c>
      <c r="CFB69" s="61">
        <f t="shared" si="1573"/>
        <v>-65000000</v>
      </c>
      <c r="CFC69" s="61">
        <f t="shared" si="1573"/>
        <v>-65000000</v>
      </c>
      <c r="CFD69" s="61">
        <f t="shared" si="1573"/>
        <v>-65000000</v>
      </c>
      <c r="CFE69" s="61">
        <f t="shared" si="1573"/>
        <v>-65000000</v>
      </c>
      <c r="CFF69" s="61">
        <f t="shared" si="1573"/>
        <v>-65000000</v>
      </c>
      <c r="CFG69" s="61">
        <f t="shared" si="1573"/>
        <v>-65000000</v>
      </c>
      <c r="CFH69" s="61">
        <f t="shared" si="1573"/>
        <v>-65000000</v>
      </c>
      <c r="CFI69" s="61">
        <f t="shared" si="1573"/>
        <v>-65000000</v>
      </c>
      <c r="CFJ69" s="61">
        <f t="shared" si="1573"/>
        <v>-65000000</v>
      </c>
      <c r="CFK69" s="61">
        <f t="shared" si="1573"/>
        <v>-65000000</v>
      </c>
      <c r="CFL69" s="61">
        <f t="shared" si="1573"/>
        <v>-65000000</v>
      </c>
      <c r="CFM69" s="61">
        <f t="shared" si="1573"/>
        <v>-65000000</v>
      </c>
      <c r="CFN69" s="61">
        <f t="shared" si="1573"/>
        <v>-65000000</v>
      </c>
      <c r="CFO69" s="61">
        <f t="shared" si="1573"/>
        <v>-65000000</v>
      </c>
      <c r="CFP69" s="61">
        <f t="shared" si="1573"/>
        <v>-65000000</v>
      </c>
      <c r="CFQ69" s="61">
        <f t="shared" si="1573"/>
        <v>-65000000</v>
      </c>
      <c r="CFR69" s="61">
        <f t="shared" si="1573"/>
        <v>-65000000</v>
      </c>
      <c r="CFS69" s="61">
        <f t="shared" si="1573"/>
        <v>-65000000</v>
      </c>
      <c r="CFT69" s="61">
        <f t="shared" si="1573"/>
        <v>-65000000</v>
      </c>
      <c r="CFU69" s="61">
        <f t="shared" si="1573"/>
        <v>-65000000</v>
      </c>
      <c r="CFV69" s="61">
        <f t="shared" si="1573"/>
        <v>-65000000</v>
      </c>
      <c r="CFW69" s="61">
        <f t="shared" ref="CFW69:CIH69" si="1574">CFW68-$EC$11-CFW11</f>
        <v>-65000000</v>
      </c>
      <c r="CFX69" s="61">
        <f t="shared" si="1574"/>
        <v>-65000000</v>
      </c>
      <c r="CFY69" s="61">
        <f t="shared" si="1574"/>
        <v>-65000000</v>
      </c>
      <c r="CFZ69" s="61">
        <f t="shared" si="1574"/>
        <v>-65000000</v>
      </c>
      <c r="CGA69" s="61">
        <f t="shared" si="1574"/>
        <v>-65000000</v>
      </c>
      <c r="CGB69" s="61">
        <f t="shared" si="1574"/>
        <v>-65000000</v>
      </c>
      <c r="CGC69" s="61">
        <f t="shared" si="1574"/>
        <v>-65000000</v>
      </c>
      <c r="CGD69" s="61">
        <f t="shared" si="1574"/>
        <v>-65000000</v>
      </c>
      <c r="CGE69" s="61">
        <f t="shared" si="1574"/>
        <v>-65000000</v>
      </c>
      <c r="CGF69" s="61">
        <f t="shared" si="1574"/>
        <v>-65000000</v>
      </c>
      <c r="CGG69" s="61">
        <f t="shared" si="1574"/>
        <v>-65000000</v>
      </c>
      <c r="CGH69" s="61">
        <f t="shared" si="1574"/>
        <v>-65000000</v>
      </c>
      <c r="CGI69" s="61">
        <f t="shared" si="1574"/>
        <v>-65000000</v>
      </c>
      <c r="CGJ69" s="61">
        <f t="shared" si="1574"/>
        <v>-65000000</v>
      </c>
      <c r="CGK69" s="61">
        <f t="shared" si="1574"/>
        <v>-65000000</v>
      </c>
      <c r="CGL69" s="61">
        <f t="shared" si="1574"/>
        <v>-65000000</v>
      </c>
      <c r="CGM69" s="61">
        <f t="shared" si="1574"/>
        <v>-65000000</v>
      </c>
      <c r="CGN69" s="61">
        <f t="shared" si="1574"/>
        <v>-65000000</v>
      </c>
      <c r="CGO69" s="61">
        <f t="shared" si="1574"/>
        <v>-65000000</v>
      </c>
      <c r="CGP69" s="61">
        <f t="shared" si="1574"/>
        <v>-65000000</v>
      </c>
      <c r="CGQ69" s="61">
        <f t="shared" si="1574"/>
        <v>-65000000</v>
      </c>
      <c r="CGR69" s="61">
        <f t="shared" si="1574"/>
        <v>-65000000</v>
      </c>
      <c r="CGS69" s="61">
        <f t="shared" si="1574"/>
        <v>-65000000</v>
      </c>
      <c r="CGT69" s="61">
        <f t="shared" si="1574"/>
        <v>-65000000</v>
      </c>
      <c r="CGU69" s="61">
        <f t="shared" si="1574"/>
        <v>-65000000</v>
      </c>
      <c r="CGV69" s="61">
        <f t="shared" si="1574"/>
        <v>-65000000</v>
      </c>
      <c r="CGW69" s="61">
        <f t="shared" si="1574"/>
        <v>-65000000</v>
      </c>
      <c r="CGX69" s="61">
        <f t="shared" si="1574"/>
        <v>-65000000</v>
      </c>
      <c r="CGY69" s="61">
        <f t="shared" si="1574"/>
        <v>-65000000</v>
      </c>
      <c r="CGZ69" s="61">
        <f t="shared" si="1574"/>
        <v>-65000000</v>
      </c>
      <c r="CHA69" s="61">
        <f t="shared" si="1574"/>
        <v>-65000000</v>
      </c>
      <c r="CHB69" s="61">
        <f t="shared" si="1574"/>
        <v>-65000000</v>
      </c>
      <c r="CHC69" s="61">
        <f t="shared" si="1574"/>
        <v>-65000000</v>
      </c>
      <c r="CHD69" s="61">
        <f t="shared" si="1574"/>
        <v>-65000000</v>
      </c>
      <c r="CHE69" s="61">
        <f t="shared" si="1574"/>
        <v>-65000000</v>
      </c>
      <c r="CHF69" s="61">
        <f t="shared" si="1574"/>
        <v>-65000000</v>
      </c>
      <c r="CHG69" s="61">
        <f t="shared" si="1574"/>
        <v>-65000000</v>
      </c>
      <c r="CHH69" s="61">
        <f t="shared" si="1574"/>
        <v>-65000000</v>
      </c>
      <c r="CHI69" s="61">
        <f t="shared" si="1574"/>
        <v>-65000000</v>
      </c>
      <c r="CHJ69" s="61">
        <f t="shared" si="1574"/>
        <v>-65000000</v>
      </c>
      <c r="CHK69" s="61">
        <f t="shared" si="1574"/>
        <v>-65000000</v>
      </c>
      <c r="CHL69" s="61">
        <f t="shared" si="1574"/>
        <v>-65000000</v>
      </c>
      <c r="CHM69" s="61">
        <f t="shared" si="1574"/>
        <v>-65000000</v>
      </c>
      <c r="CHN69" s="61">
        <f t="shared" si="1574"/>
        <v>-65000000</v>
      </c>
      <c r="CHO69" s="61">
        <f t="shared" si="1574"/>
        <v>-65000000</v>
      </c>
      <c r="CHP69" s="61">
        <f t="shared" si="1574"/>
        <v>-65000000</v>
      </c>
      <c r="CHQ69" s="61">
        <f t="shared" si="1574"/>
        <v>-65000000</v>
      </c>
      <c r="CHR69" s="61">
        <f t="shared" si="1574"/>
        <v>-65000000</v>
      </c>
      <c r="CHS69" s="61">
        <f t="shared" si="1574"/>
        <v>-65000000</v>
      </c>
      <c r="CHT69" s="61">
        <f t="shared" si="1574"/>
        <v>-65000000</v>
      </c>
      <c r="CHU69" s="61">
        <f t="shared" si="1574"/>
        <v>-65000000</v>
      </c>
      <c r="CHV69" s="61">
        <f t="shared" si="1574"/>
        <v>-65000000</v>
      </c>
      <c r="CHW69" s="61">
        <f t="shared" si="1574"/>
        <v>-65000000</v>
      </c>
      <c r="CHX69" s="61">
        <f t="shared" si="1574"/>
        <v>-65000000</v>
      </c>
      <c r="CHY69" s="61">
        <f t="shared" si="1574"/>
        <v>-65000000</v>
      </c>
      <c r="CHZ69" s="61">
        <f t="shared" si="1574"/>
        <v>-65000000</v>
      </c>
      <c r="CIA69" s="61">
        <f t="shared" si="1574"/>
        <v>-65000000</v>
      </c>
      <c r="CIB69" s="61">
        <f t="shared" si="1574"/>
        <v>-65000000</v>
      </c>
      <c r="CIC69" s="61">
        <f t="shared" si="1574"/>
        <v>-65000000</v>
      </c>
      <c r="CID69" s="61">
        <f t="shared" si="1574"/>
        <v>-65000000</v>
      </c>
      <c r="CIE69" s="61">
        <f t="shared" si="1574"/>
        <v>-65000000</v>
      </c>
      <c r="CIF69" s="61">
        <f t="shared" si="1574"/>
        <v>-65000000</v>
      </c>
      <c r="CIG69" s="61">
        <f t="shared" si="1574"/>
        <v>-65000000</v>
      </c>
      <c r="CIH69" s="61">
        <f t="shared" si="1574"/>
        <v>-65000000</v>
      </c>
      <c r="CII69" s="61">
        <f t="shared" ref="CII69:CKT69" si="1575">CII68-$EC$11-CII11</f>
        <v>-65000000</v>
      </c>
      <c r="CIJ69" s="61">
        <f t="shared" si="1575"/>
        <v>-65000000</v>
      </c>
      <c r="CIK69" s="61">
        <f t="shared" si="1575"/>
        <v>-65000000</v>
      </c>
      <c r="CIL69" s="61">
        <f t="shared" si="1575"/>
        <v>-65000000</v>
      </c>
      <c r="CIM69" s="61">
        <f t="shared" si="1575"/>
        <v>-65000000</v>
      </c>
      <c r="CIN69" s="61">
        <f t="shared" si="1575"/>
        <v>-65000000</v>
      </c>
      <c r="CIO69" s="61">
        <f t="shared" si="1575"/>
        <v>-65000000</v>
      </c>
      <c r="CIP69" s="61">
        <f t="shared" si="1575"/>
        <v>-65000000</v>
      </c>
      <c r="CIQ69" s="61">
        <f t="shared" si="1575"/>
        <v>-65000000</v>
      </c>
      <c r="CIR69" s="61">
        <f t="shared" si="1575"/>
        <v>-65000000</v>
      </c>
      <c r="CIS69" s="61">
        <f t="shared" si="1575"/>
        <v>-65000000</v>
      </c>
      <c r="CIT69" s="61">
        <f t="shared" si="1575"/>
        <v>-65000000</v>
      </c>
      <c r="CIU69" s="61">
        <f t="shared" si="1575"/>
        <v>-65000000</v>
      </c>
      <c r="CIV69" s="61">
        <f t="shared" si="1575"/>
        <v>-65000000</v>
      </c>
      <c r="CIW69" s="61">
        <f t="shared" si="1575"/>
        <v>-65000000</v>
      </c>
      <c r="CIX69" s="61">
        <f t="shared" si="1575"/>
        <v>-65000000</v>
      </c>
      <c r="CIY69" s="61">
        <f t="shared" si="1575"/>
        <v>-65000000</v>
      </c>
      <c r="CIZ69" s="61">
        <f t="shared" si="1575"/>
        <v>-65000000</v>
      </c>
      <c r="CJA69" s="61">
        <f t="shared" si="1575"/>
        <v>-65000000</v>
      </c>
      <c r="CJB69" s="61">
        <f t="shared" si="1575"/>
        <v>-65000000</v>
      </c>
      <c r="CJC69" s="61">
        <f t="shared" si="1575"/>
        <v>-65000000</v>
      </c>
      <c r="CJD69" s="61">
        <f t="shared" si="1575"/>
        <v>-65000000</v>
      </c>
      <c r="CJE69" s="61">
        <f t="shared" si="1575"/>
        <v>-65000000</v>
      </c>
      <c r="CJF69" s="61">
        <f t="shared" si="1575"/>
        <v>-65000000</v>
      </c>
      <c r="CJG69" s="61">
        <f t="shared" si="1575"/>
        <v>-65000000</v>
      </c>
      <c r="CJH69" s="61">
        <f t="shared" si="1575"/>
        <v>-65000000</v>
      </c>
      <c r="CJI69" s="61">
        <f t="shared" si="1575"/>
        <v>-65000000</v>
      </c>
      <c r="CJJ69" s="61">
        <f t="shared" si="1575"/>
        <v>-65000000</v>
      </c>
      <c r="CJK69" s="61">
        <f t="shared" si="1575"/>
        <v>-65000000</v>
      </c>
      <c r="CJL69" s="61">
        <f t="shared" si="1575"/>
        <v>-65000000</v>
      </c>
      <c r="CJM69" s="61">
        <f t="shared" si="1575"/>
        <v>-65000000</v>
      </c>
      <c r="CJN69" s="61">
        <f t="shared" si="1575"/>
        <v>-65000000</v>
      </c>
      <c r="CJO69" s="61">
        <f t="shared" si="1575"/>
        <v>-65000000</v>
      </c>
      <c r="CJP69" s="61">
        <f t="shared" si="1575"/>
        <v>-65000000</v>
      </c>
      <c r="CJQ69" s="61">
        <f t="shared" si="1575"/>
        <v>-65000000</v>
      </c>
      <c r="CJR69" s="61">
        <f t="shared" si="1575"/>
        <v>-65000000</v>
      </c>
      <c r="CJS69" s="61">
        <f t="shared" si="1575"/>
        <v>-65000000</v>
      </c>
      <c r="CJT69" s="61">
        <f t="shared" si="1575"/>
        <v>-65000000</v>
      </c>
      <c r="CJU69" s="61">
        <f t="shared" si="1575"/>
        <v>-65000000</v>
      </c>
      <c r="CJV69" s="61">
        <f t="shared" si="1575"/>
        <v>-65000000</v>
      </c>
      <c r="CJW69" s="61">
        <f t="shared" si="1575"/>
        <v>-65000000</v>
      </c>
      <c r="CJX69" s="61">
        <f t="shared" si="1575"/>
        <v>-65000000</v>
      </c>
      <c r="CJY69" s="61">
        <f t="shared" si="1575"/>
        <v>-65000000</v>
      </c>
      <c r="CJZ69" s="61">
        <f t="shared" si="1575"/>
        <v>-65000000</v>
      </c>
      <c r="CKA69" s="61">
        <f t="shared" si="1575"/>
        <v>-65000000</v>
      </c>
      <c r="CKB69" s="61">
        <f t="shared" si="1575"/>
        <v>-65000000</v>
      </c>
      <c r="CKC69" s="61">
        <f t="shared" si="1575"/>
        <v>-65000000</v>
      </c>
      <c r="CKD69" s="61">
        <f t="shared" si="1575"/>
        <v>-65000000</v>
      </c>
      <c r="CKE69" s="61">
        <f t="shared" si="1575"/>
        <v>-65000000</v>
      </c>
      <c r="CKF69" s="61">
        <f t="shared" si="1575"/>
        <v>-65000000</v>
      </c>
      <c r="CKG69" s="61">
        <f t="shared" si="1575"/>
        <v>-65000000</v>
      </c>
      <c r="CKH69" s="61">
        <f t="shared" si="1575"/>
        <v>-65000000</v>
      </c>
      <c r="CKI69" s="61">
        <f t="shared" si="1575"/>
        <v>-65000000</v>
      </c>
      <c r="CKJ69" s="61">
        <f t="shared" si="1575"/>
        <v>-65000000</v>
      </c>
      <c r="CKK69" s="61">
        <f t="shared" si="1575"/>
        <v>-65000000</v>
      </c>
      <c r="CKL69" s="61">
        <f t="shared" si="1575"/>
        <v>-65000000</v>
      </c>
      <c r="CKM69" s="61">
        <f t="shared" si="1575"/>
        <v>-65000000</v>
      </c>
      <c r="CKN69" s="61">
        <f t="shared" si="1575"/>
        <v>-65000000</v>
      </c>
      <c r="CKO69" s="61">
        <f t="shared" si="1575"/>
        <v>-65000000</v>
      </c>
      <c r="CKP69" s="61">
        <f t="shared" si="1575"/>
        <v>-65000000</v>
      </c>
      <c r="CKQ69" s="61">
        <f t="shared" si="1575"/>
        <v>-65000000</v>
      </c>
      <c r="CKR69" s="61">
        <f t="shared" si="1575"/>
        <v>-65000000</v>
      </c>
      <c r="CKS69" s="61">
        <f t="shared" si="1575"/>
        <v>-65000000</v>
      </c>
      <c r="CKT69" s="61">
        <f t="shared" si="1575"/>
        <v>-65000000</v>
      </c>
      <c r="CKU69" s="61">
        <f t="shared" ref="CKU69:CNF69" si="1576">CKU68-$EC$11-CKU11</f>
        <v>-65000000</v>
      </c>
      <c r="CKV69" s="61">
        <f t="shared" si="1576"/>
        <v>-65000000</v>
      </c>
      <c r="CKW69" s="61">
        <f t="shared" si="1576"/>
        <v>-65000000</v>
      </c>
      <c r="CKX69" s="61">
        <f t="shared" si="1576"/>
        <v>-65000000</v>
      </c>
      <c r="CKY69" s="61">
        <f t="shared" si="1576"/>
        <v>-65000000</v>
      </c>
      <c r="CKZ69" s="61">
        <f t="shared" si="1576"/>
        <v>-65000000</v>
      </c>
      <c r="CLA69" s="61">
        <f t="shared" si="1576"/>
        <v>-65000000</v>
      </c>
      <c r="CLB69" s="61">
        <f t="shared" si="1576"/>
        <v>-65000000</v>
      </c>
      <c r="CLC69" s="61">
        <f t="shared" si="1576"/>
        <v>-65000000</v>
      </c>
      <c r="CLD69" s="61">
        <f t="shared" si="1576"/>
        <v>-65000000</v>
      </c>
      <c r="CLE69" s="61">
        <f t="shared" si="1576"/>
        <v>-65000000</v>
      </c>
      <c r="CLF69" s="61">
        <f t="shared" si="1576"/>
        <v>-65000000</v>
      </c>
      <c r="CLG69" s="61">
        <f t="shared" si="1576"/>
        <v>-65000000</v>
      </c>
      <c r="CLH69" s="61">
        <f t="shared" si="1576"/>
        <v>-65000000</v>
      </c>
      <c r="CLI69" s="61">
        <f t="shared" si="1576"/>
        <v>-65000000</v>
      </c>
      <c r="CLJ69" s="61">
        <f t="shared" si="1576"/>
        <v>-65000000</v>
      </c>
      <c r="CLK69" s="61">
        <f t="shared" si="1576"/>
        <v>-65000000</v>
      </c>
      <c r="CLL69" s="61">
        <f t="shared" si="1576"/>
        <v>-65000000</v>
      </c>
      <c r="CLM69" s="61">
        <f t="shared" si="1576"/>
        <v>-65000000</v>
      </c>
      <c r="CLN69" s="61">
        <f t="shared" si="1576"/>
        <v>-65000000</v>
      </c>
      <c r="CLO69" s="61">
        <f t="shared" si="1576"/>
        <v>-65000000</v>
      </c>
      <c r="CLP69" s="61">
        <f t="shared" si="1576"/>
        <v>-65000000</v>
      </c>
      <c r="CLQ69" s="61">
        <f t="shared" si="1576"/>
        <v>-65000000</v>
      </c>
      <c r="CLR69" s="61">
        <f t="shared" si="1576"/>
        <v>-65000000</v>
      </c>
      <c r="CLS69" s="61">
        <f t="shared" si="1576"/>
        <v>-65000000</v>
      </c>
      <c r="CLT69" s="61">
        <f t="shared" si="1576"/>
        <v>-65000000</v>
      </c>
      <c r="CLU69" s="61">
        <f t="shared" si="1576"/>
        <v>-65000000</v>
      </c>
      <c r="CLV69" s="61">
        <f t="shared" si="1576"/>
        <v>-65000000</v>
      </c>
      <c r="CLW69" s="61">
        <f t="shared" si="1576"/>
        <v>-65000000</v>
      </c>
      <c r="CLX69" s="61">
        <f t="shared" si="1576"/>
        <v>-65000000</v>
      </c>
      <c r="CLY69" s="61">
        <f t="shared" si="1576"/>
        <v>-65000000</v>
      </c>
      <c r="CLZ69" s="61">
        <f t="shared" si="1576"/>
        <v>-65000000</v>
      </c>
      <c r="CMA69" s="61">
        <f t="shared" si="1576"/>
        <v>-65000000</v>
      </c>
      <c r="CMB69" s="61">
        <f t="shared" si="1576"/>
        <v>-65000000</v>
      </c>
      <c r="CMC69" s="61">
        <f t="shared" si="1576"/>
        <v>-65000000</v>
      </c>
      <c r="CMD69" s="61">
        <f t="shared" si="1576"/>
        <v>-65000000</v>
      </c>
      <c r="CME69" s="61">
        <f t="shared" si="1576"/>
        <v>-65000000</v>
      </c>
      <c r="CMF69" s="61">
        <f t="shared" si="1576"/>
        <v>-65000000</v>
      </c>
      <c r="CMG69" s="61">
        <f t="shared" si="1576"/>
        <v>-65000000</v>
      </c>
      <c r="CMH69" s="61">
        <f t="shared" si="1576"/>
        <v>-65000000</v>
      </c>
      <c r="CMI69" s="61">
        <f t="shared" si="1576"/>
        <v>-65000000</v>
      </c>
      <c r="CMJ69" s="61">
        <f t="shared" si="1576"/>
        <v>-65000000</v>
      </c>
      <c r="CMK69" s="61">
        <f t="shared" si="1576"/>
        <v>-65000000</v>
      </c>
      <c r="CML69" s="61">
        <f t="shared" si="1576"/>
        <v>-65000000</v>
      </c>
      <c r="CMM69" s="61">
        <f t="shared" si="1576"/>
        <v>-65000000</v>
      </c>
      <c r="CMN69" s="61">
        <f t="shared" si="1576"/>
        <v>-65000000</v>
      </c>
      <c r="CMO69" s="61">
        <f t="shared" si="1576"/>
        <v>-65000000</v>
      </c>
      <c r="CMP69" s="61">
        <f t="shared" si="1576"/>
        <v>-65000000</v>
      </c>
      <c r="CMQ69" s="61">
        <f t="shared" si="1576"/>
        <v>-65000000</v>
      </c>
      <c r="CMR69" s="61">
        <f t="shared" si="1576"/>
        <v>-65000000</v>
      </c>
      <c r="CMS69" s="61">
        <f t="shared" si="1576"/>
        <v>-65000000</v>
      </c>
      <c r="CMT69" s="61">
        <f t="shared" si="1576"/>
        <v>-65000000</v>
      </c>
      <c r="CMU69" s="61">
        <f t="shared" si="1576"/>
        <v>-65000000</v>
      </c>
      <c r="CMV69" s="61">
        <f t="shared" si="1576"/>
        <v>-65000000</v>
      </c>
      <c r="CMW69" s="61">
        <f t="shared" si="1576"/>
        <v>-65000000</v>
      </c>
      <c r="CMX69" s="61">
        <f t="shared" si="1576"/>
        <v>-65000000</v>
      </c>
      <c r="CMY69" s="61">
        <f t="shared" si="1576"/>
        <v>-65000000</v>
      </c>
      <c r="CMZ69" s="61">
        <f t="shared" si="1576"/>
        <v>-65000000</v>
      </c>
      <c r="CNA69" s="61">
        <f t="shared" si="1576"/>
        <v>-65000000</v>
      </c>
      <c r="CNB69" s="61">
        <f t="shared" si="1576"/>
        <v>-65000000</v>
      </c>
      <c r="CNC69" s="61">
        <f t="shared" si="1576"/>
        <v>-65000000</v>
      </c>
      <c r="CND69" s="61">
        <f t="shared" si="1576"/>
        <v>-65000000</v>
      </c>
      <c r="CNE69" s="61">
        <f t="shared" si="1576"/>
        <v>-65000000</v>
      </c>
      <c r="CNF69" s="61">
        <f t="shared" si="1576"/>
        <v>-65000000</v>
      </c>
      <c r="CNG69" s="61">
        <f t="shared" ref="CNG69:CPR69" si="1577">CNG68-$EC$11-CNG11</f>
        <v>-65000000</v>
      </c>
      <c r="CNH69" s="61">
        <f t="shared" si="1577"/>
        <v>-65000000</v>
      </c>
      <c r="CNI69" s="61">
        <f t="shared" si="1577"/>
        <v>-65000000</v>
      </c>
      <c r="CNJ69" s="61">
        <f t="shared" si="1577"/>
        <v>-65000000</v>
      </c>
      <c r="CNK69" s="61">
        <f t="shared" si="1577"/>
        <v>-65000000</v>
      </c>
      <c r="CNL69" s="61">
        <f t="shared" si="1577"/>
        <v>-65000000</v>
      </c>
      <c r="CNM69" s="61">
        <f t="shared" si="1577"/>
        <v>-65000000</v>
      </c>
      <c r="CNN69" s="61">
        <f t="shared" si="1577"/>
        <v>-65000000</v>
      </c>
      <c r="CNO69" s="61">
        <f t="shared" si="1577"/>
        <v>-65000000</v>
      </c>
      <c r="CNP69" s="61">
        <f t="shared" si="1577"/>
        <v>-65000000</v>
      </c>
      <c r="CNQ69" s="61">
        <f t="shared" si="1577"/>
        <v>-65000000</v>
      </c>
      <c r="CNR69" s="61">
        <f t="shared" si="1577"/>
        <v>-65000000</v>
      </c>
      <c r="CNS69" s="61">
        <f t="shared" si="1577"/>
        <v>-65000000</v>
      </c>
      <c r="CNT69" s="61">
        <f t="shared" si="1577"/>
        <v>-65000000</v>
      </c>
      <c r="CNU69" s="61">
        <f t="shared" si="1577"/>
        <v>-65000000</v>
      </c>
      <c r="CNV69" s="61">
        <f t="shared" si="1577"/>
        <v>-65000000</v>
      </c>
      <c r="CNW69" s="61">
        <f t="shared" si="1577"/>
        <v>-65000000</v>
      </c>
      <c r="CNX69" s="61">
        <f t="shared" si="1577"/>
        <v>-65000000</v>
      </c>
      <c r="CNY69" s="61">
        <f t="shared" si="1577"/>
        <v>-65000000</v>
      </c>
      <c r="CNZ69" s="61">
        <f t="shared" si="1577"/>
        <v>-65000000</v>
      </c>
      <c r="COA69" s="61">
        <f t="shared" si="1577"/>
        <v>-65000000</v>
      </c>
      <c r="COB69" s="61">
        <f t="shared" si="1577"/>
        <v>-65000000</v>
      </c>
      <c r="COC69" s="61">
        <f t="shared" si="1577"/>
        <v>-65000000</v>
      </c>
      <c r="COD69" s="61">
        <f t="shared" si="1577"/>
        <v>-65000000</v>
      </c>
      <c r="COE69" s="61">
        <f t="shared" si="1577"/>
        <v>-65000000</v>
      </c>
      <c r="COF69" s="61">
        <f t="shared" si="1577"/>
        <v>-65000000</v>
      </c>
      <c r="COG69" s="61">
        <f t="shared" si="1577"/>
        <v>-65000000</v>
      </c>
      <c r="COH69" s="61">
        <f t="shared" si="1577"/>
        <v>-65000000</v>
      </c>
      <c r="COI69" s="61">
        <f t="shared" si="1577"/>
        <v>-65000000</v>
      </c>
      <c r="COJ69" s="61">
        <f t="shared" si="1577"/>
        <v>-65000000</v>
      </c>
      <c r="COK69" s="61">
        <f t="shared" si="1577"/>
        <v>-65000000</v>
      </c>
      <c r="COL69" s="61">
        <f t="shared" si="1577"/>
        <v>-65000000</v>
      </c>
      <c r="COM69" s="61">
        <f t="shared" si="1577"/>
        <v>-65000000</v>
      </c>
      <c r="CON69" s="61">
        <f t="shared" si="1577"/>
        <v>-65000000</v>
      </c>
      <c r="COO69" s="61">
        <f t="shared" si="1577"/>
        <v>-65000000</v>
      </c>
      <c r="COP69" s="61">
        <f t="shared" si="1577"/>
        <v>-65000000</v>
      </c>
      <c r="COQ69" s="61">
        <f t="shared" si="1577"/>
        <v>-65000000</v>
      </c>
      <c r="COR69" s="61">
        <f t="shared" si="1577"/>
        <v>-65000000</v>
      </c>
      <c r="COS69" s="61">
        <f t="shared" si="1577"/>
        <v>-65000000</v>
      </c>
      <c r="COT69" s="61">
        <f t="shared" si="1577"/>
        <v>-65000000</v>
      </c>
      <c r="COU69" s="61">
        <f t="shared" si="1577"/>
        <v>-65000000</v>
      </c>
      <c r="COV69" s="61">
        <f t="shared" si="1577"/>
        <v>-65000000</v>
      </c>
      <c r="COW69" s="61">
        <f t="shared" si="1577"/>
        <v>-65000000</v>
      </c>
      <c r="COX69" s="61">
        <f t="shared" si="1577"/>
        <v>-65000000</v>
      </c>
      <c r="COY69" s="61">
        <f t="shared" si="1577"/>
        <v>-65000000</v>
      </c>
      <c r="COZ69" s="61">
        <f t="shared" si="1577"/>
        <v>-65000000</v>
      </c>
      <c r="CPA69" s="61">
        <f t="shared" si="1577"/>
        <v>-65000000</v>
      </c>
      <c r="CPB69" s="61">
        <f t="shared" si="1577"/>
        <v>-65000000</v>
      </c>
      <c r="CPC69" s="61">
        <f t="shared" si="1577"/>
        <v>-65000000</v>
      </c>
      <c r="CPD69" s="61">
        <f t="shared" si="1577"/>
        <v>-65000000</v>
      </c>
      <c r="CPE69" s="61">
        <f t="shared" si="1577"/>
        <v>-65000000</v>
      </c>
      <c r="CPF69" s="61">
        <f t="shared" si="1577"/>
        <v>-65000000</v>
      </c>
      <c r="CPG69" s="61">
        <f t="shared" si="1577"/>
        <v>-65000000</v>
      </c>
      <c r="CPH69" s="61">
        <f t="shared" si="1577"/>
        <v>-65000000</v>
      </c>
      <c r="CPI69" s="61">
        <f t="shared" si="1577"/>
        <v>-65000000</v>
      </c>
      <c r="CPJ69" s="61">
        <f t="shared" si="1577"/>
        <v>-65000000</v>
      </c>
      <c r="CPK69" s="61">
        <f t="shared" si="1577"/>
        <v>-65000000</v>
      </c>
      <c r="CPL69" s="61">
        <f t="shared" si="1577"/>
        <v>-65000000</v>
      </c>
      <c r="CPM69" s="61">
        <f t="shared" si="1577"/>
        <v>-65000000</v>
      </c>
      <c r="CPN69" s="61">
        <f t="shared" si="1577"/>
        <v>-65000000</v>
      </c>
      <c r="CPO69" s="61">
        <f t="shared" si="1577"/>
        <v>-65000000</v>
      </c>
      <c r="CPP69" s="61">
        <f t="shared" si="1577"/>
        <v>-65000000</v>
      </c>
      <c r="CPQ69" s="61">
        <f t="shared" si="1577"/>
        <v>-65000000</v>
      </c>
      <c r="CPR69" s="61">
        <f t="shared" si="1577"/>
        <v>-65000000</v>
      </c>
      <c r="CPS69" s="61">
        <f t="shared" ref="CPS69:CSD69" si="1578">CPS68-$EC$11-CPS11</f>
        <v>-65000000</v>
      </c>
      <c r="CPT69" s="61">
        <f t="shared" si="1578"/>
        <v>-65000000</v>
      </c>
      <c r="CPU69" s="61">
        <f t="shared" si="1578"/>
        <v>-65000000</v>
      </c>
      <c r="CPV69" s="61">
        <f t="shared" si="1578"/>
        <v>-65000000</v>
      </c>
      <c r="CPW69" s="61">
        <f t="shared" si="1578"/>
        <v>-65000000</v>
      </c>
      <c r="CPX69" s="61">
        <f t="shared" si="1578"/>
        <v>-65000000</v>
      </c>
      <c r="CPY69" s="61">
        <f t="shared" si="1578"/>
        <v>-65000000</v>
      </c>
      <c r="CPZ69" s="61">
        <f t="shared" si="1578"/>
        <v>-65000000</v>
      </c>
      <c r="CQA69" s="61">
        <f t="shared" si="1578"/>
        <v>-65000000</v>
      </c>
      <c r="CQB69" s="61">
        <f t="shared" si="1578"/>
        <v>-65000000</v>
      </c>
      <c r="CQC69" s="61">
        <f t="shared" si="1578"/>
        <v>-65000000</v>
      </c>
      <c r="CQD69" s="61">
        <f t="shared" si="1578"/>
        <v>-65000000</v>
      </c>
      <c r="CQE69" s="61">
        <f t="shared" si="1578"/>
        <v>-65000000</v>
      </c>
      <c r="CQF69" s="61">
        <f t="shared" si="1578"/>
        <v>-65000000</v>
      </c>
      <c r="CQG69" s="61">
        <f t="shared" si="1578"/>
        <v>-65000000</v>
      </c>
      <c r="CQH69" s="61">
        <f t="shared" si="1578"/>
        <v>-65000000</v>
      </c>
      <c r="CQI69" s="61">
        <f t="shared" si="1578"/>
        <v>-65000000</v>
      </c>
      <c r="CQJ69" s="61">
        <f t="shared" si="1578"/>
        <v>-65000000</v>
      </c>
      <c r="CQK69" s="61">
        <f t="shared" si="1578"/>
        <v>-65000000</v>
      </c>
      <c r="CQL69" s="61">
        <f t="shared" si="1578"/>
        <v>-65000000</v>
      </c>
      <c r="CQM69" s="61">
        <f t="shared" si="1578"/>
        <v>-65000000</v>
      </c>
      <c r="CQN69" s="61">
        <f t="shared" si="1578"/>
        <v>-65000000</v>
      </c>
      <c r="CQO69" s="61">
        <f t="shared" si="1578"/>
        <v>-65000000</v>
      </c>
      <c r="CQP69" s="61">
        <f t="shared" si="1578"/>
        <v>-65000000</v>
      </c>
      <c r="CQQ69" s="61">
        <f t="shared" si="1578"/>
        <v>-65000000</v>
      </c>
      <c r="CQR69" s="61">
        <f t="shared" si="1578"/>
        <v>-65000000</v>
      </c>
      <c r="CQS69" s="61">
        <f t="shared" si="1578"/>
        <v>-65000000</v>
      </c>
      <c r="CQT69" s="61">
        <f t="shared" si="1578"/>
        <v>-65000000</v>
      </c>
      <c r="CQU69" s="61">
        <f t="shared" si="1578"/>
        <v>-65000000</v>
      </c>
      <c r="CQV69" s="61">
        <f t="shared" si="1578"/>
        <v>-65000000</v>
      </c>
      <c r="CQW69" s="61">
        <f t="shared" si="1578"/>
        <v>-65000000</v>
      </c>
      <c r="CQX69" s="61">
        <f t="shared" si="1578"/>
        <v>-65000000</v>
      </c>
      <c r="CQY69" s="61">
        <f t="shared" si="1578"/>
        <v>-65000000</v>
      </c>
      <c r="CQZ69" s="61">
        <f t="shared" si="1578"/>
        <v>-65000000</v>
      </c>
      <c r="CRA69" s="61">
        <f t="shared" si="1578"/>
        <v>-65000000</v>
      </c>
      <c r="CRB69" s="61">
        <f t="shared" si="1578"/>
        <v>-65000000</v>
      </c>
      <c r="CRC69" s="61">
        <f t="shared" si="1578"/>
        <v>-65000000</v>
      </c>
      <c r="CRD69" s="61">
        <f t="shared" si="1578"/>
        <v>-65000000</v>
      </c>
      <c r="CRE69" s="61">
        <f t="shared" si="1578"/>
        <v>-65000000</v>
      </c>
      <c r="CRF69" s="61">
        <f t="shared" si="1578"/>
        <v>-65000000</v>
      </c>
      <c r="CRG69" s="61">
        <f t="shared" si="1578"/>
        <v>-65000000</v>
      </c>
      <c r="CRH69" s="61">
        <f t="shared" si="1578"/>
        <v>-65000000</v>
      </c>
      <c r="CRI69" s="61">
        <f t="shared" si="1578"/>
        <v>-65000000</v>
      </c>
      <c r="CRJ69" s="61">
        <f t="shared" si="1578"/>
        <v>-65000000</v>
      </c>
      <c r="CRK69" s="61">
        <f t="shared" si="1578"/>
        <v>-65000000</v>
      </c>
      <c r="CRL69" s="61">
        <f t="shared" si="1578"/>
        <v>-65000000</v>
      </c>
      <c r="CRM69" s="61">
        <f t="shared" si="1578"/>
        <v>-65000000</v>
      </c>
      <c r="CRN69" s="61">
        <f t="shared" si="1578"/>
        <v>-65000000</v>
      </c>
      <c r="CRO69" s="61">
        <f t="shared" si="1578"/>
        <v>-65000000</v>
      </c>
      <c r="CRP69" s="61">
        <f t="shared" si="1578"/>
        <v>-65000000</v>
      </c>
      <c r="CRQ69" s="61">
        <f t="shared" si="1578"/>
        <v>-65000000</v>
      </c>
      <c r="CRR69" s="61">
        <f t="shared" si="1578"/>
        <v>-65000000</v>
      </c>
      <c r="CRS69" s="61">
        <f t="shared" si="1578"/>
        <v>-65000000</v>
      </c>
      <c r="CRT69" s="61">
        <f t="shared" si="1578"/>
        <v>-65000000</v>
      </c>
      <c r="CRU69" s="61">
        <f t="shared" si="1578"/>
        <v>-65000000</v>
      </c>
      <c r="CRV69" s="61">
        <f t="shared" si="1578"/>
        <v>-65000000</v>
      </c>
      <c r="CRW69" s="61">
        <f t="shared" si="1578"/>
        <v>-65000000</v>
      </c>
      <c r="CRX69" s="61">
        <f t="shared" si="1578"/>
        <v>-65000000</v>
      </c>
      <c r="CRY69" s="61">
        <f t="shared" si="1578"/>
        <v>-65000000</v>
      </c>
      <c r="CRZ69" s="61">
        <f t="shared" si="1578"/>
        <v>-65000000</v>
      </c>
      <c r="CSA69" s="61">
        <f t="shared" si="1578"/>
        <v>-65000000</v>
      </c>
      <c r="CSB69" s="61">
        <f t="shared" si="1578"/>
        <v>-65000000</v>
      </c>
      <c r="CSC69" s="61">
        <f t="shared" si="1578"/>
        <v>-65000000</v>
      </c>
      <c r="CSD69" s="61">
        <f t="shared" si="1578"/>
        <v>-65000000</v>
      </c>
      <c r="CSE69" s="61">
        <f t="shared" ref="CSE69:CUP69" si="1579">CSE68-$EC$11-CSE11</f>
        <v>-65000000</v>
      </c>
      <c r="CSF69" s="61">
        <f t="shared" si="1579"/>
        <v>-65000000</v>
      </c>
      <c r="CSG69" s="61">
        <f t="shared" si="1579"/>
        <v>-65000000</v>
      </c>
      <c r="CSH69" s="61">
        <f t="shared" si="1579"/>
        <v>-65000000</v>
      </c>
      <c r="CSI69" s="61">
        <f t="shared" si="1579"/>
        <v>-65000000</v>
      </c>
      <c r="CSJ69" s="61">
        <f t="shared" si="1579"/>
        <v>-65000000</v>
      </c>
      <c r="CSK69" s="61">
        <f t="shared" si="1579"/>
        <v>-65000000</v>
      </c>
      <c r="CSL69" s="61">
        <f t="shared" si="1579"/>
        <v>-65000000</v>
      </c>
      <c r="CSM69" s="61">
        <f t="shared" si="1579"/>
        <v>-65000000</v>
      </c>
      <c r="CSN69" s="61">
        <f t="shared" si="1579"/>
        <v>-65000000</v>
      </c>
      <c r="CSO69" s="61">
        <f t="shared" si="1579"/>
        <v>-65000000</v>
      </c>
      <c r="CSP69" s="61">
        <f t="shared" si="1579"/>
        <v>-65000000</v>
      </c>
      <c r="CSQ69" s="61">
        <f t="shared" si="1579"/>
        <v>-65000000</v>
      </c>
      <c r="CSR69" s="61">
        <f t="shared" si="1579"/>
        <v>-65000000</v>
      </c>
      <c r="CSS69" s="61">
        <f t="shared" si="1579"/>
        <v>-65000000</v>
      </c>
      <c r="CST69" s="61">
        <f t="shared" si="1579"/>
        <v>-65000000</v>
      </c>
      <c r="CSU69" s="61">
        <f t="shared" si="1579"/>
        <v>-65000000</v>
      </c>
      <c r="CSV69" s="61">
        <f t="shared" si="1579"/>
        <v>-65000000</v>
      </c>
      <c r="CSW69" s="61">
        <f t="shared" si="1579"/>
        <v>-65000000</v>
      </c>
      <c r="CSX69" s="61">
        <f t="shared" si="1579"/>
        <v>-65000000</v>
      </c>
      <c r="CSY69" s="61">
        <f t="shared" si="1579"/>
        <v>-65000000</v>
      </c>
      <c r="CSZ69" s="61">
        <f t="shared" si="1579"/>
        <v>-65000000</v>
      </c>
      <c r="CTA69" s="61">
        <f t="shared" si="1579"/>
        <v>-65000000</v>
      </c>
      <c r="CTB69" s="61">
        <f t="shared" si="1579"/>
        <v>-65000000</v>
      </c>
      <c r="CTC69" s="61">
        <f t="shared" si="1579"/>
        <v>-65000000</v>
      </c>
      <c r="CTD69" s="61">
        <f t="shared" si="1579"/>
        <v>-65000000</v>
      </c>
      <c r="CTE69" s="61">
        <f t="shared" si="1579"/>
        <v>-65000000</v>
      </c>
      <c r="CTF69" s="61">
        <f t="shared" si="1579"/>
        <v>-65000000</v>
      </c>
      <c r="CTG69" s="61">
        <f t="shared" si="1579"/>
        <v>-65000000</v>
      </c>
      <c r="CTH69" s="61">
        <f t="shared" si="1579"/>
        <v>-65000000</v>
      </c>
      <c r="CTI69" s="61">
        <f t="shared" si="1579"/>
        <v>-65000000</v>
      </c>
      <c r="CTJ69" s="61">
        <f t="shared" si="1579"/>
        <v>-65000000</v>
      </c>
      <c r="CTK69" s="61">
        <f t="shared" si="1579"/>
        <v>-65000000</v>
      </c>
      <c r="CTL69" s="61">
        <f t="shared" si="1579"/>
        <v>-65000000</v>
      </c>
      <c r="CTM69" s="61">
        <f t="shared" si="1579"/>
        <v>-65000000</v>
      </c>
      <c r="CTN69" s="61">
        <f t="shared" si="1579"/>
        <v>-65000000</v>
      </c>
      <c r="CTO69" s="61">
        <f t="shared" si="1579"/>
        <v>-65000000</v>
      </c>
      <c r="CTP69" s="61">
        <f t="shared" si="1579"/>
        <v>-65000000</v>
      </c>
      <c r="CTQ69" s="61">
        <f t="shared" si="1579"/>
        <v>-65000000</v>
      </c>
      <c r="CTR69" s="61">
        <f t="shared" si="1579"/>
        <v>-65000000</v>
      </c>
      <c r="CTS69" s="61">
        <f t="shared" si="1579"/>
        <v>-65000000</v>
      </c>
      <c r="CTT69" s="61">
        <f t="shared" si="1579"/>
        <v>-65000000</v>
      </c>
      <c r="CTU69" s="61">
        <f t="shared" si="1579"/>
        <v>-65000000</v>
      </c>
      <c r="CTV69" s="61">
        <f t="shared" si="1579"/>
        <v>-65000000</v>
      </c>
      <c r="CTW69" s="61">
        <f t="shared" si="1579"/>
        <v>-65000000</v>
      </c>
      <c r="CTX69" s="61">
        <f t="shared" si="1579"/>
        <v>-65000000</v>
      </c>
      <c r="CTY69" s="61">
        <f t="shared" si="1579"/>
        <v>-65000000</v>
      </c>
      <c r="CTZ69" s="61">
        <f t="shared" si="1579"/>
        <v>-65000000</v>
      </c>
      <c r="CUA69" s="61">
        <f t="shared" si="1579"/>
        <v>-65000000</v>
      </c>
      <c r="CUB69" s="61">
        <f t="shared" si="1579"/>
        <v>-65000000</v>
      </c>
      <c r="CUC69" s="61">
        <f t="shared" si="1579"/>
        <v>-65000000</v>
      </c>
      <c r="CUD69" s="61">
        <f t="shared" si="1579"/>
        <v>-65000000</v>
      </c>
      <c r="CUE69" s="61">
        <f t="shared" si="1579"/>
        <v>-65000000</v>
      </c>
      <c r="CUF69" s="61">
        <f t="shared" si="1579"/>
        <v>-65000000</v>
      </c>
      <c r="CUG69" s="61">
        <f t="shared" si="1579"/>
        <v>-65000000</v>
      </c>
      <c r="CUH69" s="61">
        <f t="shared" si="1579"/>
        <v>-65000000</v>
      </c>
      <c r="CUI69" s="61">
        <f t="shared" si="1579"/>
        <v>-65000000</v>
      </c>
      <c r="CUJ69" s="61">
        <f t="shared" si="1579"/>
        <v>-65000000</v>
      </c>
      <c r="CUK69" s="61">
        <f t="shared" si="1579"/>
        <v>-65000000</v>
      </c>
      <c r="CUL69" s="61">
        <f t="shared" si="1579"/>
        <v>-65000000</v>
      </c>
      <c r="CUM69" s="61">
        <f t="shared" si="1579"/>
        <v>-65000000</v>
      </c>
      <c r="CUN69" s="61">
        <f t="shared" si="1579"/>
        <v>-65000000</v>
      </c>
      <c r="CUO69" s="61">
        <f t="shared" si="1579"/>
        <v>-65000000</v>
      </c>
      <c r="CUP69" s="61">
        <f t="shared" si="1579"/>
        <v>-65000000</v>
      </c>
      <c r="CUQ69" s="61">
        <f t="shared" ref="CUQ69:CXB69" si="1580">CUQ68-$EC$11-CUQ11</f>
        <v>-65000000</v>
      </c>
      <c r="CUR69" s="61">
        <f t="shared" si="1580"/>
        <v>-65000000</v>
      </c>
      <c r="CUS69" s="61">
        <f t="shared" si="1580"/>
        <v>-65000000</v>
      </c>
      <c r="CUT69" s="61">
        <f t="shared" si="1580"/>
        <v>-65000000</v>
      </c>
      <c r="CUU69" s="61">
        <f t="shared" si="1580"/>
        <v>-65000000</v>
      </c>
      <c r="CUV69" s="61">
        <f t="shared" si="1580"/>
        <v>-65000000</v>
      </c>
      <c r="CUW69" s="61">
        <f t="shared" si="1580"/>
        <v>-65000000</v>
      </c>
      <c r="CUX69" s="61">
        <f t="shared" si="1580"/>
        <v>-65000000</v>
      </c>
      <c r="CUY69" s="61">
        <f t="shared" si="1580"/>
        <v>-65000000</v>
      </c>
      <c r="CUZ69" s="61">
        <f t="shared" si="1580"/>
        <v>-65000000</v>
      </c>
      <c r="CVA69" s="61">
        <f t="shared" si="1580"/>
        <v>-65000000</v>
      </c>
      <c r="CVB69" s="61">
        <f t="shared" si="1580"/>
        <v>-65000000</v>
      </c>
      <c r="CVC69" s="61">
        <f t="shared" si="1580"/>
        <v>-65000000</v>
      </c>
      <c r="CVD69" s="61">
        <f t="shared" si="1580"/>
        <v>-65000000</v>
      </c>
      <c r="CVE69" s="61">
        <f t="shared" si="1580"/>
        <v>-65000000</v>
      </c>
      <c r="CVF69" s="61">
        <f t="shared" si="1580"/>
        <v>-65000000</v>
      </c>
      <c r="CVG69" s="61">
        <f t="shared" si="1580"/>
        <v>-65000000</v>
      </c>
      <c r="CVH69" s="61">
        <f t="shared" si="1580"/>
        <v>-65000000</v>
      </c>
      <c r="CVI69" s="61">
        <f t="shared" si="1580"/>
        <v>-65000000</v>
      </c>
      <c r="CVJ69" s="61">
        <f t="shared" si="1580"/>
        <v>-65000000</v>
      </c>
      <c r="CVK69" s="61">
        <f t="shared" si="1580"/>
        <v>-65000000</v>
      </c>
      <c r="CVL69" s="61">
        <f t="shared" si="1580"/>
        <v>-65000000</v>
      </c>
      <c r="CVM69" s="61">
        <f t="shared" si="1580"/>
        <v>-65000000</v>
      </c>
      <c r="CVN69" s="61">
        <f t="shared" si="1580"/>
        <v>-65000000</v>
      </c>
      <c r="CVO69" s="61">
        <f t="shared" si="1580"/>
        <v>-65000000</v>
      </c>
      <c r="CVP69" s="61">
        <f t="shared" si="1580"/>
        <v>-65000000</v>
      </c>
      <c r="CVQ69" s="61">
        <f t="shared" si="1580"/>
        <v>-65000000</v>
      </c>
      <c r="CVR69" s="61">
        <f t="shared" si="1580"/>
        <v>-65000000</v>
      </c>
      <c r="CVS69" s="61">
        <f t="shared" si="1580"/>
        <v>-65000000</v>
      </c>
      <c r="CVT69" s="61">
        <f t="shared" si="1580"/>
        <v>-65000000</v>
      </c>
      <c r="CVU69" s="61">
        <f t="shared" si="1580"/>
        <v>-65000000</v>
      </c>
      <c r="CVV69" s="61">
        <f t="shared" si="1580"/>
        <v>-65000000</v>
      </c>
      <c r="CVW69" s="61">
        <f t="shared" si="1580"/>
        <v>-65000000</v>
      </c>
      <c r="CVX69" s="61">
        <f t="shared" si="1580"/>
        <v>-65000000</v>
      </c>
      <c r="CVY69" s="61">
        <f t="shared" si="1580"/>
        <v>-65000000</v>
      </c>
      <c r="CVZ69" s="61">
        <f t="shared" si="1580"/>
        <v>-65000000</v>
      </c>
      <c r="CWA69" s="61">
        <f t="shared" si="1580"/>
        <v>-65000000</v>
      </c>
      <c r="CWB69" s="61">
        <f t="shared" si="1580"/>
        <v>-65000000</v>
      </c>
      <c r="CWC69" s="61">
        <f t="shared" si="1580"/>
        <v>-65000000</v>
      </c>
      <c r="CWD69" s="61">
        <f t="shared" si="1580"/>
        <v>-65000000</v>
      </c>
      <c r="CWE69" s="61">
        <f t="shared" si="1580"/>
        <v>-65000000</v>
      </c>
      <c r="CWF69" s="61">
        <f t="shared" si="1580"/>
        <v>-65000000</v>
      </c>
      <c r="CWG69" s="61">
        <f t="shared" si="1580"/>
        <v>-65000000</v>
      </c>
      <c r="CWH69" s="61">
        <f t="shared" si="1580"/>
        <v>-65000000</v>
      </c>
      <c r="CWI69" s="61">
        <f t="shared" si="1580"/>
        <v>-65000000</v>
      </c>
      <c r="CWJ69" s="61">
        <f t="shared" si="1580"/>
        <v>-65000000</v>
      </c>
      <c r="CWK69" s="61">
        <f t="shared" si="1580"/>
        <v>-65000000</v>
      </c>
      <c r="CWL69" s="61">
        <f t="shared" si="1580"/>
        <v>-65000000</v>
      </c>
      <c r="CWM69" s="61">
        <f t="shared" si="1580"/>
        <v>-65000000</v>
      </c>
      <c r="CWN69" s="61">
        <f t="shared" si="1580"/>
        <v>-65000000</v>
      </c>
      <c r="CWO69" s="61">
        <f t="shared" si="1580"/>
        <v>-65000000</v>
      </c>
      <c r="CWP69" s="61">
        <f t="shared" si="1580"/>
        <v>-65000000</v>
      </c>
      <c r="CWQ69" s="61">
        <f t="shared" si="1580"/>
        <v>-65000000</v>
      </c>
      <c r="CWR69" s="61">
        <f t="shared" si="1580"/>
        <v>-65000000</v>
      </c>
      <c r="CWS69" s="61">
        <f t="shared" si="1580"/>
        <v>-65000000</v>
      </c>
      <c r="CWT69" s="61">
        <f t="shared" si="1580"/>
        <v>-65000000</v>
      </c>
      <c r="CWU69" s="61">
        <f t="shared" si="1580"/>
        <v>-65000000</v>
      </c>
      <c r="CWV69" s="61">
        <f t="shared" si="1580"/>
        <v>-65000000</v>
      </c>
      <c r="CWW69" s="61">
        <f t="shared" si="1580"/>
        <v>-65000000</v>
      </c>
      <c r="CWX69" s="61">
        <f t="shared" si="1580"/>
        <v>-65000000</v>
      </c>
      <c r="CWY69" s="61">
        <f t="shared" si="1580"/>
        <v>-65000000</v>
      </c>
      <c r="CWZ69" s="61">
        <f t="shared" si="1580"/>
        <v>-65000000</v>
      </c>
      <c r="CXA69" s="61">
        <f t="shared" si="1580"/>
        <v>-65000000</v>
      </c>
      <c r="CXB69" s="61">
        <f t="shared" si="1580"/>
        <v>-65000000</v>
      </c>
      <c r="CXC69" s="61">
        <f t="shared" ref="CXC69:CZN69" si="1581">CXC68-$EC$11-CXC11</f>
        <v>-65000000</v>
      </c>
      <c r="CXD69" s="61">
        <f t="shared" si="1581"/>
        <v>-65000000</v>
      </c>
      <c r="CXE69" s="61">
        <f t="shared" si="1581"/>
        <v>-65000000</v>
      </c>
      <c r="CXF69" s="61">
        <f t="shared" si="1581"/>
        <v>-65000000</v>
      </c>
      <c r="CXG69" s="61">
        <f t="shared" si="1581"/>
        <v>-65000000</v>
      </c>
      <c r="CXH69" s="61">
        <f t="shared" si="1581"/>
        <v>-65000000</v>
      </c>
      <c r="CXI69" s="61">
        <f t="shared" si="1581"/>
        <v>-65000000</v>
      </c>
      <c r="CXJ69" s="61">
        <f t="shared" si="1581"/>
        <v>-65000000</v>
      </c>
      <c r="CXK69" s="61">
        <f t="shared" si="1581"/>
        <v>-65000000</v>
      </c>
      <c r="CXL69" s="61">
        <f t="shared" si="1581"/>
        <v>-65000000</v>
      </c>
      <c r="CXM69" s="61">
        <f t="shared" si="1581"/>
        <v>-65000000</v>
      </c>
      <c r="CXN69" s="61">
        <f t="shared" si="1581"/>
        <v>-65000000</v>
      </c>
      <c r="CXO69" s="61">
        <f t="shared" si="1581"/>
        <v>-65000000</v>
      </c>
      <c r="CXP69" s="61">
        <f t="shared" si="1581"/>
        <v>-65000000</v>
      </c>
      <c r="CXQ69" s="61">
        <f t="shared" si="1581"/>
        <v>-65000000</v>
      </c>
      <c r="CXR69" s="61">
        <f t="shared" si="1581"/>
        <v>-65000000</v>
      </c>
      <c r="CXS69" s="61">
        <f t="shared" si="1581"/>
        <v>-65000000</v>
      </c>
      <c r="CXT69" s="61">
        <f t="shared" si="1581"/>
        <v>-65000000</v>
      </c>
      <c r="CXU69" s="61">
        <f t="shared" si="1581"/>
        <v>-65000000</v>
      </c>
      <c r="CXV69" s="61">
        <f t="shared" si="1581"/>
        <v>-65000000</v>
      </c>
      <c r="CXW69" s="61">
        <f t="shared" si="1581"/>
        <v>-65000000</v>
      </c>
      <c r="CXX69" s="61">
        <f t="shared" si="1581"/>
        <v>-65000000</v>
      </c>
      <c r="CXY69" s="61">
        <f t="shared" si="1581"/>
        <v>-65000000</v>
      </c>
      <c r="CXZ69" s="61">
        <f t="shared" si="1581"/>
        <v>-65000000</v>
      </c>
      <c r="CYA69" s="61">
        <f t="shared" si="1581"/>
        <v>-65000000</v>
      </c>
      <c r="CYB69" s="61">
        <f t="shared" si="1581"/>
        <v>-65000000</v>
      </c>
      <c r="CYC69" s="61">
        <f t="shared" si="1581"/>
        <v>-65000000</v>
      </c>
      <c r="CYD69" s="61">
        <f t="shared" si="1581"/>
        <v>-65000000</v>
      </c>
      <c r="CYE69" s="61">
        <f t="shared" si="1581"/>
        <v>-65000000</v>
      </c>
      <c r="CYF69" s="61">
        <f t="shared" si="1581"/>
        <v>-65000000</v>
      </c>
      <c r="CYG69" s="61">
        <f t="shared" si="1581"/>
        <v>-65000000</v>
      </c>
      <c r="CYH69" s="61">
        <f t="shared" si="1581"/>
        <v>-65000000</v>
      </c>
      <c r="CYI69" s="61">
        <f t="shared" si="1581"/>
        <v>-65000000</v>
      </c>
      <c r="CYJ69" s="61">
        <f t="shared" si="1581"/>
        <v>-65000000</v>
      </c>
      <c r="CYK69" s="61">
        <f t="shared" si="1581"/>
        <v>-65000000</v>
      </c>
      <c r="CYL69" s="61">
        <f t="shared" si="1581"/>
        <v>-65000000</v>
      </c>
      <c r="CYM69" s="61">
        <f t="shared" si="1581"/>
        <v>-65000000</v>
      </c>
      <c r="CYN69" s="61">
        <f t="shared" si="1581"/>
        <v>-65000000</v>
      </c>
      <c r="CYO69" s="61">
        <f t="shared" si="1581"/>
        <v>-65000000</v>
      </c>
      <c r="CYP69" s="61">
        <f t="shared" si="1581"/>
        <v>-65000000</v>
      </c>
      <c r="CYQ69" s="61">
        <f t="shared" si="1581"/>
        <v>-65000000</v>
      </c>
      <c r="CYR69" s="61">
        <f t="shared" si="1581"/>
        <v>-65000000</v>
      </c>
      <c r="CYS69" s="61">
        <f t="shared" si="1581"/>
        <v>-65000000</v>
      </c>
      <c r="CYT69" s="61">
        <f t="shared" si="1581"/>
        <v>-65000000</v>
      </c>
      <c r="CYU69" s="61">
        <f t="shared" si="1581"/>
        <v>-65000000</v>
      </c>
      <c r="CYV69" s="61">
        <f t="shared" si="1581"/>
        <v>-65000000</v>
      </c>
      <c r="CYW69" s="61">
        <f t="shared" si="1581"/>
        <v>-65000000</v>
      </c>
      <c r="CYX69" s="61">
        <f t="shared" si="1581"/>
        <v>-65000000</v>
      </c>
      <c r="CYY69" s="61">
        <f t="shared" si="1581"/>
        <v>-65000000</v>
      </c>
      <c r="CYZ69" s="61">
        <f t="shared" si="1581"/>
        <v>-65000000</v>
      </c>
      <c r="CZA69" s="61">
        <f t="shared" si="1581"/>
        <v>-65000000</v>
      </c>
      <c r="CZB69" s="61">
        <f t="shared" si="1581"/>
        <v>-65000000</v>
      </c>
      <c r="CZC69" s="61">
        <f t="shared" si="1581"/>
        <v>-65000000</v>
      </c>
      <c r="CZD69" s="61">
        <f t="shared" si="1581"/>
        <v>-65000000</v>
      </c>
      <c r="CZE69" s="61">
        <f t="shared" si="1581"/>
        <v>-65000000</v>
      </c>
      <c r="CZF69" s="61">
        <f t="shared" si="1581"/>
        <v>-65000000</v>
      </c>
      <c r="CZG69" s="61">
        <f t="shared" si="1581"/>
        <v>-65000000</v>
      </c>
      <c r="CZH69" s="61">
        <f t="shared" si="1581"/>
        <v>-65000000</v>
      </c>
      <c r="CZI69" s="61">
        <f t="shared" si="1581"/>
        <v>-65000000</v>
      </c>
      <c r="CZJ69" s="61">
        <f t="shared" si="1581"/>
        <v>-65000000</v>
      </c>
      <c r="CZK69" s="61">
        <f t="shared" si="1581"/>
        <v>-65000000</v>
      </c>
      <c r="CZL69" s="61">
        <f t="shared" si="1581"/>
        <v>-65000000</v>
      </c>
      <c r="CZM69" s="61">
        <f t="shared" si="1581"/>
        <v>-65000000</v>
      </c>
      <c r="CZN69" s="61">
        <f t="shared" si="1581"/>
        <v>-65000000</v>
      </c>
      <c r="CZO69" s="61">
        <f t="shared" ref="CZO69:DBZ69" si="1582">CZO68-$EC$11-CZO11</f>
        <v>-65000000</v>
      </c>
      <c r="CZP69" s="61">
        <f t="shared" si="1582"/>
        <v>-65000000</v>
      </c>
      <c r="CZQ69" s="61">
        <f t="shared" si="1582"/>
        <v>-65000000</v>
      </c>
      <c r="CZR69" s="61">
        <f t="shared" si="1582"/>
        <v>-65000000</v>
      </c>
      <c r="CZS69" s="61">
        <f t="shared" si="1582"/>
        <v>-65000000</v>
      </c>
      <c r="CZT69" s="61">
        <f t="shared" si="1582"/>
        <v>-65000000</v>
      </c>
      <c r="CZU69" s="61">
        <f t="shared" si="1582"/>
        <v>-65000000</v>
      </c>
      <c r="CZV69" s="61">
        <f t="shared" si="1582"/>
        <v>-65000000</v>
      </c>
      <c r="CZW69" s="61">
        <f t="shared" si="1582"/>
        <v>-65000000</v>
      </c>
      <c r="CZX69" s="61">
        <f t="shared" si="1582"/>
        <v>-65000000</v>
      </c>
      <c r="CZY69" s="61">
        <f t="shared" si="1582"/>
        <v>-65000000</v>
      </c>
      <c r="CZZ69" s="61">
        <f t="shared" si="1582"/>
        <v>-65000000</v>
      </c>
      <c r="DAA69" s="61">
        <f t="shared" si="1582"/>
        <v>-65000000</v>
      </c>
      <c r="DAB69" s="61">
        <f t="shared" si="1582"/>
        <v>-65000000</v>
      </c>
      <c r="DAC69" s="61">
        <f t="shared" si="1582"/>
        <v>-65000000</v>
      </c>
      <c r="DAD69" s="61">
        <f t="shared" si="1582"/>
        <v>-65000000</v>
      </c>
      <c r="DAE69" s="61">
        <f t="shared" si="1582"/>
        <v>-65000000</v>
      </c>
      <c r="DAF69" s="61">
        <f t="shared" si="1582"/>
        <v>-65000000</v>
      </c>
      <c r="DAG69" s="61">
        <f t="shared" si="1582"/>
        <v>-65000000</v>
      </c>
      <c r="DAH69" s="61">
        <f t="shared" si="1582"/>
        <v>-65000000</v>
      </c>
      <c r="DAI69" s="61">
        <f t="shared" si="1582"/>
        <v>-65000000</v>
      </c>
      <c r="DAJ69" s="61">
        <f t="shared" si="1582"/>
        <v>-65000000</v>
      </c>
      <c r="DAK69" s="61">
        <f t="shared" si="1582"/>
        <v>-65000000</v>
      </c>
      <c r="DAL69" s="61">
        <f t="shared" si="1582"/>
        <v>-65000000</v>
      </c>
      <c r="DAM69" s="61">
        <f t="shared" si="1582"/>
        <v>-65000000</v>
      </c>
      <c r="DAN69" s="61">
        <f t="shared" si="1582"/>
        <v>-65000000</v>
      </c>
      <c r="DAO69" s="61">
        <f t="shared" si="1582"/>
        <v>-65000000</v>
      </c>
      <c r="DAP69" s="61">
        <f t="shared" si="1582"/>
        <v>-65000000</v>
      </c>
      <c r="DAQ69" s="61">
        <f t="shared" si="1582"/>
        <v>-65000000</v>
      </c>
      <c r="DAR69" s="61">
        <f t="shared" si="1582"/>
        <v>-65000000</v>
      </c>
      <c r="DAS69" s="61">
        <f t="shared" si="1582"/>
        <v>-65000000</v>
      </c>
      <c r="DAT69" s="61">
        <f t="shared" si="1582"/>
        <v>-65000000</v>
      </c>
      <c r="DAU69" s="61">
        <f t="shared" si="1582"/>
        <v>-65000000</v>
      </c>
      <c r="DAV69" s="61">
        <f t="shared" si="1582"/>
        <v>-65000000</v>
      </c>
      <c r="DAW69" s="61">
        <f t="shared" si="1582"/>
        <v>-65000000</v>
      </c>
      <c r="DAX69" s="61">
        <f t="shared" si="1582"/>
        <v>-65000000</v>
      </c>
      <c r="DAY69" s="61">
        <f t="shared" si="1582"/>
        <v>-65000000</v>
      </c>
      <c r="DAZ69" s="61">
        <f t="shared" si="1582"/>
        <v>-65000000</v>
      </c>
      <c r="DBA69" s="61">
        <f t="shared" si="1582"/>
        <v>-65000000</v>
      </c>
      <c r="DBB69" s="61">
        <f t="shared" si="1582"/>
        <v>-65000000</v>
      </c>
      <c r="DBC69" s="61">
        <f t="shared" si="1582"/>
        <v>-65000000</v>
      </c>
      <c r="DBD69" s="61">
        <f t="shared" si="1582"/>
        <v>-65000000</v>
      </c>
      <c r="DBE69" s="61">
        <f t="shared" si="1582"/>
        <v>-65000000</v>
      </c>
      <c r="DBF69" s="61">
        <f t="shared" si="1582"/>
        <v>-65000000</v>
      </c>
      <c r="DBG69" s="61">
        <f t="shared" si="1582"/>
        <v>-65000000</v>
      </c>
      <c r="DBH69" s="61">
        <f t="shared" si="1582"/>
        <v>-65000000</v>
      </c>
      <c r="DBI69" s="61">
        <f t="shared" si="1582"/>
        <v>-65000000</v>
      </c>
      <c r="DBJ69" s="61">
        <f t="shared" si="1582"/>
        <v>-65000000</v>
      </c>
      <c r="DBK69" s="61">
        <f t="shared" si="1582"/>
        <v>-65000000</v>
      </c>
      <c r="DBL69" s="61">
        <f t="shared" si="1582"/>
        <v>-65000000</v>
      </c>
      <c r="DBM69" s="61">
        <f t="shared" si="1582"/>
        <v>-65000000</v>
      </c>
      <c r="DBN69" s="61">
        <f t="shared" si="1582"/>
        <v>-65000000</v>
      </c>
      <c r="DBO69" s="61">
        <f t="shared" si="1582"/>
        <v>-65000000</v>
      </c>
      <c r="DBP69" s="61">
        <f t="shared" si="1582"/>
        <v>-65000000</v>
      </c>
      <c r="DBQ69" s="61">
        <f t="shared" si="1582"/>
        <v>-65000000</v>
      </c>
      <c r="DBR69" s="61">
        <f t="shared" si="1582"/>
        <v>-65000000</v>
      </c>
      <c r="DBS69" s="61">
        <f t="shared" si="1582"/>
        <v>-65000000</v>
      </c>
      <c r="DBT69" s="61">
        <f t="shared" si="1582"/>
        <v>-65000000</v>
      </c>
      <c r="DBU69" s="61">
        <f t="shared" si="1582"/>
        <v>-65000000</v>
      </c>
      <c r="DBV69" s="61">
        <f t="shared" si="1582"/>
        <v>-65000000</v>
      </c>
      <c r="DBW69" s="61">
        <f t="shared" si="1582"/>
        <v>-65000000</v>
      </c>
      <c r="DBX69" s="61">
        <f t="shared" si="1582"/>
        <v>-65000000</v>
      </c>
      <c r="DBY69" s="61">
        <f t="shared" si="1582"/>
        <v>-65000000</v>
      </c>
      <c r="DBZ69" s="61">
        <f t="shared" si="1582"/>
        <v>-65000000</v>
      </c>
      <c r="DCA69" s="61">
        <f t="shared" ref="DCA69:DEL69" si="1583">DCA68-$EC$11-DCA11</f>
        <v>-65000000</v>
      </c>
      <c r="DCB69" s="61">
        <f t="shared" si="1583"/>
        <v>-65000000</v>
      </c>
      <c r="DCC69" s="61">
        <f t="shared" si="1583"/>
        <v>-65000000</v>
      </c>
      <c r="DCD69" s="61">
        <f t="shared" si="1583"/>
        <v>-65000000</v>
      </c>
      <c r="DCE69" s="61">
        <f t="shared" si="1583"/>
        <v>-65000000</v>
      </c>
      <c r="DCF69" s="61">
        <f t="shared" si="1583"/>
        <v>-65000000</v>
      </c>
      <c r="DCG69" s="61">
        <f t="shared" si="1583"/>
        <v>-65000000</v>
      </c>
      <c r="DCH69" s="61">
        <f t="shared" si="1583"/>
        <v>-65000000</v>
      </c>
      <c r="DCI69" s="61">
        <f t="shared" si="1583"/>
        <v>-65000000</v>
      </c>
      <c r="DCJ69" s="61">
        <f t="shared" si="1583"/>
        <v>-65000000</v>
      </c>
      <c r="DCK69" s="61">
        <f t="shared" si="1583"/>
        <v>-65000000</v>
      </c>
      <c r="DCL69" s="61">
        <f t="shared" si="1583"/>
        <v>-65000000</v>
      </c>
      <c r="DCM69" s="61">
        <f t="shared" si="1583"/>
        <v>-65000000</v>
      </c>
      <c r="DCN69" s="61">
        <f t="shared" si="1583"/>
        <v>-65000000</v>
      </c>
      <c r="DCO69" s="61">
        <f t="shared" si="1583"/>
        <v>-65000000</v>
      </c>
      <c r="DCP69" s="61">
        <f t="shared" si="1583"/>
        <v>-65000000</v>
      </c>
      <c r="DCQ69" s="61">
        <f t="shared" si="1583"/>
        <v>-65000000</v>
      </c>
      <c r="DCR69" s="61">
        <f t="shared" si="1583"/>
        <v>-65000000</v>
      </c>
      <c r="DCS69" s="61">
        <f t="shared" si="1583"/>
        <v>-65000000</v>
      </c>
      <c r="DCT69" s="61">
        <f t="shared" si="1583"/>
        <v>-65000000</v>
      </c>
      <c r="DCU69" s="61">
        <f t="shared" si="1583"/>
        <v>-65000000</v>
      </c>
      <c r="DCV69" s="61">
        <f t="shared" si="1583"/>
        <v>-65000000</v>
      </c>
      <c r="DCW69" s="61">
        <f t="shared" si="1583"/>
        <v>-65000000</v>
      </c>
      <c r="DCX69" s="61">
        <f t="shared" si="1583"/>
        <v>-65000000</v>
      </c>
      <c r="DCY69" s="61">
        <f t="shared" si="1583"/>
        <v>-65000000</v>
      </c>
      <c r="DCZ69" s="61">
        <f t="shared" si="1583"/>
        <v>-65000000</v>
      </c>
      <c r="DDA69" s="61">
        <f t="shared" si="1583"/>
        <v>-65000000</v>
      </c>
      <c r="DDB69" s="61">
        <f t="shared" si="1583"/>
        <v>-65000000</v>
      </c>
      <c r="DDC69" s="61">
        <f t="shared" si="1583"/>
        <v>-65000000</v>
      </c>
      <c r="DDD69" s="61">
        <f t="shared" si="1583"/>
        <v>-65000000</v>
      </c>
      <c r="DDE69" s="61">
        <f t="shared" si="1583"/>
        <v>-65000000</v>
      </c>
      <c r="DDF69" s="61">
        <f t="shared" si="1583"/>
        <v>-65000000</v>
      </c>
      <c r="DDG69" s="61">
        <f t="shared" si="1583"/>
        <v>-65000000</v>
      </c>
      <c r="DDH69" s="61">
        <f t="shared" si="1583"/>
        <v>-65000000</v>
      </c>
      <c r="DDI69" s="61">
        <f t="shared" si="1583"/>
        <v>-65000000</v>
      </c>
      <c r="DDJ69" s="61">
        <f t="shared" si="1583"/>
        <v>-65000000</v>
      </c>
      <c r="DDK69" s="61">
        <f t="shared" si="1583"/>
        <v>-65000000</v>
      </c>
      <c r="DDL69" s="61">
        <f t="shared" si="1583"/>
        <v>-65000000</v>
      </c>
      <c r="DDM69" s="61">
        <f t="shared" si="1583"/>
        <v>-65000000</v>
      </c>
      <c r="DDN69" s="61">
        <f t="shared" si="1583"/>
        <v>-65000000</v>
      </c>
      <c r="DDO69" s="61">
        <f t="shared" si="1583"/>
        <v>-65000000</v>
      </c>
      <c r="DDP69" s="61">
        <f t="shared" si="1583"/>
        <v>-65000000</v>
      </c>
      <c r="DDQ69" s="61">
        <f t="shared" si="1583"/>
        <v>-65000000</v>
      </c>
      <c r="DDR69" s="61">
        <f t="shared" si="1583"/>
        <v>-65000000</v>
      </c>
      <c r="DDS69" s="61">
        <f t="shared" si="1583"/>
        <v>-65000000</v>
      </c>
      <c r="DDT69" s="61">
        <f t="shared" si="1583"/>
        <v>-65000000</v>
      </c>
      <c r="DDU69" s="61">
        <f t="shared" si="1583"/>
        <v>-65000000</v>
      </c>
      <c r="DDV69" s="61">
        <f t="shared" si="1583"/>
        <v>-65000000</v>
      </c>
      <c r="DDW69" s="61">
        <f t="shared" si="1583"/>
        <v>-65000000</v>
      </c>
      <c r="DDX69" s="61">
        <f t="shared" si="1583"/>
        <v>-65000000</v>
      </c>
      <c r="DDY69" s="61">
        <f t="shared" si="1583"/>
        <v>-65000000</v>
      </c>
      <c r="DDZ69" s="61">
        <f t="shared" si="1583"/>
        <v>-65000000</v>
      </c>
      <c r="DEA69" s="61">
        <f t="shared" si="1583"/>
        <v>-65000000</v>
      </c>
      <c r="DEB69" s="61">
        <f t="shared" si="1583"/>
        <v>-65000000</v>
      </c>
      <c r="DEC69" s="61">
        <f t="shared" si="1583"/>
        <v>-65000000</v>
      </c>
      <c r="DED69" s="61">
        <f t="shared" si="1583"/>
        <v>-65000000</v>
      </c>
      <c r="DEE69" s="61">
        <f t="shared" si="1583"/>
        <v>-65000000</v>
      </c>
      <c r="DEF69" s="61">
        <f t="shared" si="1583"/>
        <v>-65000000</v>
      </c>
      <c r="DEG69" s="61">
        <f t="shared" si="1583"/>
        <v>-65000000</v>
      </c>
      <c r="DEH69" s="61">
        <f t="shared" si="1583"/>
        <v>-65000000</v>
      </c>
      <c r="DEI69" s="61">
        <f t="shared" si="1583"/>
        <v>-65000000</v>
      </c>
      <c r="DEJ69" s="61">
        <f t="shared" si="1583"/>
        <v>-65000000</v>
      </c>
      <c r="DEK69" s="61">
        <f t="shared" si="1583"/>
        <v>-65000000</v>
      </c>
      <c r="DEL69" s="61">
        <f t="shared" si="1583"/>
        <v>-65000000</v>
      </c>
      <c r="DEM69" s="61">
        <f t="shared" ref="DEM69:DGX69" si="1584">DEM68-$EC$11-DEM11</f>
        <v>-65000000</v>
      </c>
      <c r="DEN69" s="61">
        <f t="shared" si="1584"/>
        <v>-65000000</v>
      </c>
      <c r="DEO69" s="61">
        <f t="shared" si="1584"/>
        <v>-65000000</v>
      </c>
      <c r="DEP69" s="61">
        <f t="shared" si="1584"/>
        <v>-65000000</v>
      </c>
      <c r="DEQ69" s="61">
        <f t="shared" si="1584"/>
        <v>-65000000</v>
      </c>
      <c r="DER69" s="61">
        <f t="shared" si="1584"/>
        <v>-65000000</v>
      </c>
      <c r="DES69" s="61">
        <f t="shared" si="1584"/>
        <v>-65000000</v>
      </c>
      <c r="DET69" s="61">
        <f t="shared" si="1584"/>
        <v>-65000000</v>
      </c>
      <c r="DEU69" s="61">
        <f t="shared" si="1584"/>
        <v>-65000000</v>
      </c>
      <c r="DEV69" s="61">
        <f t="shared" si="1584"/>
        <v>-65000000</v>
      </c>
      <c r="DEW69" s="61">
        <f t="shared" si="1584"/>
        <v>-65000000</v>
      </c>
      <c r="DEX69" s="61">
        <f t="shared" si="1584"/>
        <v>-65000000</v>
      </c>
      <c r="DEY69" s="61">
        <f t="shared" si="1584"/>
        <v>-65000000</v>
      </c>
      <c r="DEZ69" s="61">
        <f t="shared" si="1584"/>
        <v>-65000000</v>
      </c>
      <c r="DFA69" s="61">
        <f t="shared" si="1584"/>
        <v>-65000000</v>
      </c>
      <c r="DFB69" s="61">
        <f t="shared" si="1584"/>
        <v>-65000000</v>
      </c>
      <c r="DFC69" s="61">
        <f t="shared" si="1584"/>
        <v>-65000000</v>
      </c>
      <c r="DFD69" s="61">
        <f t="shared" si="1584"/>
        <v>-65000000</v>
      </c>
      <c r="DFE69" s="61">
        <f t="shared" si="1584"/>
        <v>-65000000</v>
      </c>
      <c r="DFF69" s="61">
        <f t="shared" si="1584"/>
        <v>-65000000</v>
      </c>
      <c r="DFG69" s="61">
        <f t="shared" si="1584"/>
        <v>-65000000</v>
      </c>
      <c r="DFH69" s="61">
        <f t="shared" si="1584"/>
        <v>-65000000</v>
      </c>
      <c r="DFI69" s="61">
        <f t="shared" si="1584"/>
        <v>-65000000</v>
      </c>
      <c r="DFJ69" s="61">
        <f t="shared" si="1584"/>
        <v>-65000000</v>
      </c>
      <c r="DFK69" s="61">
        <f t="shared" si="1584"/>
        <v>-65000000</v>
      </c>
      <c r="DFL69" s="61">
        <f t="shared" si="1584"/>
        <v>-65000000</v>
      </c>
      <c r="DFM69" s="61">
        <f t="shared" si="1584"/>
        <v>-65000000</v>
      </c>
      <c r="DFN69" s="61">
        <f t="shared" si="1584"/>
        <v>-65000000</v>
      </c>
      <c r="DFO69" s="61">
        <f t="shared" si="1584"/>
        <v>-65000000</v>
      </c>
      <c r="DFP69" s="61">
        <f t="shared" si="1584"/>
        <v>-65000000</v>
      </c>
      <c r="DFQ69" s="61">
        <f t="shared" si="1584"/>
        <v>-65000000</v>
      </c>
      <c r="DFR69" s="61">
        <f t="shared" si="1584"/>
        <v>-65000000</v>
      </c>
      <c r="DFS69" s="61">
        <f t="shared" si="1584"/>
        <v>-65000000</v>
      </c>
      <c r="DFT69" s="61">
        <f t="shared" si="1584"/>
        <v>-65000000</v>
      </c>
      <c r="DFU69" s="61">
        <f t="shared" si="1584"/>
        <v>-65000000</v>
      </c>
      <c r="DFV69" s="61">
        <f t="shared" si="1584"/>
        <v>-65000000</v>
      </c>
      <c r="DFW69" s="61">
        <f t="shared" si="1584"/>
        <v>-65000000</v>
      </c>
      <c r="DFX69" s="61">
        <f t="shared" si="1584"/>
        <v>-65000000</v>
      </c>
      <c r="DFY69" s="61">
        <f t="shared" si="1584"/>
        <v>-65000000</v>
      </c>
      <c r="DFZ69" s="61">
        <f t="shared" si="1584"/>
        <v>-65000000</v>
      </c>
      <c r="DGA69" s="61">
        <f t="shared" si="1584"/>
        <v>-65000000</v>
      </c>
      <c r="DGB69" s="61">
        <f t="shared" si="1584"/>
        <v>-65000000</v>
      </c>
      <c r="DGC69" s="61">
        <f t="shared" si="1584"/>
        <v>-65000000</v>
      </c>
      <c r="DGD69" s="61">
        <f t="shared" si="1584"/>
        <v>-65000000</v>
      </c>
      <c r="DGE69" s="61">
        <f t="shared" si="1584"/>
        <v>-65000000</v>
      </c>
      <c r="DGF69" s="61">
        <f t="shared" si="1584"/>
        <v>-65000000</v>
      </c>
      <c r="DGG69" s="61">
        <f t="shared" si="1584"/>
        <v>-65000000</v>
      </c>
      <c r="DGH69" s="61">
        <f t="shared" si="1584"/>
        <v>-65000000</v>
      </c>
      <c r="DGI69" s="61">
        <f t="shared" si="1584"/>
        <v>-65000000</v>
      </c>
      <c r="DGJ69" s="61">
        <f t="shared" si="1584"/>
        <v>-65000000</v>
      </c>
      <c r="DGK69" s="61">
        <f t="shared" si="1584"/>
        <v>-65000000</v>
      </c>
      <c r="DGL69" s="61">
        <f t="shared" si="1584"/>
        <v>-65000000</v>
      </c>
      <c r="DGM69" s="61">
        <f t="shared" si="1584"/>
        <v>-65000000</v>
      </c>
      <c r="DGN69" s="61">
        <f t="shared" si="1584"/>
        <v>-65000000</v>
      </c>
      <c r="DGO69" s="61">
        <f t="shared" si="1584"/>
        <v>-65000000</v>
      </c>
      <c r="DGP69" s="61">
        <f t="shared" si="1584"/>
        <v>-65000000</v>
      </c>
      <c r="DGQ69" s="61">
        <f t="shared" si="1584"/>
        <v>-65000000</v>
      </c>
      <c r="DGR69" s="61">
        <f t="shared" si="1584"/>
        <v>-65000000</v>
      </c>
      <c r="DGS69" s="61">
        <f t="shared" si="1584"/>
        <v>-65000000</v>
      </c>
      <c r="DGT69" s="61">
        <f t="shared" si="1584"/>
        <v>-65000000</v>
      </c>
      <c r="DGU69" s="61">
        <f t="shared" si="1584"/>
        <v>-65000000</v>
      </c>
      <c r="DGV69" s="61">
        <f t="shared" si="1584"/>
        <v>-65000000</v>
      </c>
      <c r="DGW69" s="61">
        <f t="shared" si="1584"/>
        <v>-65000000</v>
      </c>
      <c r="DGX69" s="61">
        <f t="shared" si="1584"/>
        <v>-65000000</v>
      </c>
      <c r="DGY69" s="61">
        <f t="shared" ref="DGY69:DJJ69" si="1585">DGY68-$EC$11-DGY11</f>
        <v>-65000000</v>
      </c>
      <c r="DGZ69" s="61">
        <f t="shared" si="1585"/>
        <v>-65000000</v>
      </c>
      <c r="DHA69" s="61">
        <f t="shared" si="1585"/>
        <v>-65000000</v>
      </c>
      <c r="DHB69" s="61">
        <f t="shared" si="1585"/>
        <v>-65000000</v>
      </c>
      <c r="DHC69" s="61">
        <f t="shared" si="1585"/>
        <v>-65000000</v>
      </c>
      <c r="DHD69" s="61">
        <f t="shared" si="1585"/>
        <v>-65000000</v>
      </c>
      <c r="DHE69" s="61">
        <f t="shared" si="1585"/>
        <v>-65000000</v>
      </c>
      <c r="DHF69" s="61">
        <f t="shared" si="1585"/>
        <v>-65000000</v>
      </c>
      <c r="DHG69" s="61">
        <f t="shared" si="1585"/>
        <v>-65000000</v>
      </c>
      <c r="DHH69" s="61">
        <f t="shared" si="1585"/>
        <v>-65000000</v>
      </c>
      <c r="DHI69" s="61">
        <f t="shared" si="1585"/>
        <v>-65000000</v>
      </c>
      <c r="DHJ69" s="61">
        <f t="shared" si="1585"/>
        <v>-65000000</v>
      </c>
      <c r="DHK69" s="61">
        <f t="shared" si="1585"/>
        <v>-65000000</v>
      </c>
      <c r="DHL69" s="61">
        <f t="shared" si="1585"/>
        <v>-65000000</v>
      </c>
      <c r="DHM69" s="61">
        <f t="shared" si="1585"/>
        <v>-65000000</v>
      </c>
      <c r="DHN69" s="61">
        <f t="shared" si="1585"/>
        <v>-65000000</v>
      </c>
      <c r="DHO69" s="61">
        <f t="shared" si="1585"/>
        <v>-65000000</v>
      </c>
      <c r="DHP69" s="61">
        <f t="shared" si="1585"/>
        <v>-65000000</v>
      </c>
      <c r="DHQ69" s="61">
        <f t="shared" si="1585"/>
        <v>-65000000</v>
      </c>
      <c r="DHR69" s="61">
        <f t="shared" si="1585"/>
        <v>-65000000</v>
      </c>
      <c r="DHS69" s="61">
        <f t="shared" si="1585"/>
        <v>-65000000</v>
      </c>
      <c r="DHT69" s="61">
        <f t="shared" si="1585"/>
        <v>-65000000</v>
      </c>
      <c r="DHU69" s="61">
        <f t="shared" si="1585"/>
        <v>-65000000</v>
      </c>
      <c r="DHV69" s="61">
        <f t="shared" si="1585"/>
        <v>-65000000</v>
      </c>
      <c r="DHW69" s="61">
        <f t="shared" si="1585"/>
        <v>-65000000</v>
      </c>
      <c r="DHX69" s="61">
        <f t="shared" si="1585"/>
        <v>-65000000</v>
      </c>
      <c r="DHY69" s="61">
        <f t="shared" si="1585"/>
        <v>-65000000</v>
      </c>
      <c r="DHZ69" s="61">
        <f t="shared" si="1585"/>
        <v>-65000000</v>
      </c>
      <c r="DIA69" s="61">
        <f t="shared" si="1585"/>
        <v>-65000000</v>
      </c>
      <c r="DIB69" s="61">
        <f t="shared" si="1585"/>
        <v>-65000000</v>
      </c>
      <c r="DIC69" s="61">
        <f t="shared" si="1585"/>
        <v>-65000000</v>
      </c>
      <c r="DID69" s="61">
        <f t="shared" si="1585"/>
        <v>-65000000</v>
      </c>
      <c r="DIE69" s="61">
        <f t="shared" si="1585"/>
        <v>-65000000</v>
      </c>
      <c r="DIF69" s="61">
        <f t="shared" si="1585"/>
        <v>-65000000</v>
      </c>
      <c r="DIG69" s="61">
        <f t="shared" si="1585"/>
        <v>-65000000</v>
      </c>
      <c r="DIH69" s="61">
        <f t="shared" si="1585"/>
        <v>-65000000</v>
      </c>
      <c r="DII69" s="61">
        <f t="shared" si="1585"/>
        <v>-65000000</v>
      </c>
      <c r="DIJ69" s="61">
        <f t="shared" si="1585"/>
        <v>-65000000</v>
      </c>
      <c r="DIK69" s="61">
        <f t="shared" si="1585"/>
        <v>-65000000</v>
      </c>
      <c r="DIL69" s="61">
        <f t="shared" si="1585"/>
        <v>-65000000</v>
      </c>
      <c r="DIM69" s="61">
        <f t="shared" si="1585"/>
        <v>-65000000</v>
      </c>
      <c r="DIN69" s="61">
        <f t="shared" si="1585"/>
        <v>-65000000</v>
      </c>
      <c r="DIO69" s="61">
        <f t="shared" si="1585"/>
        <v>-65000000</v>
      </c>
      <c r="DIP69" s="61">
        <f t="shared" si="1585"/>
        <v>-65000000</v>
      </c>
      <c r="DIQ69" s="61">
        <f t="shared" si="1585"/>
        <v>-65000000</v>
      </c>
      <c r="DIR69" s="61">
        <f t="shared" si="1585"/>
        <v>-65000000</v>
      </c>
      <c r="DIS69" s="61">
        <f t="shared" si="1585"/>
        <v>-65000000</v>
      </c>
      <c r="DIT69" s="61">
        <f t="shared" si="1585"/>
        <v>-65000000</v>
      </c>
      <c r="DIU69" s="61">
        <f t="shared" si="1585"/>
        <v>-65000000</v>
      </c>
      <c r="DIV69" s="61">
        <f t="shared" si="1585"/>
        <v>-65000000</v>
      </c>
      <c r="DIW69" s="61">
        <f t="shared" si="1585"/>
        <v>-65000000</v>
      </c>
      <c r="DIX69" s="61">
        <f t="shared" si="1585"/>
        <v>-65000000</v>
      </c>
      <c r="DIY69" s="61">
        <f t="shared" si="1585"/>
        <v>-65000000</v>
      </c>
      <c r="DIZ69" s="61">
        <f t="shared" si="1585"/>
        <v>-65000000</v>
      </c>
      <c r="DJA69" s="61">
        <f t="shared" si="1585"/>
        <v>-65000000</v>
      </c>
      <c r="DJB69" s="61">
        <f t="shared" si="1585"/>
        <v>-65000000</v>
      </c>
      <c r="DJC69" s="61">
        <f t="shared" si="1585"/>
        <v>-65000000</v>
      </c>
      <c r="DJD69" s="61">
        <f t="shared" si="1585"/>
        <v>-65000000</v>
      </c>
      <c r="DJE69" s="61">
        <f t="shared" si="1585"/>
        <v>-65000000</v>
      </c>
      <c r="DJF69" s="61">
        <f t="shared" si="1585"/>
        <v>-65000000</v>
      </c>
      <c r="DJG69" s="61">
        <f t="shared" si="1585"/>
        <v>-65000000</v>
      </c>
      <c r="DJH69" s="61">
        <f t="shared" si="1585"/>
        <v>-65000000</v>
      </c>
      <c r="DJI69" s="61">
        <f t="shared" si="1585"/>
        <v>-65000000</v>
      </c>
      <c r="DJJ69" s="61">
        <f t="shared" si="1585"/>
        <v>-65000000</v>
      </c>
      <c r="DJK69" s="61">
        <f t="shared" ref="DJK69:DLV69" si="1586">DJK68-$EC$11-DJK11</f>
        <v>-65000000</v>
      </c>
      <c r="DJL69" s="61">
        <f t="shared" si="1586"/>
        <v>-65000000</v>
      </c>
      <c r="DJM69" s="61">
        <f t="shared" si="1586"/>
        <v>-65000000</v>
      </c>
      <c r="DJN69" s="61">
        <f t="shared" si="1586"/>
        <v>-65000000</v>
      </c>
      <c r="DJO69" s="61">
        <f t="shared" si="1586"/>
        <v>-65000000</v>
      </c>
      <c r="DJP69" s="61">
        <f t="shared" si="1586"/>
        <v>-65000000</v>
      </c>
      <c r="DJQ69" s="61">
        <f t="shared" si="1586"/>
        <v>-65000000</v>
      </c>
      <c r="DJR69" s="61">
        <f t="shared" si="1586"/>
        <v>-65000000</v>
      </c>
      <c r="DJS69" s="61">
        <f t="shared" si="1586"/>
        <v>-65000000</v>
      </c>
      <c r="DJT69" s="61">
        <f t="shared" si="1586"/>
        <v>-65000000</v>
      </c>
      <c r="DJU69" s="61">
        <f t="shared" si="1586"/>
        <v>-65000000</v>
      </c>
      <c r="DJV69" s="61">
        <f t="shared" si="1586"/>
        <v>-65000000</v>
      </c>
      <c r="DJW69" s="61">
        <f t="shared" si="1586"/>
        <v>-65000000</v>
      </c>
      <c r="DJX69" s="61">
        <f t="shared" si="1586"/>
        <v>-65000000</v>
      </c>
      <c r="DJY69" s="61">
        <f t="shared" si="1586"/>
        <v>-65000000</v>
      </c>
      <c r="DJZ69" s="61">
        <f t="shared" si="1586"/>
        <v>-65000000</v>
      </c>
      <c r="DKA69" s="61">
        <f t="shared" si="1586"/>
        <v>-65000000</v>
      </c>
      <c r="DKB69" s="61">
        <f t="shared" si="1586"/>
        <v>-65000000</v>
      </c>
      <c r="DKC69" s="61">
        <f t="shared" si="1586"/>
        <v>-65000000</v>
      </c>
      <c r="DKD69" s="61">
        <f t="shared" si="1586"/>
        <v>-65000000</v>
      </c>
      <c r="DKE69" s="61">
        <f t="shared" si="1586"/>
        <v>-65000000</v>
      </c>
      <c r="DKF69" s="61">
        <f t="shared" si="1586"/>
        <v>-65000000</v>
      </c>
      <c r="DKG69" s="61">
        <f t="shared" si="1586"/>
        <v>-65000000</v>
      </c>
      <c r="DKH69" s="61">
        <f t="shared" si="1586"/>
        <v>-65000000</v>
      </c>
      <c r="DKI69" s="61">
        <f t="shared" si="1586"/>
        <v>-65000000</v>
      </c>
      <c r="DKJ69" s="61">
        <f t="shared" si="1586"/>
        <v>-65000000</v>
      </c>
      <c r="DKK69" s="61">
        <f t="shared" si="1586"/>
        <v>-65000000</v>
      </c>
      <c r="DKL69" s="61">
        <f t="shared" si="1586"/>
        <v>-65000000</v>
      </c>
      <c r="DKM69" s="61">
        <f t="shared" si="1586"/>
        <v>-65000000</v>
      </c>
      <c r="DKN69" s="61">
        <f t="shared" si="1586"/>
        <v>-65000000</v>
      </c>
      <c r="DKO69" s="61">
        <f t="shared" si="1586"/>
        <v>-65000000</v>
      </c>
      <c r="DKP69" s="61">
        <f t="shared" si="1586"/>
        <v>-65000000</v>
      </c>
      <c r="DKQ69" s="61">
        <f t="shared" si="1586"/>
        <v>-65000000</v>
      </c>
      <c r="DKR69" s="61">
        <f t="shared" si="1586"/>
        <v>-65000000</v>
      </c>
      <c r="DKS69" s="61">
        <f t="shared" si="1586"/>
        <v>-65000000</v>
      </c>
      <c r="DKT69" s="61">
        <f t="shared" si="1586"/>
        <v>-65000000</v>
      </c>
      <c r="DKU69" s="61">
        <f t="shared" si="1586"/>
        <v>-65000000</v>
      </c>
      <c r="DKV69" s="61">
        <f t="shared" si="1586"/>
        <v>-65000000</v>
      </c>
      <c r="DKW69" s="61">
        <f t="shared" si="1586"/>
        <v>-65000000</v>
      </c>
      <c r="DKX69" s="61">
        <f t="shared" si="1586"/>
        <v>-65000000</v>
      </c>
      <c r="DKY69" s="61">
        <f t="shared" si="1586"/>
        <v>-65000000</v>
      </c>
      <c r="DKZ69" s="61">
        <f t="shared" si="1586"/>
        <v>-65000000</v>
      </c>
      <c r="DLA69" s="61">
        <f t="shared" si="1586"/>
        <v>-65000000</v>
      </c>
      <c r="DLB69" s="61">
        <f t="shared" si="1586"/>
        <v>-65000000</v>
      </c>
      <c r="DLC69" s="61">
        <f t="shared" si="1586"/>
        <v>-65000000</v>
      </c>
      <c r="DLD69" s="61">
        <f t="shared" si="1586"/>
        <v>-65000000</v>
      </c>
      <c r="DLE69" s="61">
        <f t="shared" si="1586"/>
        <v>-65000000</v>
      </c>
      <c r="DLF69" s="61">
        <f t="shared" si="1586"/>
        <v>-65000000</v>
      </c>
      <c r="DLG69" s="61">
        <f t="shared" si="1586"/>
        <v>-65000000</v>
      </c>
      <c r="DLH69" s="61">
        <f t="shared" si="1586"/>
        <v>-65000000</v>
      </c>
      <c r="DLI69" s="61">
        <f t="shared" si="1586"/>
        <v>-65000000</v>
      </c>
      <c r="DLJ69" s="61">
        <f t="shared" si="1586"/>
        <v>-65000000</v>
      </c>
      <c r="DLK69" s="61">
        <f t="shared" si="1586"/>
        <v>-65000000</v>
      </c>
      <c r="DLL69" s="61">
        <f t="shared" si="1586"/>
        <v>-65000000</v>
      </c>
      <c r="DLM69" s="61">
        <f t="shared" si="1586"/>
        <v>-65000000</v>
      </c>
      <c r="DLN69" s="61">
        <f t="shared" si="1586"/>
        <v>-65000000</v>
      </c>
      <c r="DLO69" s="61">
        <f t="shared" si="1586"/>
        <v>-65000000</v>
      </c>
      <c r="DLP69" s="61">
        <f t="shared" si="1586"/>
        <v>-65000000</v>
      </c>
      <c r="DLQ69" s="61">
        <f t="shared" si="1586"/>
        <v>-65000000</v>
      </c>
      <c r="DLR69" s="61">
        <f t="shared" si="1586"/>
        <v>-65000000</v>
      </c>
      <c r="DLS69" s="61">
        <f t="shared" si="1586"/>
        <v>-65000000</v>
      </c>
      <c r="DLT69" s="61">
        <f t="shared" si="1586"/>
        <v>-65000000</v>
      </c>
      <c r="DLU69" s="61">
        <f t="shared" si="1586"/>
        <v>-65000000</v>
      </c>
      <c r="DLV69" s="61">
        <f t="shared" si="1586"/>
        <v>-65000000</v>
      </c>
      <c r="DLW69" s="61">
        <f t="shared" ref="DLW69:DOH69" si="1587">DLW68-$EC$11-DLW11</f>
        <v>-65000000</v>
      </c>
      <c r="DLX69" s="61">
        <f t="shared" si="1587"/>
        <v>-65000000</v>
      </c>
      <c r="DLY69" s="61">
        <f t="shared" si="1587"/>
        <v>-65000000</v>
      </c>
      <c r="DLZ69" s="61">
        <f t="shared" si="1587"/>
        <v>-65000000</v>
      </c>
      <c r="DMA69" s="61">
        <f t="shared" si="1587"/>
        <v>-65000000</v>
      </c>
      <c r="DMB69" s="61">
        <f t="shared" si="1587"/>
        <v>-65000000</v>
      </c>
      <c r="DMC69" s="61">
        <f t="shared" si="1587"/>
        <v>-65000000</v>
      </c>
      <c r="DMD69" s="61">
        <f t="shared" si="1587"/>
        <v>-65000000</v>
      </c>
      <c r="DME69" s="61">
        <f t="shared" si="1587"/>
        <v>-65000000</v>
      </c>
      <c r="DMF69" s="61">
        <f t="shared" si="1587"/>
        <v>-65000000</v>
      </c>
      <c r="DMG69" s="61">
        <f t="shared" si="1587"/>
        <v>-65000000</v>
      </c>
      <c r="DMH69" s="61">
        <f t="shared" si="1587"/>
        <v>-65000000</v>
      </c>
      <c r="DMI69" s="61">
        <f t="shared" si="1587"/>
        <v>-65000000</v>
      </c>
      <c r="DMJ69" s="61">
        <f t="shared" si="1587"/>
        <v>-65000000</v>
      </c>
      <c r="DMK69" s="61">
        <f t="shared" si="1587"/>
        <v>-65000000</v>
      </c>
      <c r="DML69" s="61">
        <f t="shared" si="1587"/>
        <v>-65000000</v>
      </c>
      <c r="DMM69" s="61">
        <f t="shared" si="1587"/>
        <v>-65000000</v>
      </c>
      <c r="DMN69" s="61">
        <f t="shared" si="1587"/>
        <v>-65000000</v>
      </c>
      <c r="DMO69" s="61">
        <f t="shared" si="1587"/>
        <v>-65000000</v>
      </c>
      <c r="DMP69" s="61">
        <f t="shared" si="1587"/>
        <v>-65000000</v>
      </c>
      <c r="DMQ69" s="61">
        <f t="shared" si="1587"/>
        <v>-65000000</v>
      </c>
      <c r="DMR69" s="61">
        <f t="shared" si="1587"/>
        <v>-65000000</v>
      </c>
      <c r="DMS69" s="61">
        <f t="shared" si="1587"/>
        <v>-65000000</v>
      </c>
      <c r="DMT69" s="61">
        <f t="shared" si="1587"/>
        <v>-65000000</v>
      </c>
      <c r="DMU69" s="61">
        <f t="shared" si="1587"/>
        <v>-65000000</v>
      </c>
      <c r="DMV69" s="61">
        <f t="shared" si="1587"/>
        <v>-65000000</v>
      </c>
      <c r="DMW69" s="61">
        <f t="shared" si="1587"/>
        <v>-65000000</v>
      </c>
      <c r="DMX69" s="61">
        <f t="shared" si="1587"/>
        <v>-65000000</v>
      </c>
      <c r="DMY69" s="61">
        <f t="shared" si="1587"/>
        <v>-65000000</v>
      </c>
      <c r="DMZ69" s="61">
        <f t="shared" si="1587"/>
        <v>-65000000</v>
      </c>
      <c r="DNA69" s="61">
        <f t="shared" si="1587"/>
        <v>-65000000</v>
      </c>
      <c r="DNB69" s="61">
        <f t="shared" si="1587"/>
        <v>-65000000</v>
      </c>
      <c r="DNC69" s="61">
        <f t="shared" si="1587"/>
        <v>-65000000</v>
      </c>
      <c r="DND69" s="61">
        <f t="shared" si="1587"/>
        <v>-65000000</v>
      </c>
      <c r="DNE69" s="61">
        <f t="shared" si="1587"/>
        <v>-65000000</v>
      </c>
      <c r="DNF69" s="61">
        <f t="shared" si="1587"/>
        <v>-65000000</v>
      </c>
      <c r="DNG69" s="61">
        <f t="shared" si="1587"/>
        <v>-65000000</v>
      </c>
      <c r="DNH69" s="61">
        <f t="shared" si="1587"/>
        <v>-65000000</v>
      </c>
      <c r="DNI69" s="61">
        <f t="shared" si="1587"/>
        <v>-65000000</v>
      </c>
      <c r="DNJ69" s="61">
        <f t="shared" si="1587"/>
        <v>-65000000</v>
      </c>
      <c r="DNK69" s="61">
        <f t="shared" si="1587"/>
        <v>-65000000</v>
      </c>
      <c r="DNL69" s="61">
        <f t="shared" si="1587"/>
        <v>-65000000</v>
      </c>
      <c r="DNM69" s="61">
        <f t="shared" si="1587"/>
        <v>-65000000</v>
      </c>
      <c r="DNN69" s="61">
        <f t="shared" si="1587"/>
        <v>-65000000</v>
      </c>
      <c r="DNO69" s="61">
        <f t="shared" si="1587"/>
        <v>-65000000</v>
      </c>
      <c r="DNP69" s="61">
        <f t="shared" si="1587"/>
        <v>-65000000</v>
      </c>
      <c r="DNQ69" s="61">
        <f t="shared" si="1587"/>
        <v>-65000000</v>
      </c>
      <c r="DNR69" s="61">
        <f t="shared" si="1587"/>
        <v>-65000000</v>
      </c>
      <c r="DNS69" s="61">
        <f t="shared" si="1587"/>
        <v>-65000000</v>
      </c>
      <c r="DNT69" s="61">
        <f t="shared" si="1587"/>
        <v>-65000000</v>
      </c>
      <c r="DNU69" s="61">
        <f t="shared" si="1587"/>
        <v>-65000000</v>
      </c>
      <c r="DNV69" s="61">
        <f t="shared" si="1587"/>
        <v>-65000000</v>
      </c>
      <c r="DNW69" s="61">
        <f t="shared" si="1587"/>
        <v>-65000000</v>
      </c>
      <c r="DNX69" s="61">
        <f t="shared" si="1587"/>
        <v>-65000000</v>
      </c>
      <c r="DNY69" s="61">
        <f t="shared" si="1587"/>
        <v>-65000000</v>
      </c>
      <c r="DNZ69" s="61">
        <f t="shared" si="1587"/>
        <v>-65000000</v>
      </c>
      <c r="DOA69" s="61">
        <f t="shared" si="1587"/>
        <v>-65000000</v>
      </c>
      <c r="DOB69" s="61">
        <f t="shared" si="1587"/>
        <v>-65000000</v>
      </c>
      <c r="DOC69" s="61">
        <f t="shared" si="1587"/>
        <v>-65000000</v>
      </c>
      <c r="DOD69" s="61">
        <f t="shared" si="1587"/>
        <v>-65000000</v>
      </c>
      <c r="DOE69" s="61">
        <f t="shared" si="1587"/>
        <v>-65000000</v>
      </c>
      <c r="DOF69" s="61">
        <f t="shared" si="1587"/>
        <v>-65000000</v>
      </c>
      <c r="DOG69" s="61">
        <f t="shared" si="1587"/>
        <v>-65000000</v>
      </c>
      <c r="DOH69" s="61">
        <f t="shared" si="1587"/>
        <v>-65000000</v>
      </c>
      <c r="DOI69" s="61">
        <f t="shared" ref="DOI69:DQT69" si="1588">DOI68-$EC$11-DOI11</f>
        <v>-65000000</v>
      </c>
      <c r="DOJ69" s="61">
        <f t="shared" si="1588"/>
        <v>-65000000</v>
      </c>
      <c r="DOK69" s="61">
        <f t="shared" si="1588"/>
        <v>-65000000</v>
      </c>
      <c r="DOL69" s="61">
        <f t="shared" si="1588"/>
        <v>-65000000</v>
      </c>
      <c r="DOM69" s="61">
        <f t="shared" si="1588"/>
        <v>-65000000</v>
      </c>
      <c r="DON69" s="61">
        <f t="shared" si="1588"/>
        <v>-65000000</v>
      </c>
      <c r="DOO69" s="61">
        <f t="shared" si="1588"/>
        <v>-65000000</v>
      </c>
      <c r="DOP69" s="61">
        <f t="shared" si="1588"/>
        <v>-65000000</v>
      </c>
      <c r="DOQ69" s="61">
        <f t="shared" si="1588"/>
        <v>-65000000</v>
      </c>
      <c r="DOR69" s="61">
        <f t="shared" si="1588"/>
        <v>-65000000</v>
      </c>
      <c r="DOS69" s="61">
        <f t="shared" si="1588"/>
        <v>-65000000</v>
      </c>
      <c r="DOT69" s="61">
        <f t="shared" si="1588"/>
        <v>-65000000</v>
      </c>
      <c r="DOU69" s="61">
        <f t="shared" si="1588"/>
        <v>-65000000</v>
      </c>
      <c r="DOV69" s="61">
        <f t="shared" si="1588"/>
        <v>-65000000</v>
      </c>
      <c r="DOW69" s="61">
        <f t="shared" si="1588"/>
        <v>-65000000</v>
      </c>
      <c r="DOX69" s="61">
        <f t="shared" si="1588"/>
        <v>-65000000</v>
      </c>
      <c r="DOY69" s="61">
        <f t="shared" si="1588"/>
        <v>-65000000</v>
      </c>
      <c r="DOZ69" s="61">
        <f t="shared" si="1588"/>
        <v>-65000000</v>
      </c>
      <c r="DPA69" s="61">
        <f t="shared" si="1588"/>
        <v>-65000000</v>
      </c>
      <c r="DPB69" s="61">
        <f t="shared" si="1588"/>
        <v>-65000000</v>
      </c>
      <c r="DPC69" s="61">
        <f t="shared" si="1588"/>
        <v>-65000000</v>
      </c>
      <c r="DPD69" s="61">
        <f t="shared" si="1588"/>
        <v>-65000000</v>
      </c>
      <c r="DPE69" s="61">
        <f t="shared" si="1588"/>
        <v>-65000000</v>
      </c>
      <c r="DPF69" s="61">
        <f t="shared" si="1588"/>
        <v>-65000000</v>
      </c>
      <c r="DPG69" s="61">
        <f t="shared" si="1588"/>
        <v>-65000000</v>
      </c>
      <c r="DPH69" s="61">
        <f t="shared" si="1588"/>
        <v>-65000000</v>
      </c>
      <c r="DPI69" s="61">
        <f t="shared" si="1588"/>
        <v>-65000000</v>
      </c>
      <c r="DPJ69" s="61">
        <f t="shared" si="1588"/>
        <v>-65000000</v>
      </c>
      <c r="DPK69" s="61">
        <f t="shared" si="1588"/>
        <v>-65000000</v>
      </c>
      <c r="DPL69" s="61">
        <f t="shared" si="1588"/>
        <v>-65000000</v>
      </c>
      <c r="DPM69" s="61">
        <f t="shared" si="1588"/>
        <v>-65000000</v>
      </c>
      <c r="DPN69" s="61">
        <f t="shared" si="1588"/>
        <v>-65000000</v>
      </c>
      <c r="DPO69" s="61">
        <f t="shared" si="1588"/>
        <v>-65000000</v>
      </c>
      <c r="DPP69" s="61">
        <f t="shared" si="1588"/>
        <v>-65000000</v>
      </c>
      <c r="DPQ69" s="61">
        <f t="shared" si="1588"/>
        <v>-65000000</v>
      </c>
      <c r="DPR69" s="61">
        <f t="shared" si="1588"/>
        <v>-65000000</v>
      </c>
      <c r="DPS69" s="61">
        <f t="shared" si="1588"/>
        <v>-65000000</v>
      </c>
      <c r="DPT69" s="61">
        <f t="shared" si="1588"/>
        <v>-65000000</v>
      </c>
      <c r="DPU69" s="61">
        <f t="shared" si="1588"/>
        <v>-65000000</v>
      </c>
      <c r="DPV69" s="61">
        <f t="shared" si="1588"/>
        <v>-65000000</v>
      </c>
      <c r="DPW69" s="61">
        <f t="shared" si="1588"/>
        <v>-65000000</v>
      </c>
      <c r="DPX69" s="61">
        <f t="shared" si="1588"/>
        <v>-65000000</v>
      </c>
      <c r="DPY69" s="61">
        <f t="shared" si="1588"/>
        <v>-65000000</v>
      </c>
      <c r="DPZ69" s="61">
        <f t="shared" si="1588"/>
        <v>-65000000</v>
      </c>
      <c r="DQA69" s="61">
        <f t="shared" si="1588"/>
        <v>-65000000</v>
      </c>
      <c r="DQB69" s="61">
        <f t="shared" si="1588"/>
        <v>-65000000</v>
      </c>
      <c r="DQC69" s="61">
        <f t="shared" si="1588"/>
        <v>-65000000</v>
      </c>
      <c r="DQD69" s="61">
        <f t="shared" si="1588"/>
        <v>-65000000</v>
      </c>
      <c r="DQE69" s="61">
        <f t="shared" si="1588"/>
        <v>-65000000</v>
      </c>
      <c r="DQF69" s="61">
        <f t="shared" si="1588"/>
        <v>-65000000</v>
      </c>
      <c r="DQG69" s="61">
        <f t="shared" si="1588"/>
        <v>-65000000</v>
      </c>
      <c r="DQH69" s="61">
        <f t="shared" si="1588"/>
        <v>-65000000</v>
      </c>
      <c r="DQI69" s="61">
        <f t="shared" si="1588"/>
        <v>-65000000</v>
      </c>
      <c r="DQJ69" s="61">
        <f t="shared" si="1588"/>
        <v>-65000000</v>
      </c>
      <c r="DQK69" s="61">
        <f t="shared" si="1588"/>
        <v>-65000000</v>
      </c>
      <c r="DQL69" s="61">
        <f t="shared" si="1588"/>
        <v>-65000000</v>
      </c>
      <c r="DQM69" s="61">
        <f t="shared" si="1588"/>
        <v>-65000000</v>
      </c>
      <c r="DQN69" s="61">
        <f t="shared" si="1588"/>
        <v>-65000000</v>
      </c>
      <c r="DQO69" s="61">
        <f t="shared" si="1588"/>
        <v>-65000000</v>
      </c>
      <c r="DQP69" s="61">
        <f t="shared" si="1588"/>
        <v>-65000000</v>
      </c>
      <c r="DQQ69" s="61">
        <f t="shared" si="1588"/>
        <v>-65000000</v>
      </c>
      <c r="DQR69" s="61">
        <f t="shared" si="1588"/>
        <v>-65000000</v>
      </c>
      <c r="DQS69" s="61">
        <f t="shared" si="1588"/>
        <v>-65000000</v>
      </c>
      <c r="DQT69" s="61">
        <f t="shared" si="1588"/>
        <v>-65000000</v>
      </c>
      <c r="DQU69" s="61">
        <f t="shared" ref="DQU69:DTF69" si="1589">DQU68-$EC$11-DQU11</f>
        <v>-65000000</v>
      </c>
      <c r="DQV69" s="61">
        <f t="shared" si="1589"/>
        <v>-65000000</v>
      </c>
      <c r="DQW69" s="61">
        <f t="shared" si="1589"/>
        <v>-65000000</v>
      </c>
      <c r="DQX69" s="61">
        <f t="shared" si="1589"/>
        <v>-65000000</v>
      </c>
      <c r="DQY69" s="61">
        <f t="shared" si="1589"/>
        <v>-65000000</v>
      </c>
      <c r="DQZ69" s="61">
        <f t="shared" si="1589"/>
        <v>-65000000</v>
      </c>
      <c r="DRA69" s="61">
        <f t="shared" si="1589"/>
        <v>-65000000</v>
      </c>
      <c r="DRB69" s="61">
        <f t="shared" si="1589"/>
        <v>-65000000</v>
      </c>
      <c r="DRC69" s="61">
        <f t="shared" si="1589"/>
        <v>-65000000</v>
      </c>
      <c r="DRD69" s="61">
        <f t="shared" si="1589"/>
        <v>-65000000</v>
      </c>
      <c r="DRE69" s="61">
        <f t="shared" si="1589"/>
        <v>-65000000</v>
      </c>
      <c r="DRF69" s="61">
        <f t="shared" si="1589"/>
        <v>-65000000</v>
      </c>
      <c r="DRG69" s="61">
        <f t="shared" si="1589"/>
        <v>-65000000</v>
      </c>
      <c r="DRH69" s="61">
        <f t="shared" si="1589"/>
        <v>-65000000</v>
      </c>
      <c r="DRI69" s="61">
        <f t="shared" si="1589"/>
        <v>-65000000</v>
      </c>
      <c r="DRJ69" s="61">
        <f t="shared" si="1589"/>
        <v>-65000000</v>
      </c>
      <c r="DRK69" s="61">
        <f t="shared" si="1589"/>
        <v>-65000000</v>
      </c>
      <c r="DRL69" s="61">
        <f t="shared" si="1589"/>
        <v>-65000000</v>
      </c>
      <c r="DRM69" s="61">
        <f t="shared" si="1589"/>
        <v>-65000000</v>
      </c>
      <c r="DRN69" s="61">
        <f t="shared" si="1589"/>
        <v>-65000000</v>
      </c>
      <c r="DRO69" s="61">
        <f t="shared" si="1589"/>
        <v>-65000000</v>
      </c>
      <c r="DRP69" s="61">
        <f t="shared" si="1589"/>
        <v>-65000000</v>
      </c>
      <c r="DRQ69" s="61">
        <f t="shared" si="1589"/>
        <v>-65000000</v>
      </c>
      <c r="DRR69" s="61">
        <f t="shared" si="1589"/>
        <v>-65000000</v>
      </c>
      <c r="DRS69" s="61">
        <f t="shared" si="1589"/>
        <v>-65000000</v>
      </c>
      <c r="DRT69" s="61">
        <f t="shared" si="1589"/>
        <v>-65000000</v>
      </c>
      <c r="DRU69" s="61">
        <f t="shared" si="1589"/>
        <v>-65000000</v>
      </c>
      <c r="DRV69" s="61">
        <f t="shared" si="1589"/>
        <v>-65000000</v>
      </c>
      <c r="DRW69" s="61">
        <f t="shared" si="1589"/>
        <v>-65000000</v>
      </c>
      <c r="DRX69" s="61">
        <f t="shared" si="1589"/>
        <v>-65000000</v>
      </c>
      <c r="DRY69" s="61">
        <f t="shared" si="1589"/>
        <v>-65000000</v>
      </c>
      <c r="DRZ69" s="61">
        <f t="shared" si="1589"/>
        <v>-65000000</v>
      </c>
      <c r="DSA69" s="61">
        <f t="shared" si="1589"/>
        <v>-65000000</v>
      </c>
      <c r="DSB69" s="61">
        <f t="shared" si="1589"/>
        <v>-65000000</v>
      </c>
      <c r="DSC69" s="61">
        <f t="shared" si="1589"/>
        <v>-65000000</v>
      </c>
      <c r="DSD69" s="61">
        <f t="shared" si="1589"/>
        <v>-65000000</v>
      </c>
      <c r="DSE69" s="61">
        <f t="shared" si="1589"/>
        <v>-65000000</v>
      </c>
      <c r="DSF69" s="61">
        <f t="shared" si="1589"/>
        <v>-65000000</v>
      </c>
      <c r="DSG69" s="61">
        <f t="shared" si="1589"/>
        <v>-65000000</v>
      </c>
      <c r="DSH69" s="61">
        <f t="shared" si="1589"/>
        <v>-65000000</v>
      </c>
      <c r="DSI69" s="61">
        <f t="shared" si="1589"/>
        <v>-65000000</v>
      </c>
      <c r="DSJ69" s="61">
        <f t="shared" si="1589"/>
        <v>-65000000</v>
      </c>
      <c r="DSK69" s="61">
        <f t="shared" si="1589"/>
        <v>-65000000</v>
      </c>
      <c r="DSL69" s="61">
        <f t="shared" si="1589"/>
        <v>-65000000</v>
      </c>
      <c r="DSM69" s="61">
        <f t="shared" si="1589"/>
        <v>-65000000</v>
      </c>
      <c r="DSN69" s="61">
        <f t="shared" si="1589"/>
        <v>-65000000</v>
      </c>
      <c r="DSO69" s="61">
        <f t="shared" si="1589"/>
        <v>-65000000</v>
      </c>
      <c r="DSP69" s="61">
        <f t="shared" si="1589"/>
        <v>-65000000</v>
      </c>
      <c r="DSQ69" s="61">
        <f t="shared" si="1589"/>
        <v>-65000000</v>
      </c>
      <c r="DSR69" s="61">
        <f t="shared" si="1589"/>
        <v>-65000000</v>
      </c>
      <c r="DSS69" s="61">
        <f t="shared" si="1589"/>
        <v>-65000000</v>
      </c>
      <c r="DST69" s="61">
        <f t="shared" si="1589"/>
        <v>-65000000</v>
      </c>
      <c r="DSU69" s="61">
        <f t="shared" si="1589"/>
        <v>-65000000</v>
      </c>
      <c r="DSV69" s="61">
        <f t="shared" si="1589"/>
        <v>-65000000</v>
      </c>
      <c r="DSW69" s="61">
        <f t="shared" si="1589"/>
        <v>-65000000</v>
      </c>
      <c r="DSX69" s="61">
        <f t="shared" si="1589"/>
        <v>-65000000</v>
      </c>
      <c r="DSY69" s="61">
        <f t="shared" si="1589"/>
        <v>-65000000</v>
      </c>
      <c r="DSZ69" s="61">
        <f t="shared" si="1589"/>
        <v>-65000000</v>
      </c>
      <c r="DTA69" s="61">
        <f t="shared" si="1589"/>
        <v>-65000000</v>
      </c>
      <c r="DTB69" s="61">
        <f t="shared" si="1589"/>
        <v>-65000000</v>
      </c>
      <c r="DTC69" s="61">
        <f t="shared" si="1589"/>
        <v>-65000000</v>
      </c>
      <c r="DTD69" s="61">
        <f t="shared" si="1589"/>
        <v>-65000000</v>
      </c>
      <c r="DTE69" s="61">
        <f t="shared" si="1589"/>
        <v>-65000000</v>
      </c>
      <c r="DTF69" s="61">
        <f t="shared" si="1589"/>
        <v>-65000000</v>
      </c>
      <c r="DTG69" s="61">
        <f t="shared" ref="DTG69:DVR69" si="1590">DTG68-$EC$11-DTG11</f>
        <v>-65000000</v>
      </c>
      <c r="DTH69" s="61">
        <f t="shared" si="1590"/>
        <v>-65000000</v>
      </c>
      <c r="DTI69" s="61">
        <f t="shared" si="1590"/>
        <v>-65000000</v>
      </c>
      <c r="DTJ69" s="61">
        <f t="shared" si="1590"/>
        <v>-65000000</v>
      </c>
      <c r="DTK69" s="61">
        <f t="shared" si="1590"/>
        <v>-65000000</v>
      </c>
      <c r="DTL69" s="61">
        <f t="shared" si="1590"/>
        <v>-65000000</v>
      </c>
      <c r="DTM69" s="61">
        <f t="shared" si="1590"/>
        <v>-65000000</v>
      </c>
      <c r="DTN69" s="61">
        <f t="shared" si="1590"/>
        <v>-65000000</v>
      </c>
      <c r="DTO69" s="61">
        <f t="shared" si="1590"/>
        <v>-65000000</v>
      </c>
      <c r="DTP69" s="61">
        <f t="shared" si="1590"/>
        <v>-65000000</v>
      </c>
      <c r="DTQ69" s="61">
        <f t="shared" si="1590"/>
        <v>-65000000</v>
      </c>
      <c r="DTR69" s="61">
        <f t="shared" si="1590"/>
        <v>-65000000</v>
      </c>
      <c r="DTS69" s="61">
        <f t="shared" si="1590"/>
        <v>-65000000</v>
      </c>
      <c r="DTT69" s="61">
        <f t="shared" si="1590"/>
        <v>-65000000</v>
      </c>
      <c r="DTU69" s="61">
        <f t="shared" si="1590"/>
        <v>-65000000</v>
      </c>
      <c r="DTV69" s="61">
        <f t="shared" si="1590"/>
        <v>-65000000</v>
      </c>
      <c r="DTW69" s="61">
        <f t="shared" si="1590"/>
        <v>-65000000</v>
      </c>
      <c r="DTX69" s="61">
        <f t="shared" si="1590"/>
        <v>-65000000</v>
      </c>
      <c r="DTY69" s="61">
        <f t="shared" si="1590"/>
        <v>-65000000</v>
      </c>
      <c r="DTZ69" s="61">
        <f t="shared" si="1590"/>
        <v>-65000000</v>
      </c>
      <c r="DUA69" s="61">
        <f t="shared" si="1590"/>
        <v>-65000000</v>
      </c>
      <c r="DUB69" s="61">
        <f t="shared" si="1590"/>
        <v>-65000000</v>
      </c>
      <c r="DUC69" s="61">
        <f t="shared" si="1590"/>
        <v>-65000000</v>
      </c>
      <c r="DUD69" s="61">
        <f t="shared" si="1590"/>
        <v>-65000000</v>
      </c>
      <c r="DUE69" s="61">
        <f t="shared" si="1590"/>
        <v>-65000000</v>
      </c>
      <c r="DUF69" s="61">
        <f t="shared" si="1590"/>
        <v>-65000000</v>
      </c>
      <c r="DUG69" s="61">
        <f t="shared" si="1590"/>
        <v>-65000000</v>
      </c>
      <c r="DUH69" s="61">
        <f t="shared" si="1590"/>
        <v>-65000000</v>
      </c>
      <c r="DUI69" s="61">
        <f t="shared" si="1590"/>
        <v>-65000000</v>
      </c>
      <c r="DUJ69" s="61">
        <f t="shared" si="1590"/>
        <v>-65000000</v>
      </c>
      <c r="DUK69" s="61">
        <f t="shared" si="1590"/>
        <v>-65000000</v>
      </c>
      <c r="DUL69" s="61">
        <f t="shared" si="1590"/>
        <v>-65000000</v>
      </c>
      <c r="DUM69" s="61">
        <f t="shared" si="1590"/>
        <v>-65000000</v>
      </c>
      <c r="DUN69" s="61">
        <f t="shared" si="1590"/>
        <v>-65000000</v>
      </c>
      <c r="DUO69" s="61">
        <f t="shared" si="1590"/>
        <v>-65000000</v>
      </c>
      <c r="DUP69" s="61">
        <f t="shared" si="1590"/>
        <v>-65000000</v>
      </c>
      <c r="DUQ69" s="61">
        <f t="shared" si="1590"/>
        <v>-65000000</v>
      </c>
      <c r="DUR69" s="61">
        <f t="shared" si="1590"/>
        <v>-65000000</v>
      </c>
      <c r="DUS69" s="61">
        <f t="shared" si="1590"/>
        <v>-65000000</v>
      </c>
      <c r="DUT69" s="61">
        <f t="shared" si="1590"/>
        <v>-65000000</v>
      </c>
      <c r="DUU69" s="61">
        <f t="shared" si="1590"/>
        <v>-65000000</v>
      </c>
      <c r="DUV69" s="61">
        <f t="shared" si="1590"/>
        <v>-65000000</v>
      </c>
      <c r="DUW69" s="61">
        <f t="shared" si="1590"/>
        <v>-65000000</v>
      </c>
      <c r="DUX69" s="61">
        <f t="shared" si="1590"/>
        <v>-65000000</v>
      </c>
      <c r="DUY69" s="61">
        <f t="shared" si="1590"/>
        <v>-65000000</v>
      </c>
      <c r="DUZ69" s="61">
        <f t="shared" si="1590"/>
        <v>-65000000</v>
      </c>
      <c r="DVA69" s="61">
        <f t="shared" si="1590"/>
        <v>-65000000</v>
      </c>
      <c r="DVB69" s="61">
        <f t="shared" si="1590"/>
        <v>-65000000</v>
      </c>
      <c r="DVC69" s="61">
        <f t="shared" si="1590"/>
        <v>-65000000</v>
      </c>
      <c r="DVD69" s="61">
        <f t="shared" si="1590"/>
        <v>-65000000</v>
      </c>
      <c r="DVE69" s="61">
        <f t="shared" si="1590"/>
        <v>-65000000</v>
      </c>
      <c r="DVF69" s="61">
        <f t="shared" si="1590"/>
        <v>-65000000</v>
      </c>
      <c r="DVG69" s="61">
        <f t="shared" si="1590"/>
        <v>-65000000</v>
      </c>
      <c r="DVH69" s="61">
        <f t="shared" si="1590"/>
        <v>-65000000</v>
      </c>
      <c r="DVI69" s="61">
        <f t="shared" si="1590"/>
        <v>-65000000</v>
      </c>
      <c r="DVJ69" s="61">
        <f t="shared" si="1590"/>
        <v>-65000000</v>
      </c>
      <c r="DVK69" s="61">
        <f t="shared" si="1590"/>
        <v>-65000000</v>
      </c>
      <c r="DVL69" s="61">
        <f t="shared" si="1590"/>
        <v>-65000000</v>
      </c>
      <c r="DVM69" s="61">
        <f t="shared" si="1590"/>
        <v>-65000000</v>
      </c>
      <c r="DVN69" s="61">
        <f t="shared" si="1590"/>
        <v>-65000000</v>
      </c>
      <c r="DVO69" s="61">
        <f t="shared" si="1590"/>
        <v>-65000000</v>
      </c>
      <c r="DVP69" s="61">
        <f t="shared" si="1590"/>
        <v>-65000000</v>
      </c>
      <c r="DVQ69" s="61">
        <f t="shared" si="1590"/>
        <v>-65000000</v>
      </c>
      <c r="DVR69" s="61">
        <f t="shared" si="1590"/>
        <v>-65000000</v>
      </c>
      <c r="DVS69" s="61">
        <f t="shared" ref="DVS69:DYD69" si="1591">DVS68-$EC$11-DVS11</f>
        <v>-65000000</v>
      </c>
      <c r="DVT69" s="61">
        <f t="shared" si="1591"/>
        <v>-65000000</v>
      </c>
      <c r="DVU69" s="61">
        <f t="shared" si="1591"/>
        <v>-65000000</v>
      </c>
      <c r="DVV69" s="61">
        <f t="shared" si="1591"/>
        <v>-65000000</v>
      </c>
      <c r="DVW69" s="61">
        <f t="shared" si="1591"/>
        <v>-65000000</v>
      </c>
      <c r="DVX69" s="61">
        <f t="shared" si="1591"/>
        <v>-65000000</v>
      </c>
      <c r="DVY69" s="61">
        <f t="shared" si="1591"/>
        <v>-65000000</v>
      </c>
      <c r="DVZ69" s="61">
        <f t="shared" si="1591"/>
        <v>-65000000</v>
      </c>
      <c r="DWA69" s="61">
        <f t="shared" si="1591"/>
        <v>-65000000</v>
      </c>
      <c r="DWB69" s="61">
        <f t="shared" si="1591"/>
        <v>-65000000</v>
      </c>
      <c r="DWC69" s="61">
        <f t="shared" si="1591"/>
        <v>-65000000</v>
      </c>
      <c r="DWD69" s="61">
        <f t="shared" si="1591"/>
        <v>-65000000</v>
      </c>
      <c r="DWE69" s="61">
        <f t="shared" si="1591"/>
        <v>-65000000</v>
      </c>
      <c r="DWF69" s="61">
        <f t="shared" si="1591"/>
        <v>-65000000</v>
      </c>
      <c r="DWG69" s="61">
        <f t="shared" si="1591"/>
        <v>-65000000</v>
      </c>
      <c r="DWH69" s="61">
        <f t="shared" si="1591"/>
        <v>-65000000</v>
      </c>
      <c r="DWI69" s="61">
        <f t="shared" si="1591"/>
        <v>-65000000</v>
      </c>
      <c r="DWJ69" s="61">
        <f t="shared" si="1591"/>
        <v>-65000000</v>
      </c>
      <c r="DWK69" s="61">
        <f t="shared" si="1591"/>
        <v>-65000000</v>
      </c>
      <c r="DWL69" s="61">
        <f t="shared" si="1591"/>
        <v>-65000000</v>
      </c>
      <c r="DWM69" s="61">
        <f t="shared" si="1591"/>
        <v>-65000000</v>
      </c>
      <c r="DWN69" s="61">
        <f t="shared" si="1591"/>
        <v>-65000000</v>
      </c>
      <c r="DWO69" s="61">
        <f t="shared" si="1591"/>
        <v>-65000000</v>
      </c>
      <c r="DWP69" s="61">
        <f t="shared" si="1591"/>
        <v>-65000000</v>
      </c>
      <c r="DWQ69" s="61">
        <f t="shared" si="1591"/>
        <v>-65000000</v>
      </c>
      <c r="DWR69" s="61">
        <f t="shared" si="1591"/>
        <v>-65000000</v>
      </c>
      <c r="DWS69" s="61">
        <f t="shared" si="1591"/>
        <v>-65000000</v>
      </c>
      <c r="DWT69" s="61">
        <f t="shared" si="1591"/>
        <v>-65000000</v>
      </c>
      <c r="DWU69" s="61">
        <f t="shared" si="1591"/>
        <v>-65000000</v>
      </c>
      <c r="DWV69" s="61">
        <f t="shared" si="1591"/>
        <v>-65000000</v>
      </c>
      <c r="DWW69" s="61">
        <f t="shared" si="1591"/>
        <v>-65000000</v>
      </c>
      <c r="DWX69" s="61">
        <f t="shared" si="1591"/>
        <v>-65000000</v>
      </c>
      <c r="DWY69" s="61">
        <f t="shared" si="1591"/>
        <v>-65000000</v>
      </c>
      <c r="DWZ69" s="61">
        <f t="shared" si="1591"/>
        <v>-65000000</v>
      </c>
      <c r="DXA69" s="61">
        <f t="shared" si="1591"/>
        <v>-65000000</v>
      </c>
      <c r="DXB69" s="61">
        <f t="shared" si="1591"/>
        <v>-65000000</v>
      </c>
      <c r="DXC69" s="61">
        <f t="shared" si="1591"/>
        <v>-65000000</v>
      </c>
      <c r="DXD69" s="61">
        <f t="shared" si="1591"/>
        <v>-65000000</v>
      </c>
      <c r="DXE69" s="61">
        <f t="shared" si="1591"/>
        <v>-65000000</v>
      </c>
      <c r="DXF69" s="61">
        <f t="shared" si="1591"/>
        <v>-65000000</v>
      </c>
      <c r="DXG69" s="61">
        <f t="shared" si="1591"/>
        <v>-65000000</v>
      </c>
      <c r="DXH69" s="61">
        <f t="shared" si="1591"/>
        <v>-65000000</v>
      </c>
      <c r="DXI69" s="61">
        <f t="shared" si="1591"/>
        <v>-65000000</v>
      </c>
      <c r="DXJ69" s="61">
        <f t="shared" si="1591"/>
        <v>-65000000</v>
      </c>
      <c r="DXK69" s="61">
        <f t="shared" si="1591"/>
        <v>-65000000</v>
      </c>
      <c r="DXL69" s="61">
        <f t="shared" si="1591"/>
        <v>-65000000</v>
      </c>
      <c r="DXM69" s="61">
        <f t="shared" si="1591"/>
        <v>-65000000</v>
      </c>
      <c r="DXN69" s="61">
        <f t="shared" si="1591"/>
        <v>-65000000</v>
      </c>
      <c r="DXO69" s="61">
        <f t="shared" si="1591"/>
        <v>-65000000</v>
      </c>
      <c r="DXP69" s="61">
        <f t="shared" si="1591"/>
        <v>-65000000</v>
      </c>
      <c r="DXQ69" s="61">
        <f t="shared" si="1591"/>
        <v>-65000000</v>
      </c>
      <c r="DXR69" s="61">
        <f t="shared" si="1591"/>
        <v>-65000000</v>
      </c>
      <c r="DXS69" s="61">
        <f t="shared" si="1591"/>
        <v>-65000000</v>
      </c>
      <c r="DXT69" s="61">
        <f t="shared" si="1591"/>
        <v>-65000000</v>
      </c>
      <c r="DXU69" s="61">
        <f t="shared" si="1591"/>
        <v>-65000000</v>
      </c>
      <c r="DXV69" s="61">
        <f t="shared" si="1591"/>
        <v>-65000000</v>
      </c>
      <c r="DXW69" s="61">
        <f t="shared" si="1591"/>
        <v>-65000000</v>
      </c>
      <c r="DXX69" s="61">
        <f t="shared" si="1591"/>
        <v>-65000000</v>
      </c>
      <c r="DXY69" s="61">
        <f t="shared" si="1591"/>
        <v>-65000000</v>
      </c>
      <c r="DXZ69" s="61">
        <f t="shared" si="1591"/>
        <v>-65000000</v>
      </c>
      <c r="DYA69" s="61">
        <f t="shared" si="1591"/>
        <v>-65000000</v>
      </c>
      <c r="DYB69" s="61">
        <f t="shared" si="1591"/>
        <v>-65000000</v>
      </c>
      <c r="DYC69" s="61">
        <f t="shared" si="1591"/>
        <v>-65000000</v>
      </c>
      <c r="DYD69" s="61">
        <f t="shared" si="1591"/>
        <v>-65000000</v>
      </c>
      <c r="DYE69" s="61">
        <f t="shared" ref="DYE69:EAP69" si="1592">DYE68-$EC$11-DYE11</f>
        <v>-65000000</v>
      </c>
      <c r="DYF69" s="61">
        <f t="shared" si="1592"/>
        <v>-65000000</v>
      </c>
      <c r="DYG69" s="61">
        <f t="shared" si="1592"/>
        <v>-65000000</v>
      </c>
      <c r="DYH69" s="61">
        <f t="shared" si="1592"/>
        <v>-65000000</v>
      </c>
      <c r="DYI69" s="61">
        <f t="shared" si="1592"/>
        <v>-65000000</v>
      </c>
      <c r="DYJ69" s="61">
        <f t="shared" si="1592"/>
        <v>-65000000</v>
      </c>
      <c r="DYK69" s="61">
        <f t="shared" si="1592"/>
        <v>-65000000</v>
      </c>
      <c r="DYL69" s="61">
        <f t="shared" si="1592"/>
        <v>-65000000</v>
      </c>
      <c r="DYM69" s="61">
        <f t="shared" si="1592"/>
        <v>-65000000</v>
      </c>
      <c r="DYN69" s="61">
        <f t="shared" si="1592"/>
        <v>-65000000</v>
      </c>
      <c r="DYO69" s="61">
        <f t="shared" si="1592"/>
        <v>-65000000</v>
      </c>
      <c r="DYP69" s="61">
        <f t="shared" si="1592"/>
        <v>-65000000</v>
      </c>
      <c r="DYQ69" s="61">
        <f t="shared" si="1592"/>
        <v>-65000000</v>
      </c>
      <c r="DYR69" s="61">
        <f t="shared" si="1592"/>
        <v>-65000000</v>
      </c>
      <c r="DYS69" s="61">
        <f t="shared" si="1592"/>
        <v>-65000000</v>
      </c>
      <c r="DYT69" s="61">
        <f t="shared" si="1592"/>
        <v>-65000000</v>
      </c>
      <c r="DYU69" s="61">
        <f t="shared" si="1592"/>
        <v>-65000000</v>
      </c>
      <c r="DYV69" s="61">
        <f t="shared" si="1592"/>
        <v>-65000000</v>
      </c>
      <c r="DYW69" s="61">
        <f t="shared" si="1592"/>
        <v>-65000000</v>
      </c>
      <c r="DYX69" s="61">
        <f t="shared" si="1592"/>
        <v>-65000000</v>
      </c>
      <c r="DYY69" s="61">
        <f t="shared" si="1592"/>
        <v>-65000000</v>
      </c>
      <c r="DYZ69" s="61">
        <f t="shared" si="1592"/>
        <v>-65000000</v>
      </c>
      <c r="DZA69" s="61">
        <f t="shared" si="1592"/>
        <v>-65000000</v>
      </c>
      <c r="DZB69" s="61">
        <f t="shared" si="1592"/>
        <v>-65000000</v>
      </c>
      <c r="DZC69" s="61">
        <f t="shared" si="1592"/>
        <v>-65000000</v>
      </c>
      <c r="DZD69" s="61">
        <f t="shared" si="1592"/>
        <v>-65000000</v>
      </c>
      <c r="DZE69" s="61">
        <f t="shared" si="1592"/>
        <v>-65000000</v>
      </c>
      <c r="DZF69" s="61">
        <f t="shared" si="1592"/>
        <v>-65000000</v>
      </c>
      <c r="DZG69" s="61">
        <f t="shared" si="1592"/>
        <v>-65000000</v>
      </c>
      <c r="DZH69" s="61">
        <f t="shared" si="1592"/>
        <v>-65000000</v>
      </c>
      <c r="DZI69" s="61">
        <f t="shared" si="1592"/>
        <v>-65000000</v>
      </c>
      <c r="DZJ69" s="61">
        <f t="shared" si="1592"/>
        <v>-65000000</v>
      </c>
      <c r="DZK69" s="61">
        <f t="shared" si="1592"/>
        <v>-65000000</v>
      </c>
      <c r="DZL69" s="61">
        <f t="shared" si="1592"/>
        <v>-65000000</v>
      </c>
      <c r="DZM69" s="61">
        <f t="shared" si="1592"/>
        <v>-65000000</v>
      </c>
      <c r="DZN69" s="61">
        <f t="shared" si="1592"/>
        <v>-65000000</v>
      </c>
      <c r="DZO69" s="61">
        <f t="shared" si="1592"/>
        <v>-65000000</v>
      </c>
      <c r="DZP69" s="61">
        <f t="shared" si="1592"/>
        <v>-65000000</v>
      </c>
      <c r="DZQ69" s="61">
        <f t="shared" si="1592"/>
        <v>-65000000</v>
      </c>
      <c r="DZR69" s="61">
        <f t="shared" si="1592"/>
        <v>-65000000</v>
      </c>
      <c r="DZS69" s="61">
        <f t="shared" si="1592"/>
        <v>-65000000</v>
      </c>
      <c r="DZT69" s="61">
        <f t="shared" si="1592"/>
        <v>-65000000</v>
      </c>
      <c r="DZU69" s="61">
        <f t="shared" si="1592"/>
        <v>-65000000</v>
      </c>
      <c r="DZV69" s="61">
        <f t="shared" si="1592"/>
        <v>-65000000</v>
      </c>
      <c r="DZW69" s="61">
        <f t="shared" si="1592"/>
        <v>-65000000</v>
      </c>
      <c r="DZX69" s="61">
        <f t="shared" si="1592"/>
        <v>-65000000</v>
      </c>
      <c r="DZY69" s="61">
        <f t="shared" si="1592"/>
        <v>-65000000</v>
      </c>
      <c r="DZZ69" s="61">
        <f t="shared" si="1592"/>
        <v>-65000000</v>
      </c>
      <c r="EAA69" s="61">
        <f t="shared" si="1592"/>
        <v>-65000000</v>
      </c>
      <c r="EAB69" s="61">
        <f t="shared" si="1592"/>
        <v>-65000000</v>
      </c>
      <c r="EAC69" s="61">
        <f t="shared" si="1592"/>
        <v>-65000000</v>
      </c>
      <c r="EAD69" s="61">
        <f t="shared" si="1592"/>
        <v>-65000000</v>
      </c>
      <c r="EAE69" s="61">
        <f t="shared" si="1592"/>
        <v>-65000000</v>
      </c>
      <c r="EAF69" s="61">
        <f t="shared" si="1592"/>
        <v>-65000000</v>
      </c>
      <c r="EAG69" s="61">
        <f t="shared" si="1592"/>
        <v>-65000000</v>
      </c>
      <c r="EAH69" s="61">
        <f t="shared" si="1592"/>
        <v>-65000000</v>
      </c>
      <c r="EAI69" s="61">
        <f t="shared" si="1592"/>
        <v>-65000000</v>
      </c>
      <c r="EAJ69" s="61">
        <f t="shared" si="1592"/>
        <v>-65000000</v>
      </c>
      <c r="EAK69" s="61">
        <f t="shared" si="1592"/>
        <v>-65000000</v>
      </c>
      <c r="EAL69" s="61">
        <f t="shared" si="1592"/>
        <v>-65000000</v>
      </c>
      <c r="EAM69" s="61">
        <f t="shared" si="1592"/>
        <v>-65000000</v>
      </c>
      <c r="EAN69" s="61">
        <f t="shared" si="1592"/>
        <v>-65000000</v>
      </c>
      <c r="EAO69" s="61">
        <f t="shared" si="1592"/>
        <v>-65000000</v>
      </c>
      <c r="EAP69" s="61">
        <f t="shared" si="1592"/>
        <v>-65000000</v>
      </c>
      <c r="EAQ69" s="61">
        <f t="shared" ref="EAQ69:EDB69" si="1593">EAQ68-$EC$11-EAQ11</f>
        <v>-65000000</v>
      </c>
      <c r="EAR69" s="61">
        <f t="shared" si="1593"/>
        <v>-65000000</v>
      </c>
      <c r="EAS69" s="61">
        <f t="shared" si="1593"/>
        <v>-65000000</v>
      </c>
      <c r="EAT69" s="61">
        <f t="shared" si="1593"/>
        <v>-65000000</v>
      </c>
      <c r="EAU69" s="61">
        <f t="shared" si="1593"/>
        <v>-65000000</v>
      </c>
      <c r="EAV69" s="61">
        <f t="shared" si="1593"/>
        <v>-65000000</v>
      </c>
      <c r="EAW69" s="61">
        <f t="shared" si="1593"/>
        <v>-65000000</v>
      </c>
      <c r="EAX69" s="61">
        <f t="shared" si="1593"/>
        <v>-65000000</v>
      </c>
      <c r="EAY69" s="61">
        <f t="shared" si="1593"/>
        <v>-65000000</v>
      </c>
      <c r="EAZ69" s="61">
        <f t="shared" si="1593"/>
        <v>-65000000</v>
      </c>
      <c r="EBA69" s="61">
        <f t="shared" si="1593"/>
        <v>-65000000</v>
      </c>
      <c r="EBB69" s="61">
        <f t="shared" si="1593"/>
        <v>-65000000</v>
      </c>
      <c r="EBC69" s="61">
        <f t="shared" si="1593"/>
        <v>-65000000</v>
      </c>
      <c r="EBD69" s="61">
        <f t="shared" si="1593"/>
        <v>-65000000</v>
      </c>
      <c r="EBE69" s="61">
        <f t="shared" si="1593"/>
        <v>-65000000</v>
      </c>
      <c r="EBF69" s="61">
        <f t="shared" si="1593"/>
        <v>-65000000</v>
      </c>
      <c r="EBG69" s="61">
        <f t="shared" si="1593"/>
        <v>-65000000</v>
      </c>
      <c r="EBH69" s="61">
        <f t="shared" si="1593"/>
        <v>-65000000</v>
      </c>
      <c r="EBI69" s="61">
        <f t="shared" si="1593"/>
        <v>-65000000</v>
      </c>
      <c r="EBJ69" s="61">
        <f t="shared" si="1593"/>
        <v>-65000000</v>
      </c>
      <c r="EBK69" s="61">
        <f t="shared" si="1593"/>
        <v>-65000000</v>
      </c>
      <c r="EBL69" s="61">
        <f t="shared" si="1593"/>
        <v>-65000000</v>
      </c>
      <c r="EBM69" s="61">
        <f t="shared" si="1593"/>
        <v>-65000000</v>
      </c>
      <c r="EBN69" s="61">
        <f t="shared" si="1593"/>
        <v>-65000000</v>
      </c>
      <c r="EBO69" s="61">
        <f t="shared" si="1593"/>
        <v>-65000000</v>
      </c>
      <c r="EBP69" s="61">
        <f t="shared" si="1593"/>
        <v>-65000000</v>
      </c>
      <c r="EBQ69" s="61">
        <f t="shared" si="1593"/>
        <v>-65000000</v>
      </c>
      <c r="EBR69" s="61">
        <f t="shared" si="1593"/>
        <v>-65000000</v>
      </c>
      <c r="EBS69" s="61">
        <f t="shared" si="1593"/>
        <v>-65000000</v>
      </c>
      <c r="EBT69" s="61">
        <f t="shared" si="1593"/>
        <v>-65000000</v>
      </c>
      <c r="EBU69" s="61">
        <f t="shared" si="1593"/>
        <v>-65000000</v>
      </c>
      <c r="EBV69" s="61">
        <f t="shared" si="1593"/>
        <v>-65000000</v>
      </c>
      <c r="EBW69" s="61">
        <f t="shared" si="1593"/>
        <v>-65000000</v>
      </c>
      <c r="EBX69" s="61">
        <f t="shared" si="1593"/>
        <v>-65000000</v>
      </c>
      <c r="EBY69" s="61">
        <f t="shared" si="1593"/>
        <v>-65000000</v>
      </c>
      <c r="EBZ69" s="61">
        <f t="shared" si="1593"/>
        <v>-65000000</v>
      </c>
      <c r="ECA69" s="61">
        <f t="shared" si="1593"/>
        <v>-65000000</v>
      </c>
      <c r="ECB69" s="61">
        <f t="shared" si="1593"/>
        <v>-65000000</v>
      </c>
      <c r="ECC69" s="61">
        <f t="shared" si="1593"/>
        <v>-65000000</v>
      </c>
      <c r="ECD69" s="61">
        <f t="shared" si="1593"/>
        <v>-65000000</v>
      </c>
      <c r="ECE69" s="61">
        <f t="shared" si="1593"/>
        <v>-65000000</v>
      </c>
      <c r="ECF69" s="61">
        <f t="shared" si="1593"/>
        <v>-65000000</v>
      </c>
      <c r="ECG69" s="61">
        <f t="shared" si="1593"/>
        <v>-65000000</v>
      </c>
      <c r="ECH69" s="61">
        <f t="shared" si="1593"/>
        <v>-65000000</v>
      </c>
      <c r="ECI69" s="61">
        <f t="shared" si="1593"/>
        <v>-65000000</v>
      </c>
      <c r="ECJ69" s="61">
        <f t="shared" si="1593"/>
        <v>-65000000</v>
      </c>
      <c r="ECK69" s="61">
        <f t="shared" si="1593"/>
        <v>-65000000</v>
      </c>
      <c r="ECL69" s="61">
        <f t="shared" si="1593"/>
        <v>-65000000</v>
      </c>
      <c r="ECM69" s="61">
        <f t="shared" si="1593"/>
        <v>-65000000</v>
      </c>
      <c r="ECN69" s="61">
        <f t="shared" si="1593"/>
        <v>-65000000</v>
      </c>
      <c r="ECO69" s="61">
        <f t="shared" si="1593"/>
        <v>-65000000</v>
      </c>
      <c r="ECP69" s="61">
        <f t="shared" si="1593"/>
        <v>-65000000</v>
      </c>
      <c r="ECQ69" s="61">
        <f t="shared" si="1593"/>
        <v>-65000000</v>
      </c>
      <c r="ECR69" s="61">
        <f t="shared" si="1593"/>
        <v>-65000000</v>
      </c>
      <c r="ECS69" s="61">
        <f t="shared" si="1593"/>
        <v>-65000000</v>
      </c>
      <c r="ECT69" s="61">
        <f t="shared" si="1593"/>
        <v>-65000000</v>
      </c>
      <c r="ECU69" s="61">
        <f t="shared" si="1593"/>
        <v>-65000000</v>
      </c>
      <c r="ECV69" s="61">
        <f t="shared" si="1593"/>
        <v>-65000000</v>
      </c>
      <c r="ECW69" s="61">
        <f t="shared" si="1593"/>
        <v>-65000000</v>
      </c>
      <c r="ECX69" s="61">
        <f t="shared" si="1593"/>
        <v>-65000000</v>
      </c>
      <c r="ECY69" s="61">
        <f t="shared" si="1593"/>
        <v>-65000000</v>
      </c>
      <c r="ECZ69" s="61">
        <f t="shared" si="1593"/>
        <v>-65000000</v>
      </c>
      <c r="EDA69" s="61">
        <f t="shared" si="1593"/>
        <v>-65000000</v>
      </c>
      <c r="EDB69" s="61">
        <f t="shared" si="1593"/>
        <v>-65000000</v>
      </c>
      <c r="EDC69" s="61">
        <f t="shared" ref="EDC69:EFN69" si="1594">EDC68-$EC$11-EDC11</f>
        <v>-65000000</v>
      </c>
      <c r="EDD69" s="61">
        <f t="shared" si="1594"/>
        <v>-65000000</v>
      </c>
      <c r="EDE69" s="61">
        <f t="shared" si="1594"/>
        <v>-65000000</v>
      </c>
      <c r="EDF69" s="61">
        <f t="shared" si="1594"/>
        <v>-65000000</v>
      </c>
      <c r="EDG69" s="61">
        <f t="shared" si="1594"/>
        <v>-65000000</v>
      </c>
      <c r="EDH69" s="61">
        <f t="shared" si="1594"/>
        <v>-65000000</v>
      </c>
      <c r="EDI69" s="61">
        <f t="shared" si="1594"/>
        <v>-65000000</v>
      </c>
      <c r="EDJ69" s="61">
        <f t="shared" si="1594"/>
        <v>-65000000</v>
      </c>
      <c r="EDK69" s="61">
        <f t="shared" si="1594"/>
        <v>-65000000</v>
      </c>
      <c r="EDL69" s="61">
        <f t="shared" si="1594"/>
        <v>-65000000</v>
      </c>
      <c r="EDM69" s="61">
        <f t="shared" si="1594"/>
        <v>-65000000</v>
      </c>
      <c r="EDN69" s="61">
        <f t="shared" si="1594"/>
        <v>-65000000</v>
      </c>
      <c r="EDO69" s="61">
        <f t="shared" si="1594"/>
        <v>-65000000</v>
      </c>
      <c r="EDP69" s="61">
        <f t="shared" si="1594"/>
        <v>-65000000</v>
      </c>
      <c r="EDQ69" s="61">
        <f t="shared" si="1594"/>
        <v>-65000000</v>
      </c>
      <c r="EDR69" s="61">
        <f t="shared" si="1594"/>
        <v>-65000000</v>
      </c>
      <c r="EDS69" s="61">
        <f t="shared" si="1594"/>
        <v>-65000000</v>
      </c>
      <c r="EDT69" s="61">
        <f t="shared" si="1594"/>
        <v>-65000000</v>
      </c>
      <c r="EDU69" s="61">
        <f t="shared" si="1594"/>
        <v>-65000000</v>
      </c>
      <c r="EDV69" s="61">
        <f t="shared" si="1594"/>
        <v>-65000000</v>
      </c>
      <c r="EDW69" s="61">
        <f t="shared" si="1594"/>
        <v>-65000000</v>
      </c>
      <c r="EDX69" s="61">
        <f t="shared" si="1594"/>
        <v>-65000000</v>
      </c>
      <c r="EDY69" s="61">
        <f t="shared" si="1594"/>
        <v>-65000000</v>
      </c>
      <c r="EDZ69" s="61">
        <f t="shared" si="1594"/>
        <v>-65000000</v>
      </c>
      <c r="EEA69" s="61">
        <f t="shared" si="1594"/>
        <v>-65000000</v>
      </c>
      <c r="EEB69" s="61">
        <f t="shared" si="1594"/>
        <v>-65000000</v>
      </c>
      <c r="EEC69" s="61">
        <f t="shared" si="1594"/>
        <v>-65000000</v>
      </c>
      <c r="EED69" s="61">
        <f t="shared" si="1594"/>
        <v>-65000000</v>
      </c>
      <c r="EEE69" s="61">
        <f t="shared" si="1594"/>
        <v>-65000000</v>
      </c>
      <c r="EEF69" s="61">
        <f t="shared" si="1594"/>
        <v>-65000000</v>
      </c>
      <c r="EEG69" s="61">
        <f t="shared" si="1594"/>
        <v>-65000000</v>
      </c>
      <c r="EEH69" s="61">
        <f t="shared" si="1594"/>
        <v>-65000000</v>
      </c>
      <c r="EEI69" s="61">
        <f t="shared" si="1594"/>
        <v>-65000000</v>
      </c>
      <c r="EEJ69" s="61">
        <f t="shared" si="1594"/>
        <v>-65000000</v>
      </c>
      <c r="EEK69" s="61">
        <f t="shared" si="1594"/>
        <v>-65000000</v>
      </c>
      <c r="EEL69" s="61">
        <f t="shared" si="1594"/>
        <v>-65000000</v>
      </c>
      <c r="EEM69" s="61">
        <f t="shared" si="1594"/>
        <v>-65000000</v>
      </c>
      <c r="EEN69" s="61">
        <f t="shared" si="1594"/>
        <v>-65000000</v>
      </c>
      <c r="EEO69" s="61">
        <f t="shared" si="1594"/>
        <v>-65000000</v>
      </c>
      <c r="EEP69" s="61">
        <f t="shared" si="1594"/>
        <v>-65000000</v>
      </c>
      <c r="EEQ69" s="61">
        <f t="shared" si="1594"/>
        <v>-65000000</v>
      </c>
      <c r="EER69" s="61">
        <f t="shared" si="1594"/>
        <v>-65000000</v>
      </c>
      <c r="EES69" s="61">
        <f t="shared" si="1594"/>
        <v>-65000000</v>
      </c>
      <c r="EET69" s="61">
        <f t="shared" si="1594"/>
        <v>-65000000</v>
      </c>
      <c r="EEU69" s="61">
        <f t="shared" si="1594"/>
        <v>-65000000</v>
      </c>
      <c r="EEV69" s="61">
        <f t="shared" si="1594"/>
        <v>-65000000</v>
      </c>
      <c r="EEW69" s="61">
        <f t="shared" si="1594"/>
        <v>-65000000</v>
      </c>
      <c r="EEX69" s="61">
        <f t="shared" si="1594"/>
        <v>-65000000</v>
      </c>
      <c r="EEY69" s="61">
        <f t="shared" si="1594"/>
        <v>-65000000</v>
      </c>
      <c r="EEZ69" s="61">
        <f t="shared" si="1594"/>
        <v>-65000000</v>
      </c>
      <c r="EFA69" s="61">
        <f t="shared" si="1594"/>
        <v>-65000000</v>
      </c>
      <c r="EFB69" s="61">
        <f t="shared" si="1594"/>
        <v>-65000000</v>
      </c>
      <c r="EFC69" s="61">
        <f t="shared" si="1594"/>
        <v>-65000000</v>
      </c>
      <c r="EFD69" s="61">
        <f t="shared" si="1594"/>
        <v>-65000000</v>
      </c>
      <c r="EFE69" s="61">
        <f t="shared" si="1594"/>
        <v>-65000000</v>
      </c>
      <c r="EFF69" s="61">
        <f t="shared" si="1594"/>
        <v>-65000000</v>
      </c>
      <c r="EFG69" s="61">
        <f t="shared" si="1594"/>
        <v>-65000000</v>
      </c>
      <c r="EFH69" s="61">
        <f t="shared" si="1594"/>
        <v>-65000000</v>
      </c>
      <c r="EFI69" s="61">
        <f t="shared" si="1594"/>
        <v>-65000000</v>
      </c>
      <c r="EFJ69" s="61">
        <f t="shared" si="1594"/>
        <v>-65000000</v>
      </c>
      <c r="EFK69" s="61">
        <f t="shared" si="1594"/>
        <v>-65000000</v>
      </c>
      <c r="EFL69" s="61">
        <f t="shared" si="1594"/>
        <v>-65000000</v>
      </c>
      <c r="EFM69" s="61">
        <f t="shared" si="1594"/>
        <v>-65000000</v>
      </c>
      <c r="EFN69" s="61">
        <f t="shared" si="1594"/>
        <v>-65000000</v>
      </c>
      <c r="EFO69" s="61">
        <f t="shared" ref="EFO69:EHZ69" si="1595">EFO68-$EC$11-EFO11</f>
        <v>-65000000</v>
      </c>
      <c r="EFP69" s="61">
        <f t="shared" si="1595"/>
        <v>-65000000</v>
      </c>
      <c r="EFQ69" s="61">
        <f t="shared" si="1595"/>
        <v>-65000000</v>
      </c>
      <c r="EFR69" s="61">
        <f t="shared" si="1595"/>
        <v>-65000000</v>
      </c>
      <c r="EFS69" s="61">
        <f t="shared" si="1595"/>
        <v>-65000000</v>
      </c>
      <c r="EFT69" s="61">
        <f t="shared" si="1595"/>
        <v>-65000000</v>
      </c>
      <c r="EFU69" s="61">
        <f t="shared" si="1595"/>
        <v>-65000000</v>
      </c>
      <c r="EFV69" s="61">
        <f t="shared" si="1595"/>
        <v>-65000000</v>
      </c>
      <c r="EFW69" s="61">
        <f t="shared" si="1595"/>
        <v>-65000000</v>
      </c>
      <c r="EFX69" s="61">
        <f t="shared" si="1595"/>
        <v>-65000000</v>
      </c>
      <c r="EFY69" s="61">
        <f t="shared" si="1595"/>
        <v>-65000000</v>
      </c>
      <c r="EFZ69" s="61">
        <f t="shared" si="1595"/>
        <v>-65000000</v>
      </c>
      <c r="EGA69" s="61">
        <f t="shared" si="1595"/>
        <v>-65000000</v>
      </c>
      <c r="EGB69" s="61">
        <f t="shared" si="1595"/>
        <v>-65000000</v>
      </c>
      <c r="EGC69" s="61">
        <f t="shared" si="1595"/>
        <v>-65000000</v>
      </c>
      <c r="EGD69" s="61">
        <f t="shared" si="1595"/>
        <v>-65000000</v>
      </c>
      <c r="EGE69" s="61">
        <f t="shared" si="1595"/>
        <v>-65000000</v>
      </c>
      <c r="EGF69" s="61">
        <f t="shared" si="1595"/>
        <v>-65000000</v>
      </c>
      <c r="EGG69" s="61">
        <f t="shared" si="1595"/>
        <v>-65000000</v>
      </c>
      <c r="EGH69" s="61">
        <f t="shared" si="1595"/>
        <v>-65000000</v>
      </c>
      <c r="EGI69" s="61">
        <f t="shared" si="1595"/>
        <v>-65000000</v>
      </c>
      <c r="EGJ69" s="61">
        <f t="shared" si="1595"/>
        <v>-65000000</v>
      </c>
      <c r="EGK69" s="61">
        <f t="shared" si="1595"/>
        <v>-65000000</v>
      </c>
      <c r="EGL69" s="61">
        <f t="shared" si="1595"/>
        <v>-65000000</v>
      </c>
      <c r="EGM69" s="61">
        <f t="shared" si="1595"/>
        <v>-65000000</v>
      </c>
      <c r="EGN69" s="61">
        <f t="shared" si="1595"/>
        <v>-65000000</v>
      </c>
      <c r="EGO69" s="61">
        <f t="shared" si="1595"/>
        <v>-65000000</v>
      </c>
      <c r="EGP69" s="61">
        <f t="shared" si="1595"/>
        <v>-65000000</v>
      </c>
      <c r="EGQ69" s="61">
        <f t="shared" si="1595"/>
        <v>-65000000</v>
      </c>
      <c r="EGR69" s="61">
        <f t="shared" si="1595"/>
        <v>-65000000</v>
      </c>
      <c r="EGS69" s="61">
        <f t="shared" si="1595"/>
        <v>-65000000</v>
      </c>
      <c r="EGT69" s="61">
        <f t="shared" si="1595"/>
        <v>-65000000</v>
      </c>
      <c r="EGU69" s="61">
        <f t="shared" si="1595"/>
        <v>-65000000</v>
      </c>
      <c r="EGV69" s="61">
        <f t="shared" si="1595"/>
        <v>-65000000</v>
      </c>
      <c r="EGW69" s="61">
        <f t="shared" si="1595"/>
        <v>-65000000</v>
      </c>
      <c r="EGX69" s="61">
        <f t="shared" si="1595"/>
        <v>-65000000</v>
      </c>
      <c r="EGY69" s="61">
        <f t="shared" si="1595"/>
        <v>-65000000</v>
      </c>
      <c r="EGZ69" s="61">
        <f t="shared" si="1595"/>
        <v>-65000000</v>
      </c>
      <c r="EHA69" s="61">
        <f t="shared" si="1595"/>
        <v>-65000000</v>
      </c>
      <c r="EHB69" s="61">
        <f t="shared" si="1595"/>
        <v>-65000000</v>
      </c>
      <c r="EHC69" s="61">
        <f t="shared" si="1595"/>
        <v>-65000000</v>
      </c>
      <c r="EHD69" s="61">
        <f t="shared" si="1595"/>
        <v>-65000000</v>
      </c>
      <c r="EHE69" s="61">
        <f t="shared" si="1595"/>
        <v>-65000000</v>
      </c>
      <c r="EHF69" s="61">
        <f t="shared" si="1595"/>
        <v>-65000000</v>
      </c>
      <c r="EHG69" s="61">
        <f t="shared" si="1595"/>
        <v>-65000000</v>
      </c>
      <c r="EHH69" s="61">
        <f t="shared" si="1595"/>
        <v>-65000000</v>
      </c>
      <c r="EHI69" s="61">
        <f t="shared" si="1595"/>
        <v>-65000000</v>
      </c>
      <c r="EHJ69" s="61">
        <f t="shared" si="1595"/>
        <v>-65000000</v>
      </c>
      <c r="EHK69" s="61">
        <f t="shared" si="1595"/>
        <v>-65000000</v>
      </c>
      <c r="EHL69" s="61">
        <f t="shared" si="1595"/>
        <v>-65000000</v>
      </c>
      <c r="EHM69" s="61">
        <f t="shared" si="1595"/>
        <v>-65000000</v>
      </c>
      <c r="EHN69" s="61">
        <f t="shared" si="1595"/>
        <v>-65000000</v>
      </c>
      <c r="EHO69" s="61">
        <f t="shared" si="1595"/>
        <v>-65000000</v>
      </c>
      <c r="EHP69" s="61">
        <f t="shared" si="1595"/>
        <v>-65000000</v>
      </c>
      <c r="EHQ69" s="61">
        <f t="shared" si="1595"/>
        <v>-65000000</v>
      </c>
      <c r="EHR69" s="61">
        <f t="shared" si="1595"/>
        <v>-65000000</v>
      </c>
      <c r="EHS69" s="61">
        <f t="shared" si="1595"/>
        <v>-65000000</v>
      </c>
      <c r="EHT69" s="61">
        <f t="shared" si="1595"/>
        <v>-65000000</v>
      </c>
      <c r="EHU69" s="61">
        <f t="shared" si="1595"/>
        <v>-65000000</v>
      </c>
      <c r="EHV69" s="61">
        <f t="shared" si="1595"/>
        <v>-65000000</v>
      </c>
      <c r="EHW69" s="61">
        <f t="shared" si="1595"/>
        <v>-65000000</v>
      </c>
      <c r="EHX69" s="61">
        <f t="shared" si="1595"/>
        <v>-65000000</v>
      </c>
      <c r="EHY69" s="61">
        <f t="shared" si="1595"/>
        <v>-65000000</v>
      </c>
      <c r="EHZ69" s="61">
        <f t="shared" si="1595"/>
        <v>-65000000</v>
      </c>
      <c r="EIA69" s="61">
        <f t="shared" ref="EIA69:EKL69" si="1596">EIA68-$EC$11-EIA11</f>
        <v>-65000000</v>
      </c>
      <c r="EIB69" s="61">
        <f t="shared" si="1596"/>
        <v>-65000000</v>
      </c>
      <c r="EIC69" s="61">
        <f t="shared" si="1596"/>
        <v>-65000000</v>
      </c>
      <c r="EID69" s="61">
        <f t="shared" si="1596"/>
        <v>-65000000</v>
      </c>
      <c r="EIE69" s="61">
        <f t="shared" si="1596"/>
        <v>-65000000</v>
      </c>
      <c r="EIF69" s="61">
        <f t="shared" si="1596"/>
        <v>-65000000</v>
      </c>
      <c r="EIG69" s="61">
        <f t="shared" si="1596"/>
        <v>-65000000</v>
      </c>
      <c r="EIH69" s="61">
        <f t="shared" si="1596"/>
        <v>-65000000</v>
      </c>
      <c r="EII69" s="61">
        <f t="shared" si="1596"/>
        <v>-65000000</v>
      </c>
      <c r="EIJ69" s="61">
        <f t="shared" si="1596"/>
        <v>-65000000</v>
      </c>
      <c r="EIK69" s="61">
        <f t="shared" si="1596"/>
        <v>-65000000</v>
      </c>
      <c r="EIL69" s="61">
        <f t="shared" si="1596"/>
        <v>-65000000</v>
      </c>
      <c r="EIM69" s="61">
        <f t="shared" si="1596"/>
        <v>-65000000</v>
      </c>
      <c r="EIN69" s="61">
        <f t="shared" si="1596"/>
        <v>-65000000</v>
      </c>
      <c r="EIO69" s="61">
        <f t="shared" si="1596"/>
        <v>-65000000</v>
      </c>
      <c r="EIP69" s="61">
        <f t="shared" si="1596"/>
        <v>-65000000</v>
      </c>
      <c r="EIQ69" s="61">
        <f t="shared" si="1596"/>
        <v>-65000000</v>
      </c>
      <c r="EIR69" s="61">
        <f t="shared" si="1596"/>
        <v>-65000000</v>
      </c>
      <c r="EIS69" s="61">
        <f t="shared" si="1596"/>
        <v>-65000000</v>
      </c>
      <c r="EIT69" s="61">
        <f t="shared" si="1596"/>
        <v>-65000000</v>
      </c>
      <c r="EIU69" s="61">
        <f t="shared" si="1596"/>
        <v>-65000000</v>
      </c>
      <c r="EIV69" s="61">
        <f t="shared" si="1596"/>
        <v>-65000000</v>
      </c>
      <c r="EIW69" s="61">
        <f t="shared" si="1596"/>
        <v>-65000000</v>
      </c>
      <c r="EIX69" s="61">
        <f t="shared" si="1596"/>
        <v>-65000000</v>
      </c>
      <c r="EIY69" s="61">
        <f t="shared" si="1596"/>
        <v>-65000000</v>
      </c>
      <c r="EIZ69" s="61">
        <f t="shared" si="1596"/>
        <v>-65000000</v>
      </c>
      <c r="EJA69" s="61">
        <f t="shared" si="1596"/>
        <v>-65000000</v>
      </c>
      <c r="EJB69" s="61">
        <f t="shared" si="1596"/>
        <v>-65000000</v>
      </c>
      <c r="EJC69" s="61">
        <f t="shared" si="1596"/>
        <v>-65000000</v>
      </c>
      <c r="EJD69" s="61">
        <f t="shared" si="1596"/>
        <v>-65000000</v>
      </c>
      <c r="EJE69" s="61">
        <f t="shared" si="1596"/>
        <v>-65000000</v>
      </c>
      <c r="EJF69" s="61">
        <f t="shared" si="1596"/>
        <v>-65000000</v>
      </c>
      <c r="EJG69" s="61">
        <f t="shared" si="1596"/>
        <v>-65000000</v>
      </c>
      <c r="EJH69" s="61">
        <f t="shared" si="1596"/>
        <v>-65000000</v>
      </c>
      <c r="EJI69" s="61">
        <f t="shared" si="1596"/>
        <v>-65000000</v>
      </c>
      <c r="EJJ69" s="61">
        <f t="shared" si="1596"/>
        <v>-65000000</v>
      </c>
      <c r="EJK69" s="61">
        <f t="shared" si="1596"/>
        <v>-65000000</v>
      </c>
      <c r="EJL69" s="61">
        <f t="shared" si="1596"/>
        <v>-65000000</v>
      </c>
      <c r="EJM69" s="61">
        <f t="shared" si="1596"/>
        <v>-65000000</v>
      </c>
      <c r="EJN69" s="61">
        <f t="shared" si="1596"/>
        <v>-65000000</v>
      </c>
      <c r="EJO69" s="61">
        <f t="shared" si="1596"/>
        <v>-65000000</v>
      </c>
      <c r="EJP69" s="61">
        <f t="shared" si="1596"/>
        <v>-65000000</v>
      </c>
      <c r="EJQ69" s="61">
        <f t="shared" si="1596"/>
        <v>-65000000</v>
      </c>
      <c r="EJR69" s="61">
        <f t="shared" si="1596"/>
        <v>-65000000</v>
      </c>
      <c r="EJS69" s="61">
        <f t="shared" si="1596"/>
        <v>-65000000</v>
      </c>
      <c r="EJT69" s="61">
        <f t="shared" si="1596"/>
        <v>-65000000</v>
      </c>
      <c r="EJU69" s="61">
        <f t="shared" si="1596"/>
        <v>-65000000</v>
      </c>
      <c r="EJV69" s="61">
        <f t="shared" si="1596"/>
        <v>-65000000</v>
      </c>
      <c r="EJW69" s="61">
        <f t="shared" si="1596"/>
        <v>-65000000</v>
      </c>
      <c r="EJX69" s="61">
        <f t="shared" si="1596"/>
        <v>-65000000</v>
      </c>
      <c r="EJY69" s="61">
        <f t="shared" si="1596"/>
        <v>-65000000</v>
      </c>
      <c r="EJZ69" s="61">
        <f t="shared" si="1596"/>
        <v>-65000000</v>
      </c>
      <c r="EKA69" s="61">
        <f t="shared" si="1596"/>
        <v>-65000000</v>
      </c>
      <c r="EKB69" s="61">
        <f t="shared" si="1596"/>
        <v>-65000000</v>
      </c>
      <c r="EKC69" s="61">
        <f t="shared" si="1596"/>
        <v>-65000000</v>
      </c>
      <c r="EKD69" s="61">
        <f t="shared" si="1596"/>
        <v>-65000000</v>
      </c>
      <c r="EKE69" s="61">
        <f t="shared" si="1596"/>
        <v>-65000000</v>
      </c>
      <c r="EKF69" s="61">
        <f t="shared" si="1596"/>
        <v>-65000000</v>
      </c>
      <c r="EKG69" s="61">
        <f t="shared" si="1596"/>
        <v>-65000000</v>
      </c>
      <c r="EKH69" s="61">
        <f t="shared" si="1596"/>
        <v>-65000000</v>
      </c>
      <c r="EKI69" s="61">
        <f t="shared" si="1596"/>
        <v>-65000000</v>
      </c>
      <c r="EKJ69" s="61">
        <f t="shared" si="1596"/>
        <v>-65000000</v>
      </c>
      <c r="EKK69" s="61">
        <f t="shared" si="1596"/>
        <v>-65000000</v>
      </c>
      <c r="EKL69" s="61">
        <f t="shared" si="1596"/>
        <v>-65000000</v>
      </c>
      <c r="EKM69" s="61">
        <f t="shared" ref="EKM69:EMX69" si="1597">EKM68-$EC$11-EKM11</f>
        <v>-65000000</v>
      </c>
      <c r="EKN69" s="61">
        <f t="shared" si="1597"/>
        <v>-65000000</v>
      </c>
      <c r="EKO69" s="61">
        <f t="shared" si="1597"/>
        <v>-65000000</v>
      </c>
      <c r="EKP69" s="61">
        <f t="shared" si="1597"/>
        <v>-65000000</v>
      </c>
      <c r="EKQ69" s="61">
        <f t="shared" si="1597"/>
        <v>-65000000</v>
      </c>
      <c r="EKR69" s="61">
        <f t="shared" si="1597"/>
        <v>-65000000</v>
      </c>
      <c r="EKS69" s="61">
        <f t="shared" si="1597"/>
        <v>-65000000</v>
      </c>
      <c r="EKT69" s="61">
        <f t="shared" si="1597"/>
        <v>-65000000</v>
      </c>
      <c r="EKU69" s="61">
        <f t="shared" si="1597"/>
        <v>-65000000</v>
      </c>
      <c r="EKV69" s="61">
        <f t="shared" si="1597"/>
        <v>-65000000</v>
      </c>
      <c r="EKW69" s="61">
        <f t="shared" si="1597"/>
        <v>-65000000</v>
      </c>
      <c r="EKX69" s="61">
        <f t="shared" si="1597"/>
        <v>-65000000</v>
      </c>
      <c r="EKY69" s="61">
        <f t="shared" si="1597"/>
        <v>-65000000</v>
      </c>
      <c r="EKZ69" s="61">
        <f t="shared" si="1597"/>
        <v>-65000000</v>
      </c>
      <c r="ELA69" s="61">
        <f t="shared" si="1597"/>
        <v>-65000000</v>
      </c>
      <c r="ELB69" s="61">
        <f t="shared" si="1597"/>
        <v>-65000000</v>
      </c>
      <c r="ELC69" s="61">
        <f t="shared" si="1597"/>
        <v>-65000000</v>
      </c>
      <c r="ELD69" s="61">
        <f t="shared" si="1597"/>
        <v>-65000000</v>
      </c>
      <c r="ELE69" s="61">
        <f t="shared" si="1597"/>
        <v>-65000000</v>
      </c>
      <c r="ELF69" s="61">
        <f t="shared" si="1597"/>
        <v>-65000000</v>
      </c>
      <c r="ELG69" s="61">
        <f t="shared" si="1597"/>
        <v>-65000000</v>
      </c>
      <c r="ELH69" s="61">
        <f t="shared" si="1597"/>
        <v>-65000000</v>
      </c>
      <c r="ELI69" s="61">
        <f t="shared" si="1597"/>
        <v>-65000000</v>
      </c>
      <c r="ELJ69" s="61">
        <f t="shared" si="1597"/>
        <v>-65000000</v>
      </c>
      <c r="ELK69" s="61">
        <f t="shared" si="1597"/>
        <v>-65000000</v>
      </c>
      <c r="ELL69" s="61">
        <f t="shared" si="1597"/>
        <v>-65000000</v>
      </c>
      <c r="ELM69" s="61">
        <f t="shared" si="1597"/>
        <v>-65000000</v>
      </c>
      <c r="ELN69" s="61">
        <f t="shared" si="1597"/>
        <v>-65000000</v>
      </c>
      <c r="ELO69" s="61">
        <f t="shared" si="1597"/>
        <v>-65000000</v>
      </c>
      <c r="ELP69" s="61">
        <f t="shared" si="1597"/>
        <v>-65000000</v>
      </c>
      <c r="ELQ69" s="61">
        <f t="shared" si="1597"/>
        <v>-65000000</v>
      </c>
      <c r="ELR69" s="61">
        <f t="shared" si="1597"/>
        <v>-65000000</v>
      </c>
      <c r="ELS69" s="61">
        <f t="shared" si="1597"/>
        <v>-65000000</v>
      </c>
      <c r="ELT69" s="61">
        <f t="shared" si="1597"/>
        <v>-65000000</v>
      </c>
      <c r="ELU69" s="61">
        <f t="shared" si="1597"/>
        <v>-65000000</v>
      </c>
      <c r="ELV69" s="61">
        <f t="shared" si="1597"/>
        <v>-65000000</v>
      </c>
      <c r="ELW69" s="61">
        <f t="shared" si="1597"/>
        <v>-65000000</v>
      </c>
      <c r="ELX69" s="61">
        <f t="shared" si="1597"/>
        <v>-65000000</v>
      </c>
      <c r="ELY69" s="61">
        <f t="shared" si="1597"/>
        <v>-65000000</v>
      </c>
      <c r="ELZ69" s="61">
        <f t="shared" si="1597"/>
        <v>-65000000</v>
      </c>
      <c r="EMA69" s="61">
        <f t="shared" si="1597"/>
        <v>-65000000</v>
      </c>
      <c r="EMB69" s="61">
        <f t="shared" si="1597"/>
        <v>-65000000</v>
      </c>
      <c r="EMC69" s="61">
        <f t="shared" si="1597"/>
        <v>-65000000</v>
      </c>
      <c r="EMD69" s="61">
        <f t="shared" si="1597"/>
        <v>-65000000</v>
      </c>
      <c r="EME69" s="61">
        <f t="shared" si="1597"/>
        <v>-65000000</v>
      </c>
      <c r="EMF69" s="61">
        <f t="shared" si="1597"/>
        <v>-65000000</v>
      </c>
      <c r="EMG69" s="61">
        <f t="shared" si="1597"/>
        <v>-65000000</v>
      </c>
      <c r="EMH69" s="61">
        <f t="shared" si="1597"/>
        <v>-65000000</v>
      </c>
      <c r="EMI69" s="61">
        <f t="shared" si="1597"/>
        <v>-65000000</v>
      </c>
      <c r="EMJ69" s="61">
        <f t="shared" si="1597"/>
        <v>-65000000</v>
      </c>
      <c r="EMK69" s="61">
        <f t="shared" si="1597"/>
        <v>-65000000</v>
      </c>
      <c r="EML69" s="61">
        <f t="shared" si="1597"/>
        <v>-65000000</v>
      </c>
      <c r="EMM69" s="61">
        <f t="shared" si="1597"/>
        <v>-65000000</v>
      </c>
      <c r="EMN69" s="61">
        <f t="shared" si="1597"/>
        <v>-65000000</v>
      </c>
      <c r="EMO69" s="61">
        <f t="shared" si="1597"/>
        <v>-65000000</v>
      </c>
      <c r="EMP69" s="61">
        <f t="shared" si="1597"/>
        <v>-65000000</v>
      </c>
      <c r="EMQ69" s="61">
        <f t="shared" si="1597"/>
        <v>-65000000</v>
      </c>
      <c r="EMR69" s="61">
        <f t="shared" si="1597"/>
        <v>-65000000</v>
      </c>
      <c r="EMS69" s="61">
        <f t="shared" si="1597"/>
        <v>-65000000</v>
      </c>
      <c r="EMT69" s="61">
        <f t="shared" si="1597"/>
        <v>-65000000</v>
      </c>
      <c r="EMU69" s="61">
        <f t="shared" si="1597"/>
        <v>-65000000</v>
      </c>
      <c r="EMV69" s="61">
        <f t="shared" si="1597"/>
        <v>-65000000</v>
      </c>
      <c r="EMW69" s="61">
        <f t="shared" si="1597"/>
        <v>-65000000</v>
      </c>
      <c r="EMX69" s="61">
        <f t="shared" si="1597"/>
        <v>-65000000</v>
      </c>
      <c r="EMY69" s="61">
        <f t="shared" ref="EMY69:EPJ69" si="1598">EMY68-$EC$11-EMY11</f>
        <v>-65000000</v>
      </c>
      <c r="EMZ69" s="61">
        <f t="shared" si="1598"/>
        <v>-65000000</v>
      </c>
      <c r="ENA69" s="61">
        <f t="shared" si="1598"/>
        <v>-65000000</v>
      </c>
      <c r="ENB69" s="61">
        <f t="shared" si="1598"/>
        <v>-65000000</v>
      </c>
      <c r="ENC69" s="61">
        <f t="shared" si="1598"/>
        <v>-65000000</v>
      </c>
      <c r="END69" s="61">
        <f t="shared" si="1598"/>
        <v>-65000000</v>
      </c>
      <c r="ENE69" s="61">
        <f t="shared" si="1598"/>
        <v>-65000000</v>
      </c>
      <c r="ENF69" s="61">
        <f t="shared" si="1598"/>
        <v>-65000000</v>
      </c>
      <c r="ENG69" s="61">
        <f t="shared" si="1598"/>
        <v>-65000000</v>
      </c>
      <c r="ENH69" s="61">
        <f t="shared" si="1598"/>
        <v>-65000000</v>
      </c>
      <c r="ENI69" s="61">
        <f t="shared" si="1598"/>
        <v>-65000000</v>
      </c>
      <c r="ENJ69" s="61">
        <f t="shared" si="1598"/>
        <v>-65000000</v>
      </c>
      <c r="ENK69" s="61">
        <f t="shared" si="1598"/>
        <v>-65000000</v>
      </c>
      <c r="ENL69" s="61">
        <f t="shared" si="1598"/>
        <v>-65000000</v>
      </c>
      <c r="ENM69" s="61">
        <f t="shared" si="1598"/>
        <v>-65000000</v>
      </c>
      <c r="ENN69" s="61">
        <f t="shared" si="1598"/>
        <v>-65000000</v>
      </c>
      <c r="ENO69" s="61">
        <f t="shared" si="1598"/>
        <v>-65000000</v>
      </c>
      <c r="ENP69" s="61">
        <f t="shared" si="1598"/>
        <v>-65000000</v>
      </c>
      <c r="ENQ69" s="61">
        <f t="shared" si="1598"/>
        <v>-65000000</v>
      </c>
      <c r="ENR69" s="61">
        <f t="shared" si="1598"/>
        <v>-65000000</v>
      </c>
      <c r="ENS69" s="61">
        <f t="shared" si="1598"/>
        <v>-65000000</v>
      </c>
      <c r="ENT69" s="61">
        <f t="shared" si="1598"/>
        <v>-65000000</v>
      </c>
      <c r="ENU69" s="61">
        <f t="shared" si="1598"/>
        <v>-65000000</v>
      </c>
      <c r="ENV69" s="61">
        <f t="shared" si="1598"/>
        <v>-65000000</v>
      </c>
      <c r="ENW69" s="61">
        <f t="shared" si="1598"/>
        <v>-65000000</v>
      </c>
      <c r="ENX69" s="61">
        <f t="shared" si="1598"/>
        <v>-65000000</v>
      </c>
      <c r="ENY69" s="61">
        <f t="shared" si="1598"/>
        <v>-65000000</v>
      </c>
      <c r="ENZ69" s="61">
        <f t="shared" si="1598"/>
        <v>-65000000</v>
      </c>
      <c r="EOA69" s="61">
        <f t="shared" si="1598"/>
        <v>-65000000</v>
      </c>
      <c r="EOB69" s="61">
        <f t="shared" si="1598"/>
        <v>-65000000</v>
      </c>
      <c r="EOC69" s="61">
        <f t="shared" si="1598"/>
        <v>-65000000</v>
      </c>
      <c r="EOD69" s="61">
        <f t="shared" si="1598"/>
        <v>-65000000</v>
      </c>
      <c r="EOE69" s="61">
        <f t="shared" si="1598"/>
        <v>-65000000</v>
      </c>
      <c r="EOF69" s="61">
        <f t="shared" si="1598"/>
        <v>-65000000</v>
      </c>
      <c r="EOG69" s="61">
        <f t="shared" si="1598"/>
        <v>-65000000</v>
      </c>
      <c r="EOH69" s="61">
        <f t="shared" si="1598"/>
        <v>-65000000</v>
      </c>
      <c r="EOI69" s="61">
        <f t="shared" si="1598"/>
        <v>-65000000</v>
      </c>
      <c r="EOJ69" s="61">
        <f t="shared" si="1598"/>
        <v>-65000000</v>
      </c>
      <c r="EOK69" s="61">
        <f t="shared" si="1598"/>
        <v>-65000000</v>
      </c>
      <c r="EOL69" s="61">
        <f t="shared" si="1598"/>
        <v>-65000000</v>
      </c>
      <c r="EOM69" s="61">
        <f t="shared" si="1598"/>
        <v>-65000000</v>
      </c>
      <c r="EON69" s="61">
        <f t="shared" si="1598"/>
        <v>-65000000</v>
      </c>
      <c r="EOO69" s="61">
        <f t="shared" si="1598"/>
        <v>-65000000</v>
      </c>
      <c r="EOP69" s="61">
        <f t="shared" si="1598"/>
        <v>-65000000</v>
      </c>
      <c r="EOQ69" s="61">
        <f t="shared" si="1598"/>
        <v>-65000000</v>
      </c>
      <c r="EOR69" s="61">
        <f t="shared" si="1598"/>
        <v>-65000000</v>
      </c>
      <c r="EOS69" s="61">
        <f t="shared" si="1598"/>
        <v>-65000000</v>
      </c>
      <c r="EOT69" s="61">
        <f t="shared" si="1598"/>
        <v>-65000000</v>
      </c>
      <c r="EOU69" s="61">
        <f t="shared" si="1598"/>
        <v>-65000000</v>
      </c>
      <c r="EOV69" s="61">
        <f t="shared" si="1598"/>
        <v>-65000000</v>
      </c>
      <c r="EOW69" s="61">
        <f t="shared" si="1598"/>
        <v>-65000000</v>
      </c>
      <c r="EOX69" s="61">
        <f t="shared" si="1598"/>
        <v>-65000000</v>
      </c>
      <c r="EOY69" s="61">
        <f t="shared" si="1598"/>
        <v>-65000000</v>
      </c>
      <c r="EOZ69" s="61">
        <f t="shared" si="1598"/>
        <v>-65000000</v>
      </c>
      <c r="EPA69" s="61">
        <f t="shared" si="1598"/>
        <v>-65000000</v>
      </c>
      <c r="EPB69" s="61">
        <f t="shared" si="1598"/>
        <v>-65000000</v>
      </c>
      <c r="EPC69" s="61">
        <f t="shared" si="1598"/>
        <v>-65000000</v>
      </c>
      <c r="EPD69" s="61">
        <f t="shared" si="1598"/>
        <v>-65000000</v>
      </c>
      <c r="EPE69" s="61">
        <f t="shared" si="1598"/>
        <v>-65000000</v>
      </c>
      <c r="EPF69" s="61">
        <f t="shared" si="1598"/>
        <v>-65000000</v>
      </c>
      <c r="EPG69" s="61">
        <f t="shared" si="1598"/>
        <v>-65000000</v>
      </c>
      <c r="EPH69" s="61">
        <f t="shared" si="1598"/>
        <v>-65000000</v>
      </c>
      <c r="EPI69" s="61">
        <f t="shared" si="1598"/>
        <v>-65000000</v>
      </c>
      <c r="EPJ69" s="61">
        <f t="shared" si="1598"/>
        <v>-65000000</v>
      </c>
      <c r="EPK69" s="61">
        <f t="shared" ref="EPK69:ERV69" si="1599">EPK68-$EC$11-EPK11</f>
        <v>-65000000</v>
      </c>
      <c r="EPL69" s="61">
        <f t="shared" si="1599"/>
        <v>-65000000</v>
      </c>
      <c r="EPM69" s="61">
        <f t="shared" si="1599"/>
        <v>-65000000</v>
      </c>
      <c r="EPN69" s="61">
        <f t="shared" si="1599"/>
        <v>-65000000</v>
      </c>
      <c r="EPO69" s="61">
        <f t="shared" si="1599"/>
        <v>-65000000</v>
      </c>
      <c r="EPP69" s="61">
        <f t="shared" si="1599"/>
        <v>-65000000</v>
      </c>
      <c r="EPQ69" s="61">
        <f t="shared" si="1599"/>
        <v>-65000000</v>
      </c>
      <c r="EPR69" s="61">
        <f t="shared" si="1599"/>
        <v>-65000000</v>
      </c>
      <c r="EPS69" s="61">
        <f t="shared" si="1599"/>
        <v>-65000000</v>
      </c>
      <c r="EPT69" s="61">
        <f t="shared" si="1599"/>
        <v>-65000000</v>
      </c>
      <c r="EPU69" s="61">
        <f t="shared" si="1599"/>
        <v>-65000000</v>
      </c>
      <c r="EPV69" s="61">
        <f t="shared" si="1599"/>
        <v>-65000000</v>
      </c>
      <c r="EPW69" s="61">
        <f t="shared" si="1599"/>
        <v>-65000000</v>
      </c>
      <c r="EPX69" s="61">
        <f t="shared" si="1599"/>
        <v>-65000000</v>
      </c>
      <c r="EPY69" s="61">
        <f t="shared" si="1599"/>
        <v>-65000000</v>
      </c>
      <c r="EPZ69" s="61">
        <f t="shared" si="1599"/>
        <v>-65000000</v>
      </c>
      <c r="EQA69" s="61">
        <f t="shared" si="1599"/>
        <v>-65000000</v>
      </c>
      <c r="EQB69" s="61">
        <f t="shared" si="1599"/>
        <v>-65000000</v>
      </c>
      <c r="EQC69" s="61">
        <f t="shared" si="1599"/>
        <v>-65000000</v>
      </c>
      <c r="EQD69" s="61">
        <f t="shared" si="1599"/>
        <v>-65000000</v>
      </c>
      <c r="EQE69" s="61">
        <f t="shared" si="1599"/>
        <v>-65000000</v>
      </c>
      <c r="EQF69" s="61">
        <f t="shared" si="1599"/>
        <v>-65000000</v>
      </c>
      <c r="EQG69" s="61">
        <f t="shared" si="1599"/>
        <v>-65000000</v>
      </c>
      <c r="EQH69" s="61">
        <f t="shared" si="1599"/>
        <v>-65000000</v>
      </c>
      <c r="EQI69" s="61">
        <f t="shared" si="1599"/>
        <v>-65000000</v>
      </c>
      <c r="EQJ69" s="61">
        <f t="shared" si="1599"/>
        <v>-65000000</v>
      </c>
      <c r="EQK69" s="61">
        <f t="shared" si="1599"/>
        <v>-65000000</v>
      </c>
      <c r="EQL69" s="61">
        <f t="shared" si="1599"/>
        <v>-65000000</v>
      </c>
      <c r="EQM69" s="61">
        <f t="shared" si="1599"/>
        <v>-65000000</v>
      </c>
      <c r="EQN69" s="61">
        <f t="shared" si="1599"/>
        <v>-65000000</v>
      </c>
      <c r="EQO69" s="61">
        <f t="shared" si="1599"/>
        <v>-65000000</v>
      </c>
      <c r="EQP69" s="61">
        <f t="shared" si="1599"/>
        <v>-65000000</v>
      </c>
      <c r="EQQ69" s="61">
        <f t="shared" si="1599"/>
        <v>-65000000</v>
      </c>
      <c r="EQR69" s="61">
        <f t="shared" si="1599"/>
        <v>-65000000</v>
      </c>
      <c r="EQS69" s="61">
        <f t="shared" si="1599"/>
        <v>-65000000</v>
      </c>
      <c r="EQT69" s="61">
        <f t="shared" si="1599"/>
        <v>-65000000</v>
      </c>
      <c r="EQU69" s="61">
        <f t="shared" si="1599"/>
        <v>-65000000</v>
      </c>
      <c r="EQV69" s="61">
        <f t="shared" si="1599"/>
        <v>-65000000</v>
      </c>
      <c r="EQW69" s="61">
        <f t="shared" si="1599"/>
        <v>-65000000</v>
      </c>
      <c r="EQX69" s="61">
        <f t="shared" si="1599"/>
        <v>-65000000</v>
      </c>
      <c r="EQY69" s="61">
        <f t="shared" si="1599"/>
        <v>-65000000</v>
      </c>
      <c r="EQZ69" s="61">
        <f t="shared" si="1599"/>
        <v>-65000000</v>
      </c>
      <c r="ERA69" s="61">
        <f t="shared" si="1599"/>
        <v>-65000000</v>
      </c>
      <c r="ERB69" s="61">
        <f t="shared" si="1599"/>
        <v>-65000000</v>
      </c>
      <c r="ERC69" s="61">
        <f t="shared" si="1599"/>
        <v>-65000000</v>
      </c>
      <c r="ERD69" s="61">
        <f t="shared" si="1599"/>
        <v>-65000000</v>
      </c>
      <c r="ERE69" s="61">
        <f t="shared" si="1599"/>
        <v>-65000000</v>
      </c>
      <c r="ERF69" s="61">
        <f t="shared" si="1599"/>
        <v>-65000000</v>
      </c>
      <c r="ERG69" s="61">
        <f t="shared" si="1599"/>
        <v>-65000000</v>
      </c>
      <c r="ERH69" s="61">
        <f t="shared" si="1599"/>
        <v>-65000000</v>
      </c>
      <c r="ERI69" s="61">
        <f t="shared" si="1599"/>
        <v>-65000000</v>
      </c>
      <c r="ERJ69" s="61">
        <f t="shared" si="1599"/>
        <v>-65000000</v>
      </c>
      <c r="ERK69" s="61">
        <f t="shared" si="1599"/>
        <v>-65000000</v>
      </c>
      <c r="ERL69" s="61">
        <f t="shared" si="1599"/>
        <v>-65000000</v>
      </c>
      <c r="ERM69" s="61">
        <f t="shared" si="1599"/>
        <v>-65000000</v>
      </c>
      <c r="ERN69" s="61">
        <f t="shared" si="1599"/>
        <v>-65000000</v>
      </c>
      <c r="ERO69" s="61">
        <f t="shared" si="1599"/>
        <v>-65000000</v>
      </c>
      <c r="ERP69" s="61">
        <f t="shared" si="1599"/>
        <v>-65000000</v>
      </c>
      <c r="ERQ69" s="61">
        <f t="shared" si="1599"/>
        <v>-65000000</v>
      </c>
      <c r="ERR69" s="61">
        <f t="shared" si="1599"/>
        <v>-65000000</v>
      </c>
      <c r="ERS69" s="61">
        <f t="shared" si="1599"/>
        <v>-65000000</v>
      </c>
      <c r="ERT69" s="61">
        <f t="shared" si="1599"/>
        <v>-65000000</v>
      </c>
      <c r="ERU69" s="61">
        <f t="shared" si="1599"/>
        <v>-65000000</v>
      </c>
      <c r="ERV69" s="61">
        <f t="shared" si="1599"/>
        <v>-65000000</v>
      </c>
      <c r="ERW69" s="61">
        <f t="shared" ref="ERW69:EUH69" si="1600">ERW68-$EC$11-ERW11</f>
        <v>-65000000</v>
      </c>
      <c r="ERX69" s="61">
        <f t="shared" si="1600"/>
        <v>-65000000</v>
      </c>
      <c r="ERY69" s="61">
        <f t="shared" si="1600"/>
        <v>-65000000</v>
      </c>
      <c r="ERZ69" s="61">
        <f t="shared" si="1600"/>
        <v>-65000000</v>
      </c>
      <c r="ESA69" s="61">
        <f t="shared" si="1600"/>
        <v>-65000000</v>
      </c>
      <c r="ESB69" s="61">
        <f t="shared" si="1600"/>
        <v>-65000000</v>
      </c>
      <c r="ESC69" s="61">
        <f t="shared" si="1600"/>
        <v>-65000000</v>
      </c>
      <c r="ESD69" s="61">
        <f t="shared" si="1600"/>
        <v>-65000000</v>
      </c>
      <c r="ESE69" s="61">
        <f t="shared" si="1600"/>
        <v>-65000000</v>
      </c>
      <c r="ESF69" s="61">
        <f t="shared" si="1600"/>
        <v>-65000000</v>
      </c>
      <c r="ESG69" s="61">
        <f t="shared" si="1600"/>
        <v>-65000000</v>
      </c>
      <c r="ESH69" s="61">
        <f t="shared" si="1600"/>
        <v>-65000000</v>
      </c>
      <c r="ESI69" s="61">
        <f t="shared" si="1600"/>
        <v>-65000000</v>
      </c>
      <c r="ESJ69" s="61">
        <f t="shared" si="1600"/>
        <v>-65000000</v>
      </c>
      <c r="ESK69" s="61">
        <f t="shared" si="1600"/>
        <v>-65000000</v>
      </c>
      <c r="ESL69" s="61">
        <f t="shared" si="1600"/>
        <v>-65000000</v>
      </c>
      <c r="ESM69" s="61">
        <f t="shared" si="1600"/>
        <v>-65000000</v>
      </c>
      <c r="ESN69" s="61">
        <f t="shared" si="1600"/>
        <v>-65000000</v>
      </c>
      <c r="ESO69" s="61">
        <f t="shared" si="1600"/>
        <v>-65000000</v>
      </c>
      <c r="ESP69" s="61">
        <f t="shared" si="1600"/>
        <v>-65000000</v>
      </c>
      <c r="ESQ69" s="61">
        <f t="shared" si="1600"/>
        <v>-65000000</v>
      </c>
      <c r="ESR69" s="61">
        <f t="shared" si="1600"/>
        <v>-65000000</v>
      </c>
      <c r="ESS69" s="61">
        <f t="shared" si="1600"/>
        <v>-65000000</v>
      </c>
      <c r="EST69" s="61">
        <f t="shared" si="1600"/>
        <v>-65000000</v>
      </c>
      <c r="ESU69" s="61">
        <f t="shared" si="1600"/>
        <v>-65000000</v>
      </c>
      <c r="ESV69" s="61">
        <f t="shared" si="1600"/>
        <v>-65000000</v>
      </c>
      <c r="ESW69" s="61">
        <f t="shared" si="1600"/>
        <v>-65000000</v>
      </c>
      <c r="ESX69" s="61">
        <f t="shared" si="1600"/>
        <v>-65000000</v>
      </c>
      <c r="ESY69" s="61">
        <f t="shared" si="1600"/>
        <v>-65000000</v>
      </c>
      <c r="ESZ69" s="61">
        <f t="shared" si="1600"/>
        <v>-65000000</v>
      </c>
      <c r="ETA69" s="61">
        <f t="shared" si="1600"/>
        <v>-65000000</v>
      </c>
      <c r="ETB69" s="61">
        <f t="shared" si="1600"/>
        <v>-65000000</v>
      </c>
      <c r="ETC69" s="61">
        <f t="shared" si="1600"/>
        <v>-65000000</v>
      </c>
      <c r="ETD69" s="61">
        <f t="shared" si="1600"/>
        <v>-65000000</v>
      </c>
      <c r="ETE69" s="61">
        <f t="shared" si="1600"/>
        <v>-65000000</v>
      </c>
      <c r="ETF69" s="61">
        <f t="shared" si="1600"/>
        <v>-65000000</v>
      </c>
      <c r="ETG69" s="61">
        <f t="shared" si="1600"/>
        <v>-65000000</v>
      </c>
      <c r="ETH69" s="61">
        <f t="shared" si="1600"/>
        <v>-65000000</v>
      </c>
      <c r="ETI69" s="61">
        <f t="shared" si="1600"/>
        <v>-65000000</v>
      </c>
      <c r="ETJ69" s="61">
        <f t="shared" si="1600"/>
        <v>-65000000</v>
      </c>
      <c r="ETK69" s="61">
        <f t="shared" si="1600"/>
        <v>-65000000</v>
      </c>
      <c r="ETL69" s="61">
        <f t="shared" si="1600"/>
        <v>-65000000</v>
      </c>
      <c r="ETM69" s="61">
        <f t="shared" si="1600"/>
        <v>-65000000</v>
      </c>
      <c r="ETN69" s="61">
        <f t="shared" si="1600"/>
        <v>-65000000</v>
      </c>
      <c r="ETO69" s="61">
        <f t="shared" si="1600"/>
        <v>-65000000</v>
      </c>
      <c r="ETP69" s="61">
        <f t="shared" si="1600"/>
        <v>-65000000</v>
      </c>
      <c r="ETQ69" s="61">
        <f t="shared" si="1600"/>
        <v>-65000000</v>
      </c>
      <c r="ETR69" s="61">
        <f t="shared" si="1600"/>
        <v>-65000000</v>
      </c>
      <c r="ETS69" s="61">
        <f t="shared" si="1600"/>
        <v>-65000000</v>
      </c>
      <c r="ETT69" s="61">
        <f t="shared" si="1600"/>
        <v>-65000000</v>
      </c>
      <c r="ETU69" s="61">
        <f t="shared" si="1600"/>
        <v>-65000000</v>
      </c>
      <c r="ETV69" s="61">
        <f t="shared" si="1600"/>
        <v>-65000000</v>
      </c>
      <c r="ETW69" s="61">
        <f t="shared" si="1600"/>
        <v>-65000000</v>
      </c>
      <c r="ETX69" s="61">
        <f t="shared" si="1600"/>
        <v>-65000000</v>
      </c>
      <c r="ETY69" s="61">
        <f t="shared" si="1600"/>
        <v>-65000000</v>
      </c>
      <c r="ETZ69" s="61">
        <f t="shared" si="1600"/>
        <v>-65000000</v>
      </c>
      <c r="EUA69" s="61">
        <f t="shared" si="1600"/>
        <v>-65000000</v>
      </c>
      <c r="EUB69" s="61">
        <f t="shared" si="1600"/>
        <v>-65000000</v>
      </c>
      <c r="EUC69" s="61">
        <f t="shared" si="1600"/>
        <v>-65000000</v>
      </c>
      <c r="EUD69" s="61">
        <f t="shared" si="1600"/>
        <v>-65000000</v>
      </c>
      <c r="EUE69" s="61">
        <f t="shared" si="1600"/>
        <v>-65000000</v>
      </c>
      <c r="EUF69" s="61">
        <f t="shared" si="1600"/>
        <v>-65000000</v>
      </c>
      <c r="EUG69" s="61">
        <f t="shared" si="1600"/>
        <v>-65000000</v>
      </c>
      <c r="EUH69" s="61">
        <f t="shared" si="1600"/>
        <v>-65000000</v>
      </c>
      <c r="EUI69" s="61">
        <f t="shared" ref="EUI69:EWT69" si="1601">EUI68-$EC$11-EUI11</f>
        <v>-65000000</v>
      </c>
      <c r="EUJ69" s="61">
        <f t="shared" si="1601"/>
        <v>-65000000</v>
      </c>
      <c r="EUK69" s="61">
        <f t="shared" si="1601"/>
        <v>-65000000</v>
      </c>
      <c r="EUL69" s="61">
        <f t="shared" si="1601"/>
        <v>-65000000</v>
      </c>
      <c r="EUM69" s="61">
        <f t="shared" si="1601"/>
        <v>-65000000</v>
      </c>
      <c r="EUN69" s="61">
        <f t="shared" si="1601"/>
        <v>-65000000</v>
      </c>
      <c r="EUO69" s="61">
        <f t="shared" si="1601"/>
        <v>-65000000</v>
      </c>
      <c r="EUP69" s="61">
        <f t="shared" si="1601"/>
        <v>-65000000</v>
      </c>
      <c r="EUQ69" s="61">
        <f t="shared" si="1601"/>
        <v>-65000000</v>
      </c>
      <c r="EUR69" s="61">
        <f t="shared" si="1601"/>
        <v>-65000000</v>
      </c>
      <c r="EUS69" s="61">
        <f t="shared" si="1601"/>
        <v>-65000000</v>
      </c>
      <c r="EUT69" s="61">
        <f t="shared" si="1601"/>
        <v>-65000000</v>
      </c>
      <c r="EUU69" s="61">
        <f t="shared" si="1601"/>
        <v>-65000000</v>
      </c>
      <c r="EUV69" s="61">
        <f t="shared" si="1601"/>
        <v>-65000000</v>
      </c>
      <c r="EUW69" s="61">
        <f t="shared" si="1601"/>
        <v>-65000000</v>
      </c>
      <c r="EUX69" s="61">
        <f t="shared" si="1601"/>
        <v>-65000000</v>
      </c>
      <c r="EUY69" s="61">
        <f t="shared" si="1601"/>
        <v>-65000000</v>
      </c>
      <c r="EUZ69" s="61">
        <f t="shared" si="1601"/>
        <v>-65000000</v>
      </c>
      <c r="EVA69" s="61">
        <f t="shared" si="1601"/>
        <v>-65000000</v>
      </c>
      <c r="EVB69" s="61">
        <f t="shared" si="1601"/>
        <v>-65000000</v>
      </c>
      <c r="EVC69" s="61">
        <f t="shared" si="1601"/>
        <v>-65000000</v>
      </c>
      <c r="EVD69" s="61">
        <f t="shared" si="1601"/>
        <v>-65000000</v>
      </c>
      <c r="EVE69" s="61">
        <f t="shared" si="1601"/>
        <v>-65000000</v>
      </c>
      <c r="EVF69" s="61">
        <f t="shared" si="1601"/>
        <v>-65000000</v>
      </c>
      <c r="EVG69" s="61">
        <f t="shared" si="1601"/>
        <v>-65000000</v>
      </c>
      <c r="EVH69" s="61">
        <f t="shared" si="1601"/>
        <v>-65000000</v>
      </c>
      <c r="EVI69" s="61">
        <f t="shared" si="1601"/>
        <v>-65000000</v>
      </c>
      <c r="EVJ69" s="61">
        <f t="shared" si="1601"/>
        <v>-65000000</v>
      </c>
      <c r="EVK69" s="61">
        <f t="shared" si="1601"/>
        <v>-65000000</v>
      </c>
      <c r="EVL69" s="61">
        <f t="shared" si="1601"/>
        <v>-65000000</v>
      </c>
      <c r="EVM69" s="61">
        <f t="shared" si="1601"/>
        <v>-65000000</v>
      </c>
      <c r="EVN69" s="61">
        <f t="shared" si="1601"/>
        <v>-65000000</v>
      </c>
      <c r="EVO69" s="61">
        <f t="shared" si="1601"/>
        <v>-65000000</v>
      </c>
      <c r="EVP69" s="61">
        <f t="shared" si="1601"/>
        <v>-65000000</v>
      </c>
      <c r="EVQ69" s="61">
        <f t="shared" si="1601"/>
        <v>-65000000</v>
      </c>
      <c r="EVR69" s="61">
        <f t="shared" si="1601"/>
        <v>-65000000</v>
      </c>
      <c r="EVS69" s="61">
        <f t="shared" si="1601"/>
        <v>-65000000</v>
      </c>
      <c r="EVT69" s="61">
        <f t="shared" si="1601"/>
        <v>-65000000</v>
      </c>
      <c r="EVU69" s="61">
        <f t="shared" si="1601"/>
        <v>-65000000</v>
      </c>
      <c r="EVV69" s="61">
        <f t="shared" si="1601"/>
        <v>-65000000</v>
      </c>
      <c r="EVW69" s="61">
        <f t="shared" si="1601"/>
        <v>-65000000</v>
      </c>
      <c r="EVX69" s="61">
        <f t="shared" si="1601"/>
        <v>-65000000</v>
      </c>
      <c r="EVY69" s="61">
        <f t="shared" si="1601"/>
        <v>-65000000</v>
      </c>
      <c r="EVZ69" s="61">
        <f t="shared" si="1601"/>
        <v>-65000000</v>
      </c>
      <c r="EWA69" s="61">
        <f t="shared" si="1601"/>
        <v>-65000000</v>
      </c>
      <c r="EWB69" s="61">
        <f t="shared" si="1601"/>
        <v>-65000000</v>
      </c>
      <c r="EWC69" s="61">
        <f t="shared" si="1601"/>
        <v>-65000000</v>
      </c>
      <c r="EWD69" s="61">
        <f t="shared" si="1601"/>
        <v>-65000000</v>
      </c>
      <c r="EWE69" s="61">
        <f t="shared" si="1601"/>
        <v>-65000000</v>
      </c>
      <c r="EWF69" s="61">
        <f t="shared" si="1601"/>
        <v>-65000000</v>
      </c>
      <c r="EWG69" s="61">
        <f t="shared" si="1601"/>
        <v>-65000000</v>
      </c>
      <c r="EWH69" s="61">
        <f t="shared" si="1601"/>
        <v>-65000000</v>
      </c>
      <c r="EWI69" s="61">
        <f t="shared" si="1601"/>
        <v>-65000000</v>
      </c>
      <c r="EWJ69" s="61">
        <f t="shared" si="1601"/>
        <v>-65000000</v>
      </c>
      <c r="EWK69" s="61">
        <f t="shared" si="1601"/>
        <v>-65000000</v>
      </c>
      <c r="EWL69" s="61">
        <f t="shared" si="1601"/>
        <v>-65000000</v>
      </c>
      <c r="EWM69" s="61">
        <f t="shared" si="1601"/>
        <v>-65000000</v>
      </c>
      <c r="EWN69" s="61">
        <f t="shared" si="1601"/>
        <v>-65000000</v>
      </c>
      <c r="EWO69" s="61">
        <f t="shared" si="1601"/>
        <v>-65000000</v>
      </c>
      <c r="EWP69" s="61">
        <f t="shared" si="1601"/>
        <v>-65000000</v>
      </c>
      <c r="EWQ69" s="61">
        <f t="shared" si="1601"/>
        <v>-65000000</v>
      </c>
      <c r="EWR69" s="61">
        <f t="shared" si="1601"/>
        <v>-65000000</v>
      </c>
      <c r="EWS69" s="61">
        <f t="shared" si="1601"/>
        <v>-65000000</v>
      </c>
      <c r="EWT69" s="61">
        <f t="shared" si="1601"/>
        <v>-65000000</v>
      </c>
      <c r="EWU69" s="61">
        <f t="shared" ref="EWU69:EZF69" si="1602">EWU68-$EC$11-EWU11</f>
        <v>-65000000</v>
      </c>
      <c r="EWV69" s="61">
        <f t="shared" si="1602"/>
        <v>-65000000</v>
      </c>
      <c r="EWW69" s="61">
        <f t="shared" si="1602"/>
        <v>-65000000</v>
      </c>
      <c r="EWX69" s="61">
        <f t="shared" si="1602"/>
        <v>-65000000</v>
      </c>
      <c r="EWY69" s="61">
        <f t="shared" si="1602"/>
        <v>-65000000</v>
      </c>
      <c r="EWZ69" s="61">
        <f t="shared" si="1602"/>
        <v>-65000000</v>
      </c>
      <c r="EXA69" s="61">
        <f t="shared" si="1602"/>
        <v>-65000000</v>
      </c>
      <c r="EXB69" s="61">
        <f t="shared" si="1602"/>
        <v>-65000000</v>
      </c>
      <c r="EXC69" s="61">
        <f t="shared" si="1602"/>
        <v>-65000000</v>
      </c>
      <c r="EXD69" s="61">
        <f t="shared" si="1602"/>
        <v>-65000000</v>
      </c>
      <c r="EXE69" s="61">
        <f t="shared" si="1602"/>
        <v>-65000000</v>
      </c>
      <c r="EXF69" s="61">
        <f t="shared" si="1602"/>
        <v>-65000000</v>
      </c>
      <c r="EXG69" s="61">
        <f t="shared" si="1602"/>
        <v>-65000000</v>
      </c>
      <c r="EXH69" s="61">
        <f t="shared" si="1602"/>
        <v>-65000000</v>
      </c>
      <c r="EXI69" s="61">
        <f t="shared" si="1602"/>
        <v>-65000000</v>
      </c>
      <c r="EXJ69" s="61">
        <f t="shared" si="1602"/>
        <v>-65000000</v>
      </c>
      <c r="EXK69" s="61">
        <f t="shared" si="1602"/>
        <v>-65000000</v>
      </c>
      <c r="EXL69" s="61">
        <f t="shared" si="1602"/>
        <v>-65000000</v>
      </c>
      <c r="EXM69" s="61">
        <f t="shared" si="1602"/>
        <v>-65000000</v>
      </c>
      <c r="EXN69" s="61">
        <f t="shared" si="1602"/>
        <v>-65000000</v>
      </c>
      <c r="EXO69" s="61">
        <f t="shared" si="1602"/>
        <v>-65000000</v>
      </c>
      <c r="EXP69" s="61">
        <f t="shared" si="1602"/>
        <v>-65000000</v>
      </c>
      <c r="EXQ69" s="61">
        <f t="shared" si="1602"/>
        <v>-65000000</v>
      </c>
      <c r="EXR69" s="61">
        <f t="shared" si="1602"/>
        <v>-65000000</v>
      </c>
      <c r="EXS69" s="61">
        <f t="shared" si="1602"/>
        <v>-65000000</v>
      </c>
      <c r="EXT69" s="61">
        <f t="shared" si="1602"/>
        <v>-65000000</v>
      </c>
      <c r="EXU69" s="61">
        <f t="shared" si="1602"/>
        <v>-65000000</v>
      </c>
      <c r="EXV69" s="61">
        <f t="shared" si="1602"/>
        <v>-65000000</v>
      </c>
      <c r="EXW69" s="61">
        <f t="shared" si="1602"/>
        <v>-65000000</v>
      </c>
      <c r="EXX69" s="61">
        <f t="shared" si="1602"/>
        <v>-65000000</v>
      </c>
      <c r="EXY69" s="61">
        <f t="shared" si="1602"/>
        <v>-65000000</v>
      </c>
      <c r="EXZ69" s="61">
        <f t="shared" si="1602"/>
        <v>-65000000</v>
      </c>
      <c r="EYA69" s="61">
        <f t="shared" si="1602"/>
        <v>-65000000</v>
      </c>
      <c r="EYB69" s="61">
        <f t="shared" si="1602"/>
        <v>-65000000</v>
      </c>
      <c r="EYC69" s="61">
        <f t="shared" si="1602"/>
        <v>-65000000</v>
      </c>
      <c r="EYD69" s="61">
        <f t="shared" si="1602"/>
        <v>-65000000</v>
      </c>
      <c r="EYE69" s="61">
        <f t="shared" si="1602"/>
        <v>-65000000</v>
      </c>
      <c r="EYF69" s="61">
        <f t="shared" si="1602"/>
        <v>-65000000</v>
      </c>
      <c r="EYG69" s="61">
        <f t="shared" si="1602"/>
        <v>-65000000</v>
      </c>
      <c r="EYH69" s="61">
        <f t="shared" si="1602"/>
        <v>-65000000</v>
      </c>
      <c r="EYI69" s="61">
        <f t="shared" si="1602"/>
        <v>-65000000</v>
      </c>
      <c r="EYJ69" s="61">
        <f t="shared" si="1602"/>
        <v>-65000000</v>
      </c>
      <c r="EYK69" s="61">
        <f t="shared" si="1602"/>
        <v>-65000000</v>
      </c>
      <c r="EYL69" s="61">
        <f t="shared" si="1602"/>
        <v>-65000000</v>
      </c>
      <c r="EYM69" s="61">
        <f t="shared" si="1602"/>
        <v>-65000000</v>
      </c>
      <c r="EYN69" s="61">
        <f t="shared" si="1602"/>
        <v>-65000000</v>
      </c>
      <c r="EYO69" s="61">
        <f t="shared" si="1602"/>
        <v>-65000000</v>
      </c>
      <c r="EYP69" s="61">
        <f t="shared" si="1602"/>
        <v>-65000000</v>
      </c>
      <c r="EYQ69" s="61">
        <f t="shared" si="1602"/>
        <v>-65000000</v>
      </c>
      <c r="EYR69" s="61">
        <f t="shared" si="1602"/>
        <v>-65000000</v>
      </c>
      <c r="EYS69" s="61">
        <f t="shared" si="1602"/>
        <v>-65000000</v>
      </c>
      <c r="EYT69" s="61">
        <f t="shared" si="1602"/>
        <v>-65000000</v>
      </c>
      <c r="EYU69" s="61">
        <f t="shared" si="1602"/>
        <v>-65000000</v>
      </c>
      <c r="EYV69" s="61">
        <f t="shared" si="1602"/>
        <v>-65000000</v>
      </c>
      <c r="EYW69" s="61">
        <f t="shared" si="1602"/>
        <v>-65000000</v>
      </c>
      <c r="EYX69" s="61">
        <f t="shared" si="1602"/>
        <v>-65000000</v>
      </c>
      <c r="EYY69" s="61">
        <f t="shared" si="1602"/>
        <v>-65000000</v>
      </c>
      <c r="EYZ69" s="61">
        <f t="shared" si="1602"/>
        <v>-65000000</v>
      </c>
      <c r="EZA69" s="61">
        <f t="shared" si="1602"/>
        <v>-65000000</v>
      </c>
      <c r="EZB69" s="61">
        <f t="shared" si="1602"/>
        <v>-65000000</v>
      </c>
      <c r="EZC69" s="61">
        <f t="shared" si="1602"/>
        <v>-65000000</v>
      </c>
      <c r="EZD69" s="61">
        <f t="shared" si="1602"/>
        <v>-65000000</v>
      </c>
      <c r="EZE69" s="61">
        <f t="shared" si="1602"/>
        <v>-65000000</v>
      </c>
      <c r="EZF69" s="61">
        <f t="shared" si="1602"/>
        <v>-65000000</v>
      </c>
      <c r="EZG69" s="61">
        <f t="shared" ref="EZG69:FBR69" si="1603">EZG68-$EC$11-EZG11</f>
        <v>-65000000</v>
      </c>
      <c r="EZH69" s="61">
        <f t="shared" si="1603"/>
        <v>-65000000</v>
      </c>
      <c r="EZI69" s="61">
        <f t="shared" si="1603"/>
        <v>-65000000</v>
      </c>
      <c r="EZJ69" s="61">
        <f t="shared" si="1603"/>
        <v>-65000000</v>
      </c>
      <c r="EZK69" s="61">
        <f t="shared" si="1603"/>
        <v>-65000000</v>
      </c>
      <c r="EZL69" s="61">
        <f t="shared" si="1603"/>
        <v>-65000000</v>
      </c>
      <c r="EZM69" s="61">
        <f t="shared" si="1603"/>
        <v>-65000000</v>
      </c>
      <c r="EZN69" s="61">
        <f t="shared" si="1603"/>
        <v>-65000000</v>
      </c>
      <c r="EZO69" s="61">
        <f t="shared" si="1603"/>
        <v>-65000000</v>
      </c>
      <c r="EZP69" s="61">
        <f t="shared" si="1603"/>
        <v>-65000000</v>
      </c>
      <c r="EZQ69" s="61">
        <f t="shared" si="1603"/>
        <v>-65000000</v>
      </c>
      <c r="EZR69" s="61">
        <f t="shared" si="1603"/>
        <v>-65000000</v>
      </c>
      <c r="EZS69" s="61">
        <f t="shared" si="1603"/>
        <v>-65000000</v>
      </c>
      <c r="EZT69" s="61">
        <f t="shared" si="1603"/>
        <v>-65000000</v>
      </c>
      <c r="EZU69" s="61">
        <f t="shared" si="1603"/>
        <v>-65000000</v>
      </c>
      <c r="EZV69" s="61">
        <f t="shared" si="1603"/>
        <v>-65000000</v>
      </c>
      <c r="EZW69" s="61">
        <f t="shared" si="1603"/>
        <v>-65000000</v>
      </c>
      <c r="EZX69" s="61">
        <f t="shared" si="1603"/>
        <v>-65000000</v>
      </c>
      <c r="EZY69" s="61">
        <f t="shared" si="1603"/>
        <v>-65000000</v>
      </c>
      <c r="EZZ69" s="61">
        <f t="shared" si="1603"/>
        <v>-65000000</v>
      </c>
      <c r="FAA69" s="61">
        <f t="shared" si="1603"/>
        <v>-65000000</v>
      </c>
      <c r="FAB69" s="61">
        <f t="shared" si="1603"/>
        <v>-65000000</v>
      </c>
      <c r="FAC69" s="61">
        <f t="shared" si="1603"/>
        <v>-65000000</v>
      </c>
      <c r="FAD69" s="61">
        <f t="shared" si="1603"/>
        <v>-65000000</v>
      </c>
      <c r="FAE69" s="61">
        <f t="shared" si="1603"/>
        <v>-65000000</v>
      </c>
      <c r="FAF69" s="61">
        <f t="shared" si="1603"/>
        <v>-65000000</v>
      </c>
      <c r="FAG69" s="61">
        <f t="shared" si="1603"/>
        <v>-65000000</v>
      </c>
      <c r="FAH69" s="61">
        <f t="shared" si="1603"/>
        <v>-65000000</v>
      </c>
      <c r="FAI69" s="61">
        <f t="shared" si="1603"/>
        <v>-65000000</v>
      </c>
      <c r="FAJ69" s="61">
        <f t="shared" si="1603"/>
        <v>-65000000</v>
      </c>
      <c r="FAK69" s="61">
        <f t="shared" si="1603"/>
        <v>-65000000</v>
      </c>
      <c r="FAL69" s="61">
        <f t="shared" si="1603"/>
        <v>-65000000</v>
      </c>
      <c r="FAM69" s="61">
        <f t="shared" si="1603"/>
        <v>-65000000</v>
      </c>
      <c r="FAN69" s="61">
        <f t="shared" si="1603"/>
        <v>-65000000</v>
      </c>
      <c r="FAO69" s="61">
        <f t="shared" si="1603"/>
        <v>-65000000</v>
      </c>
      <c r="FAP69" s="61">
        <f t="shared" si="1603"/>
        <v>-65000000</v>
      </c>
      <c r="FAQ69" s="61">
        <f t="shared" si="1603"/>
        <v>-65000000</v>
      </c>
      <c r="FAR69" s="61">
        <f t="shared" si="1603"/>
        <v>-65000000</v>
      </c>
      <c r="FAS69" s="61">
        <f t="shared" si="1603"/>
        <v>-65000000</v>
      </c>
      <c r="FAT69" s="61">
        <f t="shared" si="1603"/>
        <v>-65000000</v>
      </c>
      <c r="FAU69" s="61">
        <f t="shared" si="1603"/>
        <v>-65000000</v>
      </c>
      <c r="FAV69" s="61">
        <f t="shared" si="1603"/>
        <v>-65000000</v>
      </c>
      <c r="FAW69" s="61">
        <f t="shared" si="1603"/>
        <v>-65000000</v>
      </c>
      <c r="FAX69" s="61">
        <f t="shared" si="1603"/>
        <v>-65000000</v>
      </c>
      <c r="FAY69" s="61">
        <f t="shared" si="1603"/>
        <v>-65000000</v>
      </c>
      <c r="FAZ69" s="61">
        <f t="shared" si="1603"/>
        <v>-65000000</v>
      </c>
      <c r="FBA69" s="61">
        <f t="shared" si="1603"/>
        <v>-65000000</v>
      </c>
      <c r="FBB69" s="61">
        <f t="shared" si="1603"/>
        <v>-65000000</v>
      </c>
      <c r="FBC69" s="61">
        <f t="shared" si="1603"/>
        <v>-65000000</v>
      </c>
      <c r="FBD69" s="61">
        <f t="shared" si="1603"/>
        <v>-65000000</v>
      </c>
      <c r="FBE69" s="61">
        <f t="shared" si="1603"/>
        <v>-65000000</v>
      </c>
      <c r="FBF69" s="61">
        <f t="shared" si="1603"/>
        <v>-65000000</v>
      </c>
      <c r="FBG69" s="61">
        <f t="shared" si="1603"/>
        <v>-65000000</v>
      </c>
      <c r="FBH69" s="61">
        <f t="shared" si="1603"/>
        <v>-65000000</v>
      </c>
      <c r="FBI69" s="61">
        <f t="shared" si="1603"/>
        <v>-65000000</v>
      </c>
      <c r="FBJ69" s="61">
        <f t="shared" si="1603"/>
        <v>-65000000</v>
      </c>
      <c r="FBK69" s="61">
        <f t="shared" si="1603"/>
        <v>-65000000</v>
      </c>
      <c r="FBL69" s="61">
        <f t="shared" si="1603"/>
        <v>-65000000</v>
      </c>
      <c r="FBM69" s="61">
        <f t="shared" si="1603"/>
        <v>-65000000</v>
      </c>
      <c r="FBN69" s="61">
        <f t="shared" si="1603"/>
        <v>-65000000</v>
      </c>
      <c r="FBO69" s="61">
        <f t="shared" si="1603"/>
        <v>-65000000</v>
      </c>
      <c r="FBP69" s="61">
        <f t="shared" si="1603"/>
        <v>-65000000</v>
      </c>
      <c r="FBQ69" s="61">
        <f t="shared" si="1603"/>
        <v>-65000000</v>
      </c>
      <c r="FBR69" s="61">
        <f t="shared" si="1603"/>
        <v>-65000000</v>
      </c>
      <c r="FBS69" s="61">
        <f t="shared" ref="FBS69:FED69" si="1604">FBS68-$EC$11-FBS11</f>
        <v>-65000000</v>
      </c>
      <c r="FBT69" s="61">
        <f t="shared" si="1604"/>
        <v>-65000000</v>
      </c>
      <c r="FBU69" s="61">
        <f t="shared" si="1604"/>
        <v>-65000000</v>
      </c>
      <c r="FBV69" s="61">
        <f t="shared" si="1604"/>
        <v>-65000000</v>
      </c>
      <c r="FBW69" s="61">
        <f t="shared" si="1604"/>
        <v>-65000000</v>
      </c>
      <c r="FBX69" s="61">
        <f t="shared" si="1604"/>
        <v>-65000000</v>
      </c>
      <c r="FBY69" s="61">
        <f t="shared" si="1604"/>
        <v>-65000000</v>
      </c>
      <c r="FBZ69" s="61">
        <f t="shared" si="1604"/>
        <v>-65000000</v>
      </c>
      <c r="FCA69" s="61">
        <f t="shared" si="1604"/>
        <v>-65000000</v>
      </c>
      <c r="FCB69" s="61">
        <f t="shared" si="1604"/>
        <v>-65000000</v>
      </c>
      <c r="FCC69" s="61">
        <f t="shared" si="1604"/>
        <v>-65000000</v>
      </c>
      <c r="FCD69" s="61">
        <f t="shared" si="1604"/>
        <v>-65000000</v>
      </c>
      <c r="FCE69" s="61">
        <f t="shared" si="1604"/>
        <v>-65000000</v>
      </c>
      <c r="FCF69" s="61">
        <f t="shared" si="1604"/>
        <v>-65000000</v>
      </c>
      <c r="FCG69" s="61">
        <f t="shared" si="1604"/>
        <v>-65000000</v>
      </c>
      <c r="FCH69" s="61">
        <f t="shared" si="1604"/>
        <v>-65000000</v>
      </c>
      <c r="FCI69" s="61">
        <f t="shared" si="1604"/>
        <v>-65000000</v>
      </c>
      <c r="FCJ69" s="61">
        <f t="shared" si="1604"/>
        <v>-65000000</v>
      </c>
      <c r="FCK69" s="61">
        <f t="shared" si="1604"/>
        <v>-65000000</v>
      </c>
      <c r="FCL69" s="61">
        <f t="shared" si="1604"/>
        <v>-65000000</v>
      </c>
      <c r="FCM69" s="61">
        <f t="shared" si="1604"/>
        <v>-65000000</v>
      </c>
      <c r="FCN69" s="61">
        <f t="shared" si="1604"/>
        <v>-65000000</v>
      </c>
      <c r="FCO69" s="61">
        <f t="shared" si="1604"/>
        <v>-65000000</v>
      </c>
      <c r="FCP69" s="61">
        <f t="shared" si="1604"/>
        <v>-65000000</v>
      </c>
      <c r="FCQ69" s="61">
        <f t="shared" si="1604"/>
        <v>-65000000</v>
      </c>
      <c r="FCR69" s="61">
        <f t="shared" si="1604"/>
        <v>-65000000</v>
      </c>
      <c r="FCS69" s="61">
        <f t="shared" si="1604"/>
        <v>-65000000</v>
      </c>
      <c r="FCT69" s="61">
        <f t="shared" si="1604"/>
        <v>-65000000</v>
      </c>
      <c r="FCU69" s="61">
        <f t="shared" si="1604"/>
        <v>-65000000</v>
      </c>
      <c r="FCV69" s="61">
        <f t="shared" si="1604"/>
        <v>-65000000</v>
      </c>
      <c r="FCW69" s="61">
        <f t="shared" si="1604"/>
        <v>-65000000</v>
      </c>
      <c r="FCX69" s="61">
        <f t="shared" si="1604"/>
        <v>-65000000</v>
      </c>
      <c r="FCY69" s="61">
        <f t="shared" si="1604"/>
        <v>-65000000</v>
      </c>
      <c r="FCZ69" s="61">
        <f t="shared" si="1604"/>
        <v>-65000000</v>
      </c>
      <c r="FDA69" s="61">
        <f t="shared" si="1604"/>
        <v>-65000000</v>
      </c>
      <c r="FDB69" s="61">
        <f t="shared" si="1604"/>
        <v>-65000000</v>
      </c>
      <c r="FDC69" s="61">
        <f t="shared" si="1604"/>
        <v>-65000000</v>
      </c>
      <c r="FDD69" s="61">
        <f t="shared" si="1604"/>
        <v>-65000000</v>
      </c>
      <c r="FDE69" s="61">
        <f t="shared" si="1604"/>
        <v>-65000000</v>
      </c>
      <c r="FDF69" s="61">
        <f t="shared" si="1604"/>
        <v>-65000000</v>
      </c>
      <c r="FDG69" s="61">
        <f t="shared" si="1604"/>
        <v>-65000000</v>
      </c>
      <c r="FDH69" s="61">
        <f t="shared" si="1604"/>
        <v>-65000000</v>
      </c>
      <c r="FDI69" s="61">
        <f t="shared" si="1604"/>
        <v>-65000000</v>
      </c>
      <c r="FDJ69" s="61">
        <f t="shared" si="1604"/>
        <v>-65000000</v>
      </c>
      <c r="FDK69" s="61">
        <f t="shared" si="1604"/>
        <v>-65000000</v>
      </c>
      <c r="FDL69" s="61">
        <f t="shared" si="1604"/>
        <v>-65000000</v>
      </c>
      <c r="FDM69" s="61">
        <f t="shared" si="1604"/>
        <v>-65000000</v>
      </c>
      <c r="FDN69" s="61">
        <f t="shared" si="1604"/>
        <v>-65000000</v>
      </c>
      <c r="FDO69" s="61">
        <f t="shared" si="1604"/>
        <v>-65000000</v>
      </c>
      <c r="FDP69" s="61">
        <f t="shared" si="1604"/>
        <v>-65000000</v>
      </c>
      <c r="FDQ69" s="61">
        <f t="shared" si="1604"/>
        <v>-65000000</v>
      </c>
      <c r="FDR69" s="61">
        <f t="shared" si="1604"/>
        <v>-65000000</v>
      </c>
      <c r="FDS69" s="61">
        <f t="shared" si="1604"/>
        <v>-65000000</v>
      </c>
      <c r="FDT69" s="61">
        <f t="shared" si="1604"/>
        <v>-65000000</v>
      </c>
      <c r="FDU69" s="61">
        <f t="shared" si="1604"/>
        <v>-65000000</v>
      </c>
      <c r="FDV69" s="61">
        <f t="shared" si="1604"/>
        <v>-65000000</v>
      </c>
      <c r="FDW69" s="61">
        <f t="shared" si="1604"/>
        <v>-65000000</v>
      </c>
      <c r="FDX69" s="61">
        <f t="shared" si="1604"/>
        <v>-65000000</v>
      </c>
      <c r="FDY69" s="61">
        <f t="shared" si="1604"/>
        <v>-65000000</v>
      </c>
      <c r="FDZ69" s="61">
        <f t="shared" si="1604"/>
        <v>-65000000</v>
      </c>
      <c r="FEA69" s="61">
        <f t="shared" si="1604"/>
        <v>-65000000</v>
      </c>
      <c r="FEB69" s="61">
        <f t="shared" si="1604"/>
        <v>-65000000</v>
      </c>
      <c r="FEC69" s="61">
        <f t="shared" si="1604"/>
        <v>-65000000</v>
      </c>
      <c r="FED69" s="61">
        <f t="shared" si="1604"/>
        <v>-65000000</v>
      </c>
      <c r="FEE69" s="61">
        <f t="shared" ref="FEE69:FGP69" si="1605">FEE68-$EC$11-FEE11</f>
        <v>-65000000</v>
      </c>
      <c r="FEF69" s="61">
        <f t="shared" si="1605"/>
        <v>-65000000</v>
      </c>
      <c r="FEG69" s="61">
        <f t="shared" si="1605"/>
        <v>-65000000</v>
      </c>
      <c r="FEH69" s="61">
        <f t="shared" si="1605"/>
        <v>-65000000</v>
      </c>
      <c r="FEI69" s="61">
        <f t="shared" si="1605"/>
        <v>-65000000</v>
      </c>
      <c r="FEJ69" s="61">
        <f t="shared" si="1605"/>
        <v>-65000000</v>
      </c>
      <c r="FEK69" s="61">
        <f t="shared" si="1605"/>
        <v>-65000000</v>
      </c>
      <c r="FEL69" s="61">
        <f t="shared" si="1605"/>
        <v>-65000000</v>
      </c>
      <c r="FEM69" s="61">
        <f t="shared" si="1605"/>
        <v>-65000000</v>
      </c>
      <c r="FEN69" s="61">
        <f t="shared" si="1605"/>
        <v>-65000000</v>
      </c>
      <c r="FEO69" s="61">
        <f t="shared" si="1605"/>
        <v>-65000000</v>
      </c>
      <c r="FEP69" s="61">
        <f t="shared" si="1605"/>
        <v>-65000000</v>
      </c>
      <c r="FEQ69" s="61">
        <f t="shared" si="1605"/>
        <v>-65000000</v>
      </c>
      <c r="FER69" s="61">
        <f t="shared" si="1605"/>
        <v>-65000000</v>
      </c>
      <c r="FES69" s="61">
        <f t="shared" si="1605"/>
        <v>-65000000</v>
      </c>
      <c r="FET69" s="61">
        <f t="shared" si="1605"/>
        <v>-65000000</v>
      </c>
      <c r="FEU69" s="61">
        <f t="shared" si="1605"/>
        <v>-65000000</v>
      </c>
      <c r="FEV69" s="61">
        <f t="shared" si="1605"/>
        <v>-65000000</v>
      </c>
      <c r="FEW69" s="61">
        <f t="shared" si="1605"/>
        <v>-65000000</v>
      </c>
      <c r="FEX69" s="61">
        <f t="shared" si="1605"/>
        <v>-65000000</v>
      </c>
      <c r="FEY69" s="61">
        <f t="shared" si="1605"/>
        <v>-65000000</v>
      </c>
      <c r="FEZ69" s="61">
        <f t="shared" si="1605"/>
        <v>-65000000</v>
      </c>
      <c r="FFA69" s="61">
        <f t="shared" si="1605"/>
        <v>-65000000</v>
      </c>
      <c r="FFB69" s="61">
        <f t="shared" si="1605"/>
        <v>-65000000</v>
      </c>
      <c r="FFC69" s="61">
        <f t="shared" si="1605"/>
        <v>-65000000</v>
      </c>
      <c r="FFD69" s="61">
        <f t="shared" si="1605"/>
        <v>-65000000</v>
      </c>
      <c r="FFE69" s="61">
        <f t="shared" si="1605"/>
        <v>-65000000</v>
      </c>
      <c r="FFF69" s="61">
        <f t="shared" si="1605"/>
        <v>-65000000</v>
      </c>
      <c r="FFG69" s="61">
        <f t="shared" si="1605"/>
        <v>-65000000</v>
      </c>
      <c r="FFH69" s="61">
        <f t="shared" si="1605"/>
        <v>-65000000</v>
      </c>
      <c r="FFI69" s="61">
        <f t="shared" si="1605"/>
        <v>-65000000</v>
      </c>
      <c r="FFJ69" s="61">
        <f t="shared" si="1605"/>
        <v>-65000000</v>
      </c>
      <c r="FFK69" s="61">
        <f t="shared" si="1605"/>
        <v>-65000000</v>
      </c>
      <c r="FFL69" s="61">
        <f t="shared" si="1605"/>
        <v>-65000000</v>
      </c>
      <c r="FFM69" s="61">
        <f t="shared" si="1605"/>
        <v>-65000000</v>
      </c>
      <c r="FFN69" s="61">
        <f t="shared" si="1605"/>
        <v>-65000000</v>
      </c>
      <c r="FFO69" s="61">
        <f t="shared" si="1605"/>
        <v>-65000000</v>
      </c>
      <c r="FFP69" s="61">
        <f t="shared" si="1605"/>
        <v>-65000000</v>
      </c>
      <c r="FFQ69" s="61">
        <f t="shared" si="1605"/>
        <v>-65000000</v>
      </c>
      <c r="FFR69" s="61">
        <f t="shared" si="1605"/>
        <v>-65000000</v>
      </c>
      <c r="FFS69" s="61">
        <f t="shared" si="1605"/>
        <v>-65000000</v>
      </c>
      <c r="FFT69" s="61">
        <f t="shared" si="1605"/>
        <v>-65000000</v>
      </c>
      <c r="FFU69" s="61">
        <f t="shared" si="1605"/>
        <v>-65000000</v>
      </c>
      <c r="FFV69" s="61">
        <f t="shared" si="1605"/>
        <v>-65000000</v>
      </c>
      <c r="FFW69" s="61">
        <f t="shared" si="1605"/>
        <v>-65000000</v>
      </c>
      <c r="FFX69" s="61">
        <f t="shared" si="1605"/>
        <v>-65000000</v>
      </c>
      <c r="FFY69" s="61">
        <f t="shared" si="1605"/>
        <v>-65000000</v>
      </c>
      <c r="FFZ69" s="61">
        <f t="shared" si="1605"/>
        <v>-65000000</v>
      </c>
      <c r="FGA69" s="61">
        <f t="shared" si="1605"/>
        <v>-65000000</v>
      </c>
      <c r="FGB69" s="61">
        <f t="shared" si="1605"/>
        <v>-65000000</v>
      </c>
      <c r="FGC69" s="61">
        <f t="shared" si="1605"/>
        <v>-65000000</v>
      </c>
      <c r="FGD69" s="61">
        <f t="shared" si="1605"/>
        <v>-65000000</v>
      </c>
      <c r="FGE69" s="61">
        <f t="shared" si="1605"/>
        <v>-65000000</v>
      </c>
      <c r="FGF69" s="61">
        <f t="shared" si="1605"/>
        <v>-65000000</v>
      </c>
      <c r="FGG69" s="61">
        <f t="shared" si="1605"/>
        <v>-65000000</v>
      </c>
      <c r="FGH69" s="61">
        <f t="shared" si="1605"/>
        <v>-65000000</v>
      </c>
      <c r="FGI69" s="61">
        <f t="shared" si="1605"/>
        <v>-65000000</v>
      </c>
      <c r="FGJ69" s="61">
        <f t="shared" si="1605"/>
        <v>-65000000</v>
      </c>
      <c r="FGK69" s="61">
        <f t="shared" si="1605"/>
        <v>-65000000</v>
      </c>
      <c r="FGL69" s="61">
        <f t="shared" si="1605"/>
        <v>-65000000</v>
      </c>
      <c r="FGM69" s="61">
        <f t="shared" si="1605"/>
        <v>-65000000</v>
      </c>
      <c r="FGN69" s="61">
        <f t="shared" si="1605"/>
        <v>-65000000</v>
      </c>
      <c r="FGO69" s="61">
        <f t="shared" si="1605"/>
        <v>-65000000</v>
      </c>
      <c r="FGP69" s="61">
        <f t="shared" si="1605"/>
        <v>-65000000</v>
      </c>
      <c r="FGQ69" s="61">
        <f t="shared" ref="FGQ69:FJB69" si="1606">FGQ68-$EC$11-FGQ11</f>
        <v>-65000000</v>
      </c>
      <c r="FGR69" s="61">
        <f t="shared" si="1606"/>
        <v>-65000000</v>
      </c>
      <c r="FGS69" s="61">
        <f t="shared" si="1606"/>
        <v>-65000000</v>
      </c>
      <c r="FGT69" s="61">
        <f t="shared" si="1606"/>
        <v>-65000000</v>
      </c>
      <c r="FGU69" s="61">
        <f t="shared" si="1606"/>
        <v>-65000000</v>
      </c>
      <c r="FGV69" s="61">
        <f t="shared" si="1606"/>
        <v>-65000000</v>
      </c>
      <c r="FGW69" s="61">
        <f t="shared" si="1606"/>
        <v>-65000000</v>
      </c>
      <c r="FGX69" s="61">
        <f t="shared" si="1606"/>
        <v>-65000000</v>
      </c>
      <c r="FGY69" s="61">
        <f t="shared" si="1606"/>
        <v>-65000000</v>
      </c>
      <c r="FGZ69" s="61">
        <f t="shared" si="1606"/>
        <v>-65000000</v>
      </c>
      <c r="FHA69" s="61">
        <f t="shared" si="1606"/>
        <v>-65000000</v>
      </c>
      <c r="FHB69" s="61">
        <f t="shared" si="1606"/>
        <v>-65000000</v>
      </c>
      <c r="FHC69" s="61">
        <f t="shared" si="1606"/>
        <v>-65000000</v>
      </c>
      <c r="FHD69" s="61">
        <f t="shared" si="1606"/>
        <v>-65000000</v>
      </c>
      <c r="FHE69" s="61">
        <f t="shared" si="1606"/>
        <v>-65000000</v>
      </c>
      <c r="FHF69" s="61">
        <f t="shared" si="1606"/>
        <v>-65000000</v>
      </c>
      <c r="FHG69" s="61">
        <f t="shared" si="1606"/>
        <v>-65000000</v>
      </c>
      <c r="FHH69" s="61">
        <f t="shared" si="1606"/>
        <v>-65000000</v>
      </c>
      <c r="FHI69" s="61">
        <f t="shared" si="1606"/>
        <v>-65000000</v>
      </c>
      <c r="FHJ69" s="61">
        <f t="shared" si="1606"/>
        <v>-65000000</v>
      </c>
      <c r="FHK69" s="61">
        <f t="shared" si="1606"/>
        <v>-65000000</v>
      </c>
      <c r="FHL69" s="61">
        <f t="shared" si="1606"/>
        <v>-65000000</v>
      </c>
      <c r="FHM69" s="61">
        <f t="shared" si="1606"/>
        <v>-65000000</v>
      </c>
      <c r="FHN69" s="61">
        <f t="shared" si="1606"/>
        <v>-65000000</v>
      </c>
      <c r="FHO69" s="61">
        <f t="shared" si="1606"/>
        <v>-65000000</v>
      </c>
      <c r="FHP69" s="61">
        <f t="shared" si="1606"/>
        <v>-65000000</v>
      </c>
      <c r="FHQ69" s="61">
        <f t="shared" si="1606"/>
        <v>-65000000</v>
      </c>
      <c r="FHR69" s="61">
        <f t="shared" si="1606"/>
        <v>-65000000</v>
      </c>
      <c r="FHS69" s="61">
        <f t="shared" si="1606"/>
        <v>-65000000</v>
      </c>
      <c r="FHT69" s="61">
        <f t="shared" si="1606"/>
        <v>-65000000</v>
      </c>
      <c r="FHU69" s="61">
        <f t="shared" si="1606"/>
        <v>-65000000</v>
      </c>
      <c r="FHV69" s="61">
        <f t="shared" si="1606"/>
        <v>-65000000</v>
      </c>
      <c r="FHW69" s="61">
        <f t="shared" si="1606"/>
        <v>-65000000</v>
      </c>
      <c r="FHX69" s="61">
        <f t="shared" si="1606"/>
        <v>-65000000</v>
      </c>
      <c r="FHY69" s="61">
        <f t="shared" si="1606"/>
        <v>-65000000</v>
      </c>
      <c r="FHZ69" s="61">
        <f t="shared" si="1606"/>
        <v>-65000000</v>
      </c>
      <c r="FIA69" s="61">
        <f t="shared" si="1606"/>
        <v>-65000000</v>
      </c>
      <c r="FIB69" s="61">
        <f t="shared" si="1606"/>
        <v>-65000000</v>
      </c>
      <c r="FIC69" s="61">
        <f t="shared" si="1606"/>
        <v>-65000000</v>
      </c>
      <c r="FID69" s="61">
        <f t="shared" si="1606"/>
        <v>-65000000</v>
      </c>
      <c r="FIE69" s="61">
        <f t="shared" si="1606"/>
        <v>-65000000</v>
      </c>
      <c r="FIF69" s="61">
        <f t="shared" si="1606"/>
        <v>-65000000</v>
      </c>
      <c r="FIG69" s="61">
        <f t="shared" si="1606"/>
        <v>-65000000</v>
      </c>
      <c r="FIH69" s="61">
        <f t="shared" si="1606"/>
        <v>-65000000</v>
      </c>
      <c r="FII69" s="61">
        <f t="shared" si="1606"/>
        <v>-65000000</v>
      </c>
      <c r="FIJ69" s="61">
        <f t="shared" si="1606"/>
        <v>-65000000</v>
      </c>
      <c r="FIK69" s="61">
        <f t="shared" si="1606"/>
        <v>-65000000</v>
      </c>
      <c r="FIL69" s="61">
        <f t="shared" si="1606"/>
        <v>-65000000</v>
      </c>
      <c r="FIM69" s="61">
        <f t="shared" si="1606"/>
        <v>-65000000</v>
      </c>
      <c r="FIN69" s="61">
        <f t="shared" si="1606"/>
        <v>-65000000</v>
      </c>
      <c r="FIO69" s="61">
        <f t="shared" si="1606"/>
        <v>-65000000</v>
      </c>
      <c r="FIP69" s="61">
        <f t="shared" si="1606"/>
        <v>-65000000</v>
      </c>
      <c r="FIQ69" s="61">
        <f t="shared" si="1606"/>
        <v>-65000000</v>
      </c>
      <c r="FIR69" s="61">
        <f t="shared" si="1606"/>
        <v>-65000000</v>
      </c>
      <c r="FIS69" s="61">
        <f t="shared" si="1606"/>
        <v>-65000000</v>
      </c>
      <c r="FIT69" s="61">
        <f t="shared" si="1606"/>
        <v>-65000000</v>
      </c>
      <c r="FIU69" s="61">
        <f t="shared" si="1606"/>
        <v>-65000000</v>
      </c>
      <c r="FIV69" s="61">
        <f t="shared" si="1606"/>
        <v>-65000000</v>
      </c>
      <c r="FIW69" s="61">
        <f t="shared" si="1606"/>
        <v>-65000000</v>
      </c>
      <c r="FIX69" s="61">
        <f t="shared" si="1606"/>
        <v>-65000000</v>
      </c>
      <c r="FIY69" s="61">
        <f t="shared" si="1606"/>
        <v>-65000000</v>
      </c>
      <c r="FIZ69" s="61">
        <f t="shared" si="1606"/>
        <v>-65000000</v>
      </c>
      <c r="FJA69" s="61">
        <f t="shared" si="1606"/>
        <v>-65000000</v>
      </c>
      <c r="FJB69" s="61">
        <f t="shared" si="1606"/>
        <v>-65000000</v>
      </c>
      <c r="FJC69" s="61">
        <f t="shared" ref="FJC69:FLN69" si="1607">FJC68-$EC$11-FJC11</f>
        <v>-65000000</v>
      </c>
      <c r="FJD69" s="61">
        <f t="shared" si="1607"/>
        <v>-65000000</v>
      </c>
      <c r="FJE69" s="61">
        <f t="shared" si="1607"/>
        <v>-65000000</v>
      </c>
      <c r="FJF69" s="61">
        <f t="shared" si="1607"/>
        <v>-65000000</v>
      </c>
      <c r="FJG69" s="61">
        <f t="shared" si="1607"/>
        <v>-65000000</v>
      </c>
      <c r="FJH69" s="61">
        <f t="shared" si="1607"/>
        <v>-65000000</v>
      </c>
      <c r="FJI69" s="61">
        <f t="shared" si="1607"/>
        <v>-65000000</v>
      </c>
      <c r="FJJ69" s="61">
        <f t="shared" si="1607"/>
        <v>-65000000</v>
      </c>
      <c r="FJK69" s="61">
        <f t="shared" si="1607"/>
        <v>-65000000</v>
      </c>
      <c r="FJL69" s="61">
        <f t="shared" si="1607"/>
        <v>-65000000</v>
      </c>
      <c r="FJM69" s="61">
        <f t="shared" si="1607"/>
        <v>-65000000</v>
      </c>
      <c r="FJN69" s="61">
        <f t="shared" si="1607"/>
        <v>-65000000</v>
      </c>
      <c r="FJO69" s="61">
        <f t="shared" si="1607"/>
        <v>-65000000</v>
      </c>
      <c r="FJP69" s="61">
        <f t="shared" si="1607"/>
        <v>-65000000</v>
      </c>
      <c r="FJQ69" s="61">
        <f t="shared" si="1607"/>
        <v>-65000000</v>
      </c>
      <c r="FJR69" s="61">
        <f t="shared" si="1607"/>
        <v>-65000000</v>
      </c>
      <c r="FJS69" s="61">
        <f t="shared" si="1607"/>
        <v>-65000000</v>
      </c>
      <c r="FJT69" s="61">
        <f t="shared" si="1607"/>
        <v>-65000000</v>
      </c>
      <c r="FJU69" s="61">
        <f t="shared" si="1607"/>
        <v>-65000000</v>
      </c>
      <c r="FJV69" s="61">
        <f t="shared" si="1607"/>
        <v>-65000000</v>
      </c>
      <c r="FJW69" s="61">
        <f t="shared" si="1607"/>
        <v>-65000000</v>
      </c>
      <c r="FJX69" s="61">
        <f t="shared" si="1607"/>
        <v>-65000000</v>
      </c>
      <c r="FJY69" s="61">
        <f t="shared" si="1607"/>
        <v>-65000000</v>
      </c>
      <c r="FJZ69" s="61">
        <f t="shared" si="1607"/>
        <v>-65000000</v>
      </c>
      <c r="FKA69" s="61">
        <f t="shared" si="1607"/>
        <v>-65000000</v>
      </c>
      <c r="FKB69" s="61">
        <f t="shared" si="1607"/>
        <v>-65000000</v>
      </c>
      <c r="FKC69" s="61">
        <f t="shared" si="1607"/>
        <v>-65000000</v>
      </c>
      <c r="FKD69" s="61">
        <f t="shared" si="1607"/>
        <v>-65000000</v>
      </c>
      <c r="FKE69" s="61">
        <f t="shared" si="1607"/>
        <v>-65000000</v>
      </c>
      <c r="FKF69" s="61">
        <f t="shared" si="1607"/>
        <v>-65000000</v>
      </c>
      <c r="FKG69" s="61">
        <f t="shared" si="1607"/>
        <v>-65000000</v>
      </c>
      <c r="FKH69" s="61">
        <f t="shared" si="1607"/>
        <v>-65000000</v>
      </c>
      <c r="FKI69" s="61">
        <f t="shared" si="1607"/>
        <v>-65000000</v>
      </c>
      <c r="FKJ69" s="61">
        <f t="shared" si="1607"/>
        <v>-65000000</v>
      </c>
      <c r="FKK69" s="61">
        <f t="shared" si="1607"/>
        <v>-65000000</v>
      </c>
      <c r="FKL69" s="61">
        <f t="shared" si="1607"/>
        <v>-65000000</v>
      </c>
      <c r="FKM69" s="61">
        <f t="shared" si="1607"/>
        <v>-65000000</v>
      </c>
      <c r="FKN69" s="61">
        <f t="shared" si="1607"/>
        <v>-65000000</v>
      </c>
      <c r="FKO69" s="61">
        <f t="shared" si="1607"/>
        <v>-65000000</v>
      </c>
      <c r="FKP69" s="61">
        <f t="shared" si="1607"/>
        <v>-65000000</v>
      </c>
      <c r="FKQ69" s="61">
        <f t="shared" si="1607"/>
        <v>-65000000</v>
      </c>
      <c r="FKR69" s="61">
        <f t="shared" si="1607"/>
        <v>-65000000</v>
      </c>
      <c r="FKS69" s="61">
        <f t="shared" si="1607"/>
        <v>-65000000</v>
      </c>
      <c r="FKT69" s="61">
        <f t="shared" si="1607"/>
        <v>-65000000</v>
      </c>
      <c r="FKU69" s="61">
        <f t="shared" si="1607"/>
        <v>-65000000</v>
      </c>
      <c r="FKV69" s="61">
        <f t="shared" si="1607"/>
        <v>-65000000</v>
      </c>
      <c r="FKW69" s="61">
        <f t="shared" si="1607"/>
        <v>-65000000</v>
      </c>
      <c r="FKX69" s="61">
        <f t="shared" si="1607"/>
        <v>-65000000</v>
      </c>
      <c r="FKY69" s="61">
        <f t="shared" si="1607"/>
        <v>-65000000</v>
      </c>
      <c r="FKZ69" s="61">
        <f t="shared" si="1607"/>
        <v>-65000000</v>
      </c>
      <c r="FLA69" s="61">
        <f t="shared" si="1607"/>
        <v>-65000000</v>
      </c>
      <c r="FLB69" s="61">
        <f t="shared" si="1607"/>
        <v>-65000000</v>
      </c>
      <c r="FLC69" s="61">
        <f t="shared" si="1607"/>
        <v>-65000000</v>
      </c>
      <c r="FLD69" s="61">
        <f t="shared" si="1607"/>
        <v>-65000000</v>
      </c>
      <c r="FLE69" s="61">
        <f t="shared" si="1607"/>
        <v>-65000000</v>
      </c>
      <c r="FLF69" s="61">
        <f t="shared" si="1607"/>
        <v>-65000000</v>
      </c>
      <c r="FLG69" s="61">
        <f t="shared" si="1607"/>
        <v>-65000000</v>
      </c>
      <c r="FLH69" s="61">
        <f t="shared" si="1607"/>
        <v>-65000000</v>
      </c>
      <c r="FLI69" s="61">
        <f t="shared" si="1607"/>
        <v>-65000000</v>
      </c>
      <c r="FLJ69" s="61">
        <f t="shared" si="1607"/>
        <v>-65000000</v>
      </c>
      <c r="FLK69" s="61">
        <f t="shared" si="1607"/>
        <v>-65000000</v>
      </c>
      <c r="FLL69" s="61">
        <f t="shared" si="1607"/>
        <v>-65000000</v>
      </c>
      <c r="FLM69" s="61">
        <f t="shared" si="1607"/>
        <v>-65000000</v>
      </c>
      <c r="FLN69" s="61">
        <f t="shared" si="1607"/>
        <v>-65000000</v>
      </c>
      <c r="FLO69" s="61">
        <f t="shared" ref="FLO69:FNZ69" si="1608">FLO68-$EC$11-FLO11</f>
        <v>-65000000</v>
      </c>
      <c r="FLP69" s="61">
        <f t="shared" si="1608"/>
        <v>-65000000</v>
      </c>
      <c r="FLQ69" s="61">
        <f t="shared" si="1608"/>
        <v>-65000000</v>
      </c>
      <c r="FLR69" s="61">
        <f t="shared" si="1608"/>
        <v>-65000000</v>
      </c>
      <c r="FLS69" s="61">
        <f t="shared" si="1608"/>
        <v>-65000000</v>
      </c>
      <c r="FLT69" s="61">
        <f t="shared" si="1608"/>
        <v>-65000000</v>
      </c>
      <c r="FLU69" s="61">
        <f t="shared" si="1608"/>
        <v>-65000000</v>
      </c>
      <c r="FLV69" s="61">
        <f t="shared" si="1608"/>
        <v>-65000000</v>
      </c>
      <c r="FLW69" s="61">
        <f t="shared" si="1608"/>
        <v>-65000000</v>
      </c>
      <c r="FLX69" s="61">
        <f t="shared" si="1608"/>
        <v>-65000000</v>
      </c>
      <c r="FLY69" s="61">
        <f t="shared" si="1608"/>
        <v>-65000000</v>
      </c>
      <c r="FLZ69" s="61">
        <f t="shared" si="1608"/>
        <v>-65000000</v>
      </c>
      <c r="FMA69" s="61">
        <f t="shared" si="1608"/>
        <v>-65000000</v>
      </c>
      <c r="FMB69" s="61">
        <f t="shared" si="1608"/>
        <v>-65000000</v>
      </c>
      <c r="FMC69" s="61">
        <f t="shared" si="1608"/>
        <v>-65000000</v>
      </c>
      <c r="FMD69" s="61">
        <f t="shared" si="1608"/>
        <v>-65000000</v>
      </c>
      <c r="FME69" s="61">
        <f t="shared" si="1608"/>
        <v>-65000000</v>
      </c>
      <c r="FMF69" s="61">
        <f t="shared" si="1608"/>
        <v>-65000000</v>
      </c>
      <c r="FMG69" s="61">
        <f t="shared" si="1608"/>
        <v>-65000000</v>
      </c>
      <c r="FMH69" s="61">
        <f t="shared" si="1608"/>
        <v>-65000000</v>
      </c>
      <c r="FMI69" s="61">
        <f t="shared" si="1608"/>
        <v>-65000000</v>
      </c>
      <c r="FMJ69" s="61">
        <f t="shared" si="1608"/>
        <v>-65000000</v>
      </c>
      <c r="FMK69" s="61">
        <f t="shared" si="1608"/>
        <v>-65000000</v>
      </c>
      <c r="FML69" s="61">
        <f t="shared" si="1608"/>
        <v>-65000000</v>
      </c>
      <c r="FMM69" s="61">
        <f t="shared" si="1608"/>
        <v>-65000000</v>
      </c>
      <c r="FMN69" s="61">
        <f t="shared" si="1608"/>
        <v>-65000000</v>
      </c>
      <c r="FMO69" s="61">
        <f t="shared" si="1608"/>
        <v>-65000000</v>
      </c>
      <c r="FMP69" s="61">
        <f t="shared" si="1608"/>
        <v>-65000000</v>
      </c>
      <c r="FMQ69" s="61">
        <f t="shared" si="1608"/>
        <v>-65000000</v>
      </c>
      <c r="FMR69" s="61">
        <f t="shared" si="1608"/>
        <v>-65000000</v>
      </c>
      <c r="FMS69" s="61">
        <f t="shared" si="1608"/>
        <v>-65000000</v>
      </c>
      <c r="FMT69" s="61">
        <f t="shared" si="1608"/>
        <v>-65000000</v>
      </c>
      <c r="FMU69" s="61">
        <f t="shared" si="1608"/>
        <v>-65000000</v>
      </c>
      <c r="FMV69" s="61">
        <f t="shared" si="1608"/>
        <v>-65000000</v>
      </c>
      <c r="FMW69" s="61">
        <f t="shared" si="1608"/>
        <v>-65000000</v>
      </c>
      <c r="FMX69" s="61">
        <f t="shared" si="1608"/>
        <v>-65000000</v>
      </c>
      <c r="FMY69" s="61">
        <f t="shared" si="1608"/>
        <v>-65000000</v>
      </c>
      <c r="FMZ69" s="61">
        <f t="shared" si="1608"/>
        <v>-65000000</v>
      </c>
      <c r="FNA69" s="61">
        <f t="shared" si="1608"/>
        <v>-65000000</v>
      </c>
      <c r="FNB69" s="61">
        <f t="shared" si="1608"/>
        <v>-65000000</v>
      </c>
      <c r="FNC69" s="61">
        <f t="shared" si="1608"/>
        <v>-65000000</v>
      </c>
      <c r="FND69" s="61">
        <f t="shared" si="1608"/>
        <v>-65000000</v>
      </c>
      <c r="FNE69" s="61">
        <f t="shared" si="1608"/>
        <v>-65000000</v>
      </c>
      <c r="FNF69" s="61">
        <f t="shared" si="1608"/>
        <v>-65000000</v>
      </c>
      <c r="FNG69" s="61">
        <f t="shared" si="1608"/>
        <v>-65000000</v>
      </c>
      <c r="FNH69" s="61">
        <f t="shared" si="1608"/>
        <v>-65000000</v>
      </c>
      <c r="FNI69" s="61">
        <f t="shared" si="1608"/>
        <v>-65000000</v>
      </c>
      <c r="FNJ69" s="61">
        <f t="shared" si="1608"/>
        <v>-65000000</v>
      </c>
      <c r="FNK69" s="61">
        <f t="shared" si="1608"/>
        <v>-65000000</v>
      </c>
      <c r="FNL69" s="61">
        <f t="shared" si="1608"/>
        <v>-65000000</v>
      </c>
      <c r="FNM69" s="61">
        <f t="shared" si="1608"/>
        <v>-65000000</v>
      </c>
      <c r="FNN69" s="61">
        <f t="shared" si="1608"/>
        <v>-65000000</v>
      </c>
      <c r="FNO69" s="61">
        <f t="shared" si="1608"/>
        <v>-65000000</v>
      </c>
      <c r="FNP69" s="61">
        <f t="shared" si="1608"/>
        <v>-65000000</v>
      </c>
      <c r="FNQ69" s="61">
        <f t="shared" si="1608"/>
        <v>-65000000</v>
      </c>
      <c r="FNR69" s="61">
        <f t="shared" si="1608"/>
        <v>-65000000</v>
      </c>
      <c r="FNS69" s="61">
        <f t="shared" si="1608"/>
        <v>-65000000</v>
      </c>
      <c r="FNT69" s="61">
        <f t="shared" si="1608"/>
        <v>-65000000</v>
      </c>
      <c r="FNU69" s="61">
        <f t="shared" si="1608"/>
        <v>-65000000</v>
      </c>
      <c r="FNV69" s="61">
        <f t="shared" si="1608"/>
        <v>-65000000</v>
      </c>
      <c r="FNW69" s="61">
        <f t="shared" si="1608"/>
        <v>-65000000</v>
      </c>
      <c r="FNX69" s="61">
        <f t="shared" si="1608"/>
        <v>-65000000</v>
      </c>
      <c r="FNY69" s="61">
        <f t="shared" si="1608"/>
        <v>-65000000</v>
      </c>
      <c r="FNZ69" s="61">
        <f t="shared" si="1608"/>
        <v>-65000000</v>
      </c>
      <c r="FOA69" s="61">
        <f t="shared" ref="FOA69:FQL69" si="1609">FOA68-$EC$11-FOA11</f>
        <v>-65000000</v>
      </c>
      <c r="FOB69" s="61">
        <f t="shared" si="1609"/>
        <v>-65000000</v>
      </c>
      <c r="FOC69" s="61">
        <f t="shared" si="1609"/>
        <v>-65000000</v>
      </c>
      <c r="FOD69" s="61">
        <f t="shared" si="1609"/>
        <v>-65000000</v>
      </c>
      <c r="FOE69" s="61">
        <f t="shared" si="1609"/>
        <v>-65000000</v>
      </c>
      <c r="FOF69" s="61">
        <f t="shared" si="1609"/>
        <v>-65000000</v>
      </c>
      <c r="FOG69" s="61">
        <f t="shared" si="1609"/>
        <v>-65000000</v>
      </c>
      <c r="FOH69" s="61">
        <f t="shared" si="1609"/>
        <v>-65000000</v>
      </c>
      <c r="FOI69" s="61">
        <f t="shared" si="1609"/>
        <v>-65000000</v>
      </c>
      <c r="FOJ69" s="61">
        <f t="shared" si="1609"/>
        <v>-65000000</v>
      </c>
      <c r="FOK69" s="61">
        <f t="shared" si="1609"/>
        <v>-65000000</v>
      </c>
      <c r="FOL69" s="61">
        <f t="shared" si="1609"/>
        <v>-65000000</v>
      </c>
      <c r="FOM69" s="61">
        <f t="shared" si="1609"/>
        <v>-65000000</v>
      </c>
      <c r="FON69" s="61">
        <f t="shared" si="1609"/>
        <v>-65000000</v>
      </c>
      <c r="FOO69" s="61">
        <f t="shared" si="1609"/>
        <v>-65000000</v>
      </c>
      <c r="FOP69" s="61">
        <f t="shared" si="1609"/>
        <v>-65000000</v>
      </c>
      <c r="FOQ69" s="61">
        <f t="shared" si="1609"/>
        <v>-65000000</v>
      </c>
      <c r="FOR69" s="61">
        <f t="shared" si="1609"/>
        <v>-65000000</v>
      </c>
      <c r="FOS69" s="61">
        <f t="shared" si="1609"/>
        <v>-65000000</v>
      </c>
      <c r="FOT69" s="61">
        <f t="shared" si="1609"/>
        <v>-65000000</v>
      </c>
      <c r="FOU69" s="61">
        <f t="shared" si="1609"/>
        <v>-65000000</v>
      </c>
      <c r="FOV69" s="61">
        <f t="shared" si="1609"/>
        <v>-65000000</v>
      </c>
      <c r="FOW69" s="61">
        <f t="shared" si="1609"/>
        <v>-65000000</v>
      </c>
      <c r="FOX69" s="61">
        <f t="shared" si="1609"/>
        <v>-65000000</v>
      </c>
      <c r="FOY69" s="61">
        <f t="shared" si="1609"/>
        <v>-65000000</v>
      </c>
      <c r="FOZ69" s="61">
        <f t="shared" si="1609"/>
        <v>-65000000</v>
      </c>
      <c r="FPA69" s="61">
        <f t="shared" si="1609"/>
        <v>-65000000</v>
      </c>
      <c r="FPB69" s="61">
        <f t="shared" si="1609"/>
        <v>-65000000</v>
      </c>
      <c r="FPC69" s="61">
        <f t="shared" si="1609"/>
        <v>-65000000</v>
      </c>
      <c r="FPD69" s="61">
        <f t="shared" si="1609"/>
        <v>-65000000</v>
      </c>
      <c r="FPE69" s="61">
        <f t="shared" si="1609"/>
        <v>-65000000</v>
      </c>
      <c r="FPF69" s="61">
        <f t="shared" si="1609"/>
        <v>-65000000</v>
      </c>
      <c r="FPG69" s="61">
        <f t="shared" si="1609"/>
        <v>-65000000</v>
      </c>
      <c r="FPH69" s="61">
        <f t="shared" si="1609"/>
        <v>-65000000</v>
      </c>
      <c r="FPI69" s="61">
        <f t="shared" si="1609"/>
        <v>-65000000</v>
      </c>
      <c r="FPJ69" s="61">
        <f t="shared" si="1609"/>
        <v>-65000000</v>
      </c>
      <c r="FPK69" s="61">
        <f t="shared" si="1609"/>
        <v>-65000000</v>
      </c>
      <c r="FPL69" s="61">
        <f t="shared" si="1609"/>
        <v>-65000000</v>
      </c>
      <c r="FPM69" s="61">
        <f t="shared" si="1609"/>
        <v>-65000000</v>
      </c>
      <c r="FPN69" s="61">
        <f t="shared" si="1609"/>
        <v>-65000000</v>
      </c>
      <c r="FPO69" s="61">
        <f t="shared" si="1609"/>
        <v>-65000000</v>
      </c>
      <c r="FPP69" s="61">
        <f t="shared" si="1609"/>
        <v>-65000000</v>
      </c>
      <c r="FPQ69" s="61">
        <f t="shared" si="1609"/>
        <v>-65000000</v>
      </c>
      <c r="FPR69" s="61">
        <f t="shared" si="1609"/>
        <v>-65000000</v>
      </c>
      <c r="FPS69" s="61">
        <f t="shared" si="1609"/>
        <v>-65000000</v>
      </c>
      <c r="FPT69" s="61">
        <f t="shared" si="1609"/>
        <v>-65000000</v>
      </c>
      <c r="FPU69" s="61">
        <f t="shared" si="1609"/>
        <v>-65000000</v>
      </c>
      <c r="FPV69" s="61">
        <f t="shared" si="1609"/>
        <v>-65000000</v>
      </c>
      <c r="FPW69" s="61">
        <f t="shared" si="1609"/>
        <v>-65000000</v>
      </c>
      <c r="FPX69" s="61">
        <f t="shared" si="1609"/>
        <v>-65000000</v>
      </c>
      <c r="FPY69" s="61">
        <f t="shared" si="1609"/>
        <v>-65000000</v>
      </c>
      <c r="FPZ69" s="61">
        <f t="shared" si="1609"/>
        <v>-65000000</v>
      </c>
      <c r="FQA69" s="61">
        <f t="shared" si="1609"/>
        <v>-65000000</v>
      </c>
      <c r="FQB69" s="61">
        <f t="shared" si="1609"/>
        <v>-65000000</v>
      </c>
      <c r="FQC69" s="61">
        <f t="shared" si="1609"/>
        <v>-65000000</v>
      </c>
      <c r="FQD69" s="61">
        <f t="shared" si="1609"/>
        <v>-65000000</v>
      </c>
      <c r="FQE69" s="61">
        <f t="shared" si="1609"/>
        <v>-65000000</v>
      </c>
      <c r="FQF69" s="61">
        <f t="shared" si="1609"/>
        <v>-65000000</v>
      </c>
      <c r="FQG69" s="61">
        <f t="shared" si="1609"/>
        <v>-65000000</v>
      </c>
      <c r="FQH69" s="61">
        <f t="shared" si="1609"/>
        <v>-65000000</v>
      </c>
      <c r="FQI69" s="61">
        <f t="shared" si="1609"/>
        <v>-65000000</v>
      </c>
      <c r="FQJ69" s="61">
        <f t="shared" si="1609"/>
        <v>-65000000</v>
      </c>
      <c r="FQK69" s="61">
        <f t="shared" si="1609"/>
        <v>-65000000</v>
      </c>
      <c r="FQL69" s="61">
        <f t="shared" si="1609"/>
        <v>-65000000</v>
      </c>
      <c r="FQM69" s="61">
        <f t="shared" ref="FQM69:FSX69" si="1610">FQM68-$EC$11-FQM11</f>
        <v>-65000000</v>
      </c>
      <c r="FQN69" s="61">
        <f t="shared" si="1610"/>
        <v>-65000000</v>
      </c>
      <c r="FQO69" s="61">
        <f t="shared" si="1610"/>
        <v>-65000000</v>
      </c>
      <c r="FQP69" s="61">
        <f t="shared" si="1610"/>
        <v>-65000000</v>
      </c>
      <c r="FQQ69" s="61">
        <f t="shared" si="1610"/>
        <v>-65000000</v>
      </c>
      <c r="FQR69" s="61">
        <f t="shared" si="1610"/>
        <v>-65000000</v>
      </c>
      <c r="FQS69" s="61">
        <f t="shared" si="1610"/>
        <v>-65000000</v>
      </c>
      <c r="FQT69" s="61">
        <f t="shared" si="1610"/>
        <v>-65000000</v>
      </c>
      <c r="FQU69" s="61">
        <f t="shared" si="1610"/>
        <v>-65000000</v>
      </c>
      <c r="FQV69" s="61">
        <f t="shared" si="1610"/>
        <v>-65000000</v>
      </c>
      <c r="FQW69" s="61">
        <f t="shared" si="1610"/>
        <v>-65000000</v>
      </c>
      <c r="FQX69" s="61">
        <f t="shared" si="1610"/>
        <v>-65000000</v>
      </c>
      <c r="FQY69" s="61">
        <f t="shared" si="1610"/>
        <v>-65000000</v>
      </c>
      <c r="FQZ69" s="61">
        <f t="shared" si="1610"/>
        <v>-65000000</v>
      </c>
      <c r="FRA69" s="61">
        <f t="shared" si="1610"/>
        <v>-65000000</v>
      </c>
      <c r="FRB69" s="61">
        <f t="shared" si="1610"/>
        <v>-65000000</v>
      </c>
      <c r="FRC69" s="61">
        <f t="shared" si="1610"/>
        <v>-65000000</v>
      </c>
      <c r="FRD69" s="61">
        <f t="shared" si="1610"/>
        <v>-65000000</v>
      </c>
      <c r="FRE69" s="61">
        <f t="shared" si="1610"/>
        <v>-65000000</v>
      </c>
      <c r="FRF69" s="61">
        <f t="shared" si="1610"/>
        <v>-65000000</v>
      </c>
      <c r="FRG69" s="61">
        <f t="shared" si="1610"/>
        <v>-65000000</v>
      </c>
      <c r="FRH69" s="61">
        <f t="shared" si="1610"/>
        <v>-65000000</v>
      </c>
      <c r="FRI69" s="61">
        <f t="shared" si="1610"/>
        <v>-65000000</v>
      </c>
      <c r="FRJ69" s="61">
        <f t="shared" si="1610"/>
        <v>-65000000</v>
      </c>
      <c r="FRK69" s="61">
        <f t="shared" si="1610"/>
        <v>-65000000</v>
      </c>
      <c r="FRL69" s="61">
        <f t="shared" si="1610"/>
        <v>-65000000</v>
      </c>
      <c r="FRM69" s="61">
        <f t="shared" si="1610"/>
        <v>-65000000</v>
      </c>
      <c r="FRN69" s="61">
        <f t="shared" si="1610"/>
        <v>-65000000</v>
      </c>
      <c r="FRO69" s="61">
        <f t="shared" si="1610"/>
        <v>-65000000</v>
      </c>
      <c r="FRP69" s="61">
        <f t="shared" si="1610"/>
        <v>-65000000</v>
      </c>
      <c r="FRQ69" s="61">
        <f t="shared" si="1610"/>
        <v>-65000000</v>
      </c>
      <c r="FRR69" s="61">
        <f t="shared" si="1610"/>
        <v>-65000000</v>
      </c>
      <c r="FRS69" s="61">
        <f t="shared" si="1610"/>
        <v>-65000000</v>
      </c>
      <c r="FRT69" s="61">
        <f t="shared" si="1610"/>
        <v>-65000000</v>
      </c>
      <c r="FRU69" s="61">
        <f t="shared" si="1610"/>
        <v>-65000000</v>
      </c>
      <c r="FRV69" s="61">
        <f t="shared" si="1610"/>
        <v>-65000000</v>
      </c>
      <c r="FRW69" s="61">
        <f t="shared" si="1610"/>
        <v>-65000000</v>
      </c>
      <c r="FRX69" s="61">
        <f t="shared" si="1610"/>
        <v>-65000000</v>
      </c>
      <c r="FRY69" s="61">
        <f t="shared" si="1610"/>
        <v>-65000000</v>
      </c>
      <c r="FRZ69" s="61">
        <f t="shared" si="1610"/>
        <v>-65000000</v>
      </c>
      <c r="FSA69" s="61">
        <f t="shared" si="1610"/>
        <v>-65000000</v>
      </c>
      <c r="FSB69" s="61">
        <f t="shared" si="1610"/>
        <v>-65000000</v>
      </c>
      <c r="FSC69" s="61">
        <f t="shared" si="1610"/>
        <v>-65000000</v>
      </c>
      <c r="FSD69" s="61">
        <f t="shared" si="1610"/>
        <v>-65000000</v>
      </c>
      <c r="FSE69" s="61">
        <f t="shared" si="1610"/>
        <v>-65000000</v>
      </c>
      <c r="FSF69" s="61">
        <f t="shared" si="1610"/>
        <v>-65000000</v>
      </c>
      <c r="FSG69" s="61">
        <f t="shared" si="1610"/>
        <v>-65000000</v>
      </c>
      <c r="FSH69" s="61">
        <f t="shared" si="1610"/>
        <v>-65000000</v>
      </c>
      <c r="FSI69" s="61">
        <f t="shared" si="1610"/>
        <v>-65000000</v>
      </c>
      <c r="FSJ69" s="61">
        <f t="shared" si="1610"/>
        <v>-65000000</v>
      </c>
      <c r="FSK69" s="61">
        <f t="shared" si="1610"/>
        <v>-65000000</v>
      </c>
      <c r="FSL69" s="61">
        <f t="shared" si="1610"/>
        <v>-65000000</v>
      </c>
      <c r="FSM69" s="61">
        <f t="shared" si="1610"/>
        <v>-65000000</v>
      </c>
      <c r="FSN69" s="61">
        <f t="shared" si="1610"/>
        <v>-65000000</v>
      </c>
      <c r="FSO69" s="61">
        <f t="shared" si="1610"/>
        <v>-65000000</v>
      </c>
      <c r="FSP69" s="61">
        <f t="shared" si="1610"/>
        <v>-65000000</v>
      </c>
      <c r="FSQ69" s="61">
        <f t="shared" si="1610"/>
        <v>-65000000</v>
      </c>
      <c r="FSR69" s="61">
        <f t="shared" si="1610"/>
        <v>-65000000</v>
      </c>
      <c r="FSS69" s="61">
        <f t="shared" si="1610"/>
        <v>-65000000</v>
      </c>
      <c r="FST69" s="61">
        <f t="shared" si="1610"/>
        <v>-65000000</v>
      </c>
      <c r="FSU69" s="61">
        <f t="shared" si="1610"/>
        <v>-65000000</v>
      </c>
      <c r="FSV69" s="61">
        <f t="shared" si="1610"/>
        <v>-65000000</v>
      </c>
      <c r="FSW69" s="61">
        <f t="shared" si="1610"/>
        <v>-65000000</v>
      </c>
      <c r="FSX69" s="61">
        <f t="shared" si="1610"/>
        <v>-65000000</v>
      </c>
      <c r="FSY69" s="61">
        <f t="shared" ref="FSY69:FVJ69" si="1611">FSY68-$EC$11-FSY11</f>
        <v>-65000000</v>
      </c>
      <c r="FSZ69" s="61">
        <f t="shared" si="1611"/>
        <v>-65000000</v>
      </c>
      <c r="FTA69" s="61">
        <f t="shared" si="1611"/>
        <v>-65000000</v>
      </c>
      <c r="FTB69" s="61">
        <f t="shared" si="1611"/>
        <v>-65000000</v>
      </c>
      <c r="FTC69" s="61">
        <f t="shared" si="1611"/>
        <v>-65000000</v>
      </c>
      <c r="FTD69" s="61">
        <f t="shared" si="1611"/>
        <v>-65000000</v>
      </c>
      <c r="FTE69" s="61">
        <f t="shared" si="1611"/>
        <v>-65000000</v>
      </c>
      <c r="FTF69" s="61">
        <f t="shared" si="1611"/>
        <v>-65000000</v>
      </c>
      <c r="FTG69" s="61">
        <f t="shared" si="1611"/>
        <v>-65000000</v>
      </c>
      <c r="FTH69" s="61">
        <f t="shared" si="1611"/>
        <v>-65000000</v>
      </c>
      <c r="FTI69" s="61">
        <f t="shared" si="1611"/>
        <v>-65000000</v>
      </c>
      <c r="FTJ69" s="61">
        <f t="shared" si="1611"/>
        <v>-65000000</v>
      </c>
      <c r="FTK69" s="61">
        <f t="shared" si="1611"/>
        <v>-65000000</v>
      </c>
      <c r="FTL69" s="61">
        <f t="shared" si="1611"/>
        <v>-65000000</v>
      </c>
      <c r="FTM69" s="61">
        <f t="shared" si="1611"/>
        <v>-65000000</v>
      </c>
      <c r="FTN69" s="61">
        <f t="shared" si="1611"/>
        <v>-65000000</v>
      </c>
      <c r="FTO69" s="61">
        <f t="shared" si="1611"/>
        <v>-65000000</v>
      </c>
      <c r="FTP69" s="61">
        <f t="shared" si="1611"/>
        <v>-65000000</v>
      </c>
      <c r="FTQ69" s="61">
        <f t="shared" si="1611"/>
        <v>-65000000</v>
      </c>
      <c r="FTR69" s="61">
        <f t="shared" si="1611"/>
        <v>-65000000</v>
      </c>
      <c r="FTS69" s="61">
        <f t="shared" si="1611"/>
        <v>-65000000</v>
      </c>
      <c r="FTT69" s="61">
        <f t="shared" si="1611"/>
        <v>-65000000</v>
      </c>
      <c r="FTU69" s="61">
        <f t="shared" si="1611"/>
        <v>-65000000</v>
      </c>
      <c r="FTV69" s="61">
        <f t="shared" si="1611"/>
        <v>-65000000</v>
      </c>
      <c r="FTW69" s="61">
        <f t="shared" si="1611"/>
        <v>-65000000</v>
      </c>
      <c r="FTX69" s="61">
        <f t="shared" si="1611"/>
        <v>-65000000</v>
      </c>
      <c r="FTY69" s="61">
        <f t="shared" si="1611"/>
        <v>-65000000</v>
      </c>
      <c r="FTZ69" s="61">
        <f t="shared" si="1611"/>
        <v>-65000000</v>
      </c>
      <c r="FUA69" s="61">
        <f t="shared" si="1611"/>
        <v>-65000000</v>
      </c>
      <c r="FUB69" s="61">
        <f t="shared" si="1611"/>
        <v>-65000000</v>
      </c>
      <c r="FUC69" s="61">
        <f t="shared" si="1611"/>
        <v>-65000000</v>
      </c>
      <c r="FUD69" s="61">
        <f t="shared" si="1611"/>
        <v>-65000000</v>
      </c>
      <c r="FUE69" s="61">
        <f t="shared" si="1611"/>
        <v>-65000000</v>
      </c>
      <c r="FUF69" s="61">
        <f t="shared" si="1611"/>
        <v>-65000000</v>
      </c>
      <c r="FUG69" s="61">
        <f t="shared" si="1611"/>
        <v>-65000000</v>
      </c>
      <c r="FUH69" s="61">
        <f t="shared" si="1611"/>
        <v>-65000000</v>
      </c>
      <c r="FUI69" s="61">
        <f t="shared" si="1611"/>
        <v>-65000000</v>
      </c>
      <c r="FUJ69" s="61">
        <f t="shared" si="1611"/>
        <v>-65000000</v>
      </c>
      <c r="FUK69" s="61">
        <f t="shared" si="1611"/>
        <v>-65000000</v>
      </c>
      <c r="FUL69" s="61">
        <f t="shared" si="1611"/>
        <v>-65000000</v>
      </c>
      <c r="FUM69" s="61">
        <f t="shared" si="1611"/>
        <v>-65000000</v>
      </c>
      <c r="FUN69" s="61">
        <f t="shared" si="1611"/>
        <v>-65000000</v>
      </c>
      <c r="FUO69" s="61">
        <f t="shared" si="1611"/>
        <v>-65000000</v>
      </c>
      <c r="FUP69" s="61">
        <f t="shared" si="1611"/>
        <v>-65000000</v>
      </c>
      <c r="FUQ69" s="61">
        <f t="shared" si="1611"/>
        <v>-65000000</v>
      </c>
      <c r="FUR69" s="61">
        <f t="shared" si="1611"/>
        <v>-65000000</v>
      </c>
      <c r="FUS69" s="61">
        <f t="shared" si="1611"/>
        <v>-65000000</v>
      </c>
      <c r="FUT69" s="61">
        <f t="shared" si="1611"/>
        <v>-65000000</v>
      </c>
      <c r="FUU69" s="61">
        <f t="shared" si="1611"/>
        <v>-65000000</v>
      </c>
      <c r="FUV69" s="61">
        <f t="shared" si="1611"/>
        <v>-65000000</v>
      </c>
      <c r="FUW69" s="61">
        <f t="shared" si="1611"/>
        <v>-65000000</v>
      </c>
      <c r="FUX69" s="61">
        <f t="shared" si="1611"/>
        <v>-65000000</v>
      </c>
      <c r="FUY69" s="61">
        <f t="shared" si="1611"/>
        <v>-65000000</v>
      </c>
      <c r="FUZ69" s="61">
        <f t="shared" si="1611"/>
        <v>-65000000</v>
      </c>
      <c r="FVA69" s="61">
        <f t="shared" si="1611"/>
        <v>-65000000</v>
      </c>
      <c r="FVB69" s="61">
        <f t="shared" si="1611"/>
        <v>-65000000</v>
      </c>
      <c r="FVC69" s="61">
        <f t="shared" si="1611"/>
        <v>-65000000</v>
      </c>
      <c r="FVD69" s="61">
        <f t="shared" si="1611"/>
        <v>-65000000</v>
      </c>
      <c r="FVE69" s="61">
        <f t="shared" si="1611"/>
        <v>-65000000</v>
      </c>
      <c r="FVF69" s="61">
        <f t="shared" si="1611"/>
        <v>-65000000</v>
      </c>
      <c r="FVG69" s="61">
        <f t="shared" si="1611"/>
        <v>-65000000</v>
      </c>
      <c r="FVH69" s="61">
        <f t="shared" si="1611"/>
        <v>-65000000</v>
      </c>
      <c r="FVI69" s="61">
        <f t="shared" si="1611"/>
        <v>-65000000</v>
      </c>
      <c r="FVJ69" s="61">
        <f t="shared" si="1611"/>
        <v>-65000000</v>
      </c>
      <c r="FVK69" s="61">
        <f t="shared" ref="FVK69:FXV69" si="1612">FVK68-$EC$11-FVK11</f>
        <v>-65000000</v>
      </c>
      <c r="FVL69" s="61">
        <f t="shared" si="1612"/>
        <v>-65000000</v>
      </c>
      <c r="FVM69" s="61">
        <f t="shared" si="1612"/>
        <v>-65000000</v>
      </c>
      <c r="FVN69" s="61">
        <f t="shared" si="1612"/>
        <v>-65000000</v>
      </c>
      <c r="FVO69" s="61">
        <f t="shared" si="1612"/>
        <v>-65000000</v>
      </c>
      <c r="FVP69" s="61">
        <f t="shared" si="1612"/>
        <v>-65000000</v>
      </c>
      <c r="FVQ69" s="61">
        <f t="shared" si="1612"/>
        <v>-65000000</v>
      </c>
      <c r="FVR69" s="61">
        <f t="shared" si="1612"/>
        <v>-65000000</v>
      </c>
      <c r="FVS69" s="61">
        <f t="shared" si="1612"/>
        <v>-65000000</v>
      </c>
      <c r="FVT69" s="61">
        <f t="shared" si="1612"/>
        <v>-65000000</v>
      </c>
      <c r="FVU69" s="61">
        <f t="shared" si="1612"/>
        <v>-65000000</v>
      </c>
      <c r="FVV69" s="61">
        <f t="shared" si="1612"/>
        <v>-65000000</v>
      </c>
      <c r="FVW69" s="61">
        <f t="shared" si="1612"/>
        <v>-65000000</v>
      </c>
      <c r="FVX69" s="61">
        <f t="shared" si="1612"/>
        <v>-65000000</v>
      </c>
      <c r="FVY69" s="61">
        <f t="shared" si="1612"/>
        <v>-65000000</v>
      </c>
      <c r="FVZ69" s="61">
        <f t="shared" si="1612"/>
        <v>-65000000</v>
      </c>
      <c r="FWA69" s="61">
        <f t="shared" si="1612"/>
        <v>-65000000</v>
      </c>
      <c r="FWB69" s="61">
        <f t="shared" si="1612"/>
        <v>-65000000</v>
      </c>
      <c r="FWC69" s="61">
        <f t="shared" si="1612"/>
        <v>-65000000</v>
      </c>
      <c r="FWD69" s="61">
        <f t="shared" si="1612"/>
        <v>-65000000</v>
      </c>
      <c r="FWE69" s="61">
        <f t="shared" si="1612"/>
        <v>-65000000</v>
      </c>
      <c r="FWF69" s="61">
        <f t="shared" si="1612"/>
        <v>-65000000</v>
      </c>
      <c r="FWG69" s="61">
        <f t="shared" si="1612"/>
        <v>-65000000</v>
      </c>
      <c r="FWH69" s="61">
        <f t="shared" si="1612"/>
        <v>-65000000</v>
      </c>
      <c r="FWI69" s="61">
        <f t="shared" si="1612"/>
        <v>-65000000</v>
      </c>
      <c r="FWJ69" s="61">
        <f t="shared" si="1612"/>
        <v>-65000000</v>
      </c>
      <c r="FWK69" s="61">
        <f t="shared" si="1612"/>
        <v>-65000000</v>
      </c>
      <c r="FWL69" s="61">
        <f t="shared" si="1612"/>
        <v>-65000000</v>
      </c>
      <c r="FWM69" s="61">
        <f t="shared" si="1612"/>
        <v>-65000000</v>
      </c>
      <c r="FWN69" s="61">
        <f t="shared" si="1612"/>
        <v>-65000000</v>
      </c>
      <c r="FWO69" s="61">
        <f t="shared" si="1612"/>
        <v>-65000000</v>
      </c>
      <c r="FWP69" s="61">
        <f t="shared" si="1612"/>
        <v>-65000000</v>
      </c>
      <c r="FWQ69" s="61">
        <f t="shared" si="1612"/>
        <v>-65000000</v>
      </c>
      <c r="FWR69" s="61">
        <f t="shared" si="1612"/>
        <v>-65000000</v>
      </c>
      <c r="FWS69" s="61">
        <f t="shared" si="1612"/>
        <v>-65000000</v>
      </c>
      <c r="FWT69" s="61">
        <f t="shared" si="1612"/>
        <v>-65000000</v>
      </c>
      <c r="FWU69" s="61">
        <f t="shared" si="1612"/>
        <v>-65000000</v>
      </c>
      <c r="FWV69" s="61">
        <f t="shared" si="1612"/>
        <v>-65000000</v>
      </c>
      <c r="FWW69" s="61">
        <f t="shared" si="1612"/>
        <v>-65000000</v>
      </c>
      <c r="FWX69" s="61">
        <f t="shared" si="1612"/>
        <v>-65000000</v>
      </c>
      <c r="FWY69" s="61">
        <f t="shared" si="1612"/>
        <v>-65000000</v>
      </c>
      <c r="FWZ69" s="61">
        <f t="shared" si="1612"/>
        <v>-65000000</v>
      </c>
      <c r="FXA69" s="61">
        <f t="shared" si="1612"/>
        <v>-65000000</v>
      </c>
      <c r="FXB69" s="61">
        <f t="shared" si="1612"/>
        <v>-65000000</v>
      </c>
      <c r="FXC69" s="61">
        <f t="shared" si="1612"/>
        <v>-65000000</v>
      </c>
      <c r="FXD69" s="61">
        <f t="shared" si="1612"/>
        <v>-65000000</v>
      </c>
      <c r="FXE69" s="61">
        <f t="shared" si="1612"/>
        <v>-65000000</v>
      </c>
      <c r="FXF69" s="61">
        <f t="shared" si="1612"/>
        <v>-65000000</v>
      </c>
      <c r="FXG69" s="61">
        <f t="shared" si="1612"/>
        <v>-65000000</v>
      </c>
      <c r="FXH69" s="61">
        <f t="shared" si="1612"/>
        <v>-65000000</v>
      </c>
      <c r="FXI69" s="61">
        <f t="shared" si="1612"/>
        <v>-65000000</v>
      </c>
      <c r="FXJ69" s="61">
        <f t="shared" si="1612"/>
        <v>-65000000</v>
      </c>
      <c r="FXK69" s="61">
        <f t="shared" si="1612"/>
        <v>-65000000</v>
      </c>
      <c r="FXL69" s="61">
        <f t="shared" si="1612"/>
        <v>-65000000</v>
      </c>
      <c r="FXM69" s="61">
        <f t="shared" si="1612"/>
        <v>-65000000</v>
      </c>
      <c r="FXN69" s="61">
        <f t="shared" si="1612"/>
        <v>-65000000</v>
      </c>
      <c r="FXO69" s="61">
        <f t="shared" si="1612"/>
        <v>-65000000</v>
      </c>
      <c r="FXP69" s="61">
        <f t="shared" si="1612"/>
        <v>-65000000</v>
      </c>
      <c r="FXQ69" s="61">
        <f t="shared" si="1612"/>
        <v>-65000000</v>
      </c>
      <c r="FXR69" s="61">
        <f t="shared" si="1612"/>
        <v>-65000000</v>
      </c>
      <c r="FXS69" s="61">
        <f t="shared" si="1612"/>
        <v>-65000000</v>
      </c>
      <c r="FXT69" s="61">
        <f t="shared" si="1612"/>
        <v>-65000000</v>
      </c>
      <c r="FXU69" s="61">
        <f t="shared" si="1612"/>
        <v>-65000000</v>
      </c>
      <c r="FXV69" s="61">
        <f t="shared" si="1612"/>
        <v>-65000000</v>
      </c>
      <c r="FXW69" s="61">
        <f t="shared" ref="FXW69:GAH69" si="1613">FXW68-$EC$11-FXW11</f>
        <v>-65000000</v>
      </c>
      <c r="FXX69" s="61">
        <f t="shared" si="1613"/>
        <v>-65000000</v>
      </c>
      <c r="FXY69" s="61">
        <f t="shared" si="1613"/>
        <v>-65000000</v>
      </c>
      <c r="FXZ69" s="61">
        <f t="shared" si="1613"/>
        <v>-65000000</v>
      </c>
      <c r="FYA69" s="61">
        <f t="shared" si="1613"/>
        <v>-65000000</v>
      </c>
      <c r="FYB69" s="61">
        <f t="shared" si="1613"/>
        <v>-65000000</v>
      </c>
      <c r="FYC69" s="61">
        <f t="shared" si="1613"/>
        <v>-65000000</v>
      </c>
      <c r="FYD69" s="61">
        <f t="shared" si="1613"/>
        <v>-65000000</v>
      </c>
      <c r="FYE69" s="61">
        <f t="shared" si="1613"/>
        <v>-65000000</v>
      </c>
      <c r="FYF69" s="61">
        <f t="shared" si="1613"/>
        <v>-65000000</v>
      </c>
      <c r="FYG69" s="61">
        <f t="shared" si="1613"/>
        <v>-65000000</v>
      </c>
      <c r="FYH69" s="61">
        <f t="shared" si="1613"/>
        <v>-65000000</v>
      </c>
      <c r="FYI69" s="61">
        <f t="shared" si="1613"/>
        <v>-65000000</v>
      </c>
      <c r="FYJ69" s="61">
        <f t="shared" si="1613"/>
        <v>-65000000</v>
      </c>
      <c r="FYK69" s="61">
        <f t="shared" si="1613"/>
        <v>-65000000</v>
      </c>
      <c r="FYL69" s="61">
        <f t="shared" si="1613"/>
        <v>-65000000</v>
      </c>
      <c r="FYM69" s="61">
        <f t="shared" si="1613"/>
        <v>-65000000</v>
      </c>
      <c r="FYN69" s="61">
        <f t="shared" si="1613"/>
        <v>-65000000</v>
      </c>
      <c r="FYO69" s="61">
        <f t="shared" si="1613"/>
        <v>-65000000</v>
      </c>
      <c r="FYP69" s="61">
        <f t="shared" si="1613"/>
        <v>-65000000</v>
      </c>
      <c r="FYQ69" s="61">
        <f t="shared" si="1613"/>
        <v>-65000000</v>
      </c>
      <c r="FYR69" s="61">
        <f t="shared" si="1613"/>
        <v>-65000000</v>
      </c>
      <c r="FYS69" s="61">
        <f t="shared" si="1613"/>
        <v>-65000000</v>
      </c>
      <c r="FYT69" s="61">
        <f t="shared" si="1613"/>
        <v>-65000000</v>
      </c>
      <c r="FYU69" s="61">
        <f t="shared" si="1613"/>
        <v>-65000000</v>
      </c>
      <c r="FYV69" s="61">
        <f t="shared" si="1613"/>
        <v>-65000000</v>
      </c>
      <c r="FYW69" s="61">
        <f t="shared" si="1613"/>
        <v>-65000000</v>
      </c>
      <c r="FYX69" s="61">
        <f t="shared" si="1613"/>
        <v>-65000000</v>
      </c>
      <c r="FYY69" s="61">
        <f t="shared" si="1613"/>
        <v>-65000000</v>
      </c>
      <c r="FYZ69" s="61">
        <f t="shared" si="1613"/>
        <v>-65000000</v>
      </c>
      <c r="FZA69" s="61">
        <f t="shared" si="1613"/>
        <v>-65000000</v>
      </c>
      <c r="FZB69" s="61">
        <f t="shared" si="1613"/>
        <v>-65000000</v>
      </c>
      <c r="FZC69" s="61">
        <f t="shared" si="1613"/>
        <v>-65000000</v>
      </c>
      <c r="FZD69" s="61">
        <f t="shared" si="1613"/>
        <v>-65000000</v>
      </c>
      <c r="FZE69" s="61">
        <f t="shared" si="1613"/>
        <v>-65000000</v>
      </c>
      <c r="FZF69" s="61">
        <f t="shared" si="1613"/>
        <v>-65000000</v>
      </c>
      <c r="FZG69" s="61">
        <f t="shared" si="1613"/>
        <v>-65000000</v>
      </c>
      <c r="FZH69" s="61">
        <f t="shared" si="1613"/>
        <v>-65000000</v>
      </c>
      <c r="FZI69" s="61">
        <f t="shared" si="1613"/>
        <v>-65000000</v>
      </c>
      <c r="FZJ69" s="61">
        <f t="shared" si="1613"/>
        <v>-65000000</v>
      </c>
      <c r="FZK69" s="61">
        <f t="shared" si="1613"/>
        <v>-65000000</v>
      </c>
      <c r="FZL69" s="61">
        <f t="shared" si="1613"/>
        <v>-65000000</v>
      </c>
      <c r="FZM69" s="61">
        <f t="shared" si="1613"/>
        <v>-65000000</v>
      </c>
      <c r="FZN69" s="61">
        <f t="shared" si="1613"/>
        <v>-65000000</v>
      </c>
      <c r="FZO69" s="61">
        <f t="shared" si="1613"/>
        <v>-65000000</v>
      </c>
      <c r="FZP69" s="61">
        <f t="shared" si="1613"/>
        <v>-65000000</v>
      </c>
      <c r="FZQ69" s="61">
        <f t="shared" si="1613"/>
        <v>-65000000</v>
      </c>
      <c r="FZR69" s="61">
        <f t="shared" si="1613"/>
        <v>-65000000</v>
      </c>
      <c r="FZS69" s="61">
        <f t="shared" si="1613"/>
        <v>-65000000</v>
      </c>
      <c r="FZT69" s="61">
        <f t="shared" si="1613"/>
        <v>-65000000</v>
      </c>
      <c r="FZU69" s="61">
        <f t="shared" si="1613"/>
        <v>-65000000</v>
      </c>
      <c r="FZV69" s="61">
        <f t="shared" si="1613"/>
        <v>-65000000</v>
      </c>
      <c r="FZW69" s="61">
        <f t="shared" si="1613"/>
        <v>-65000000</v>
      </c>
      <c r="FZX69" s="61">
        <f t="shared" si="1613"/>
        <v>-65000000</v>
      </c>
      <c r="FZY69" s="61">
        <f t="shared" si="1613"/>
        <v>-65000000</v>
      </c>
      <c r="FZZ69" s="61">
        <f t="shared" si="1613"/>
        <v>-65000000</v>
      </c>
      <c r="GAA69" s="61">
        <f t="shared" si="1613"/>
        <v>-65000000</v>
      </c>
      <c r="GAB69" s="61">
        <f t="shared" si="1613"/>
        <v>-65000000</v>
      </c>
      <c r="GAC69" s="61">
        <f t="shared" si="1613"/>
        <v>-65000000</v>
      </c>
      <c r="GAD69" s="61">
        <f t="shared" si="1613"/>
        <v>-65000000</v>
      </c>
      <c r="GAE69" s="61">
        <f t="shared" si="1613"/>
        <v>-65000000</v>
      </c>
      <c r="GAF69" s="61">
        <f t="shared" si="1613"/>
        <v>-65000000</v>
      </c>
      <c r="GAG69" s="61">
        <f t="shared" si="1613"/>
        <v>-65000000</v>
      </c>
      <c r="GAH69" s="61">
        <f t="shared" si="1613"/>
        <v>-65000000</v>
      </c>
      <c r="GAI69" s="61">
        <f t="shared" ref="GAI69:GCT69" si="1614">GAI68-$EC$11-GAI11</f>
        <v>-65000000</v>
      </c>
      <c r="GAJ69" s="61">
        <f t="shared" si="1614"/>
        <v>-65000000</v>
      </c>
      <c r="GAK69" s="61">
        <f t="shared" si="1614"/>
        <v>-65000000</v>
      </c>
      <c r="GAL69" s="61">
        <f t="shared" si="1614"/>
        <v>-65000000</v>
      </c>
      <c r="GAM69" s="61">
        <f t="shared" si="1614"/>
        <v>-65000000</v>
      </c>
      <c r="GAN69" s="61">
        <f t="shared" si="1614"/>
        <v>-65000000</v>
      </c>
      <c r="GAO69" s="61">
        <f t="shared" si="1614"/>
        <v>-65000000</v>
      </c>
      <c r="GAP69" s="61">
        <f t="shared" si="1614"/>
        <v>-65000000</v>
      </c>
      <c r="GAQ69" s="61">
        <f t="shared" si="1614"/>
        <v>-65000000</v>
      </c>
      <c r="GAR69" s="61">
        <f t="shared" si="1614"/>
        <v>-65000000</v>
      </c>
      <c r="GAS69" s="61">
        <f t="shared" si="1614"/>
        <v>-65000000</v>
      </c>
      <c r="GAT69" s="61">
        <f t="shared" si="1614"/>
        <v>-65000000</v>
      </c>
      <c r="GAU69" s="61">
        <f t="shared" si="1614"/>
        <v>-65000000</v>
      </c>
      <c r="GAV69" s="61">
        <f t="shared" si="1614"/>
        <v>-65000000</v>
      </c>
      <c r="GAW69" s="61">
        <f t="shared" si="1614"/>
        <v>-65000000</v>
      </c>
      <c r="GAX69" s="61">
        <f t="shared" si="1614"/>
        <v>-65000000</v>
      </c>
      <c r="GAY69" s="61">
        <f t="shared" si="1614"/>
        <v>-65000000</v>
      </c>
      <c r="GAZ69" s="61">
        <f t="shared" si="1614"/>
        <v>-65000000</v>
      </c>
      <c r="GBA69" s="61">
        <f t="shared" si="1614"/>
        <v>-65000000</v>
      </c>
      <c r="GBB69" s="61">
        <f t="shared" si="1614"/>
        <v>-65000000</v>
      </c>
      <c r="GBC69" s="61">
        <f t="shared" si="1614"/>
        <v>-65000000</v>
      </c>
      <c r="GBD69" s="61">
        <f t="shared" si="1614"/>
        <v>-65000000</v>
      </c>
      <c r="GBE69" s="61">
        <f t="shared" si="1614"/>
        <v>-65000000</v>
      </c>
      <c r="GBF69" s="61">
        <f t="shared" si="1614"/>
        <v>-65000000</v>
      </c>
      <c r="GBG69" s="61">
        <f t="shared" si="1614"/>
        <v>-65000000</v>
      </c>
      <c r="GBH69" s="61">
        <f t="shared" si="1614"/>
        <v>-65000000</v>
      </c>
      <c r="GBI69" s="61">
        <f t="shared" si="1614"/>
        <v>-65000000</v>
      </c>
      <c r="GBJ69" s="61">
        <f t="shared" si="1614"/>
        <v>-65000000</v>
      </c>
      <c r="GBK69" s="61">
        <f t="shared" si="1614"/>
        <v>-65000000</v>
      </c>
      <c r="GBL69" s="61">
        <f t="shared" si="1614"/>
        <v>-65000000</v>
      </c>
      <c r="GBM69" s="61">
        <f t="shared" si="1614"/>
        <v>-65000000</v>
      </c>
      <c r="GBN69" s="61">
        <f t="shared" si="1614"/>
        <v>-65000000</v>
      </c>
      <c r="GBO69" s="61">
        <f t="shared" si="1614"/>
        <v>-65000000</v>
      </c>
      <c r="GBP69" s="61">
        <f t="shared" si="1614"/>
        <v>-65000000</v>
      </c>
      <c r="GBQ69" s="61">
        <f t="shared" si="1614"/>
        <v>-65000000</v>
      </c>
      <c r="GBR69" s="61">
        <f t="shared" si="1614"/>
        <v>-65000000</v>
      </c>
      <c r="GBS69" s="61">
        <f t="shared" si="1614"/>
        <v>-65000000</v>
      </c>
      <c r="GBT69" s="61">
        <f t="shared" si="1614"/>
        <v>-65000000</v>
      </c>
      <c r="GBU69" s="61">
        <f t="shared" si="1614"/>
        <v>-65000000</v>
      </c>
      <c r="GBV69" s="61">
        <f t="shared" si="1614"/>
        <v>-65000000</v>
      </c>
      <c r="GBW69" s="61">
        <f t="shared" si="1614"/>
        <v>-65000000</v>
      </c>
      <c r="GBX69" s="61">
        <f t="shared" si="1614"/>
        <v>-65000000</v>
      </c>
      <c r="GBY69" s="61">
        <f t="shared" si="1614"/>
        <v>-65000000</v>
      </c>
      <c r="GBZ69" s="61">
        <f t="shared" si="1614"/>
        <v>-65000000</v>
      </c>
      <c r="GCA69" s="61">
        <f t="shared" si="1614"/>
        <v>-65000000</v>
      </c>
      <c r="GCB69" s="61">
        <f t="shared" si="1614"/>
        <v>-65000000</v>
      </c>
      <c r="GCC69" s="61">
        <f t="shared" si="1614"/>
        <v>-65000000</v>
      </c>
      <c r="GCD69" s="61">
        <f t="shared" si="1614"/>
        <v>-65000000</v>
      </c>
      <c r="GCE69" s="61">
        <f t="shared" si="1614"/>
        <v>-65000000</v>
      </c>
      <c r="GCF69" s="61">
        <f t="shared" si="1614"/>
        <v>-65000000</v>
      </c>
      <c r="GCG69" s="61">
        <f t="shared" si="1614"/>
        <v>-65000000</v>
      </c>
      <c r="GCH69" s="61">
        <f t="shared" si="1614"/>
        <v>-65000000</v>
      </c>
      <c r="GCI69" s="61">
        <f t="shared" si="1614"/>
        <v>-65000000</v>
      </c>
      <c r="GCJ69" s="61">
        <f t="shared" si="1614"/>
        <v>-65000000</v>
      </c>
      <c r="GCK69" s="61">
        <f t="shared" si="1614"/>
        <v>-65000000</v>
      </c>
      <c r="GCL69" s="61">
        <f t="shared" si="1614"/>
        <v>-65000000</v>
      </c>
      <c r="GCM69" s="61">
        <f t="shared" si="1614"/>
        <v>-65000000</v>
      </c>
      <c r="GCN69" s="61">
        <f t="shared" si="1614"/>
        <v>-65000000</v>
      </c>
      <c r="GCO69" s="61">
        <f t="shared" si="1614"/>
        <v>-65000000</v>
      </c>
      <c r="GCP69" s="61">
        <f t="shared" si="1614"/>
        <v>-65000000</v>
      </c>
      <c r="GCQ69" s="61">
        <f t="shared" si="1614"/>
        <v>-65000000</v>
      </c>
      <c r="GCR69" s="61">
        <f t="shared" si="1614"/>
        <v>-65000000</v>
      </c>
      <c r="GCS69" s="61">
        <f t="shared" si="1614"/>
        <v>-65000000</v>
      </c>
      <c r="GCT69" s="61">
        <f t="shared" si="1614"/>
        <v>-65000000</v>
      </c>
      <c r="GCU69" s="61">
        <f t="shared" ref="GCU69:GFF69" si="1615">GCU68-$EC$11-GCU11</f>
        <v>-65000000</v>
      </c>
      <c r="GCV69" s="61">
        <f t="shared" si="1615"/>
        <v>-65000000</v>
      </c>
      <c r="GCW69" s="61">
        <f t="shared" si="1615"/>
        <v>-65000000</v>
      </c>
      <c r="GCX69" s="61">
        <f t="shared" si="1615"/>
        <v>-65000000</v>
      </c>
      <c r="GCY69" s="61">
        <f t="shared" si="1615"/>
        <v>-65000000</v>
      </c>
      <c r="GCZ69" s="61">
        <f t="shared" si="1615"/>
        <v>-65000000</v>
      </c>
      <c r="GDA69" s="61">
        <f t="shared" si="1615"/>
        <v>-65000000</v>
      </c>
      <c r="GDB69" s="61">
        <f t="shared" si="1615"/>
        <v>-65000000</v>
      </c>
      <c r="GDC69" s="61">
        <f t="shared" si="1615"/>
        <v>-65000000</v>
      </c>
      <c r="GDD69" s="61">
        <f t="shared" si="1615"/>
        <v>-65000000</v>
      </c>
      <c r="GDE69" s="61">
        <f t="shared" si="1615"/>
        <v>-65000000</v>
      </c>
      <c r="GDF69" s="61">
        <f t="shared" si="1615"/>
        <v>-65000000</v>
      </c>
      <c r="GDG69" s="61">
        <f t="shared" si="1615"/>
        <v>-65000000</v>
      </c>
      <c r="GDH69" s="61">
        <f t="shared" si="1615"/>
        <v>-65000000</v>
      </c>
      <c r="GDI69" s="61">
        <f t="shared" si="1615"/>
        <v>-65000000</v>
      </c>
      <c r="GDJ69" s="61">
        <f t="shared" si="1615"/>
        <v>-65000000</v>
      </c>
      <c r="GDK69" s="61">
        <f t="shared" si="1615"/>
        <v>-65000000</v>
      </c>
      <c r="GDL69" s="61">
        <f t="shared" si="1615"/>
        <v>-65000000</v>
      </c>
      <c r="GDM69" s="61">
        <f t="shared" si="1615"/>
        <v>-65000000</v>
      </c>
      <c r="GDN69" s="61">
        <f t="shared" si="1615"/>
        <v>-65000000</v>
      </c>
      <c r="GDO69" s="61">
        <f t="shared" si="1615"/>
        <v>-65000000</v>
      </c>
      <c r="GDP69" s="61">
        <f t="shared" si="1615"/>
        <v>-65000000</v>
      </c>
      <c r="GDQ69" s="61">
        <f t="shared" si="1615"/>
        <v>-65000000</v>
      </c>
      <c r="GDR69" s="61">
        <f t="shared" si="1615"/>
        <v>-65000000</v>
      </c>
      <c r="GDS69" s="61">
        <f t="shared" si="1615"/>
        <v>-65000000</v>
      </c>
      <c r="GDT69" s="61">
        <f t="shared" si="1615"/>
        <v>-65000000</v>
      </c>
      <c r="GDU69" s="61">
        <f t="shared" si="1615"/>
        <v>-65000000</v>
      </c>
      <c r="GDV69" s="61">
        <f t="shared" si="1615"/>
        <v>-65000000</v>
      </c>
      <c r="GDW69" s="61">
        <f t="shared" si="1615"/>
        <v>-65000000</v>
      </c>
      <c r="GDX69" s="61">
        <f t="shared" si="1615"/>
        <v>-65000000</v>
      </c>
      <c r="GDY69" s="61">
        <f t="shared" si="1615"/>
        <v>-65000000</v>
      </c>
      <c r="GDZ69" s="61">
        <f t="shared" si="1615"/>
        <v>-65000000</v>
      </c>
      <c r="GEA69" s="61">
        <f t="shared" si="1615"/>
        <v>-65000000</v>
      </c>
      <c r="GEB69" s="61">
        <f t="shared" si="1615"/>
        <v>-65000000</v>
      </c>
      <c r="GEC69" s="61">
        <f t="shared" si="1615"/>
        <v>-65000000</v>
      </c>
      <c r="GED69" s="61">
        <f t="shared" si="1615"/>
        <v>-65000000</v>
      </c>
      <c r="GEE69" s="61">
        <f t="shared" si="1615"/>
        <v>-65000000</v>
      </c>
      <c r="GEF69" s="61">
        <f t="shared" si="1615"/>
        <v>-65000000</v>
      </c>
      <c r="GEG69" s="61">
        <f t="shared" si="1615"/>
        <v>-65000000</v>
      </c>
      <c r="GEH69" s="61">
        <f t="shared" si="1615"/>
        <v>-65000000</v>
      </c>
      <c r="GEI69" s="61">
        <f t="shared" si="1615"/>
        <v>-65000000</v>
      </c>
      <c r="GEJ69" s="61">
        <f t="shared" si="1615"/>
        <v>-65000000</v>
      </c>
      <c r="GEK69" s="61">
        <f t="shared" si="1615"/>
        <v>-65000000</v>
      </c>
      <c r="GEL69" s="61">
        <f t="shared" si="1615"/>
        <v>-65000000</v>
      </c>
      <c r="GEM69" s="61">
        <f t="shared" si="1615"/>
        <v>-65000000</v>
      </c>
      <c r="GEN69" s="61">
        <f t="shared" si="1615"/>
        <v>-65000000</v>
      </c>
      <c r="GEO69" s="61">
        <f t="shared" si="1615"/>
        <v>-65000000</v>
      </c>
      <c r="GEP69" s="61">
        <f t="shared" si="1615"/>
        <v>-65000000</v>
      </c>
      <c r="GEQ69" s="61">
        <f t="shared" si="1615"/>
        <v>-65000000</v>
      </c>
      <c r="GER69" s="61">
        <f t="shared" si="1615"/>
        <v>-65000000</v>
      </c>
      <c r="GES69" s="61">
        <f t="shared" si="1615"/>
        <v>-65000000</v>
      </c>
      <c r="GET69" s="61">
        <f t="shared" si="1615"/>
        <v>-65000000</v>
      </c>
      <c r="GEU69" s="61">
        <f t="shared" si="1615"/>
        <v>-65000000</v>
      </c>
      <c r="GEV69" s="61">
        <f t="shared" si="1615"/>
        <v>-65000000</v>
      </c>
      <c r="GEW69" s="61">
        <f t="shared" si="1615"/>
        <v>-65000000</v>
      </c>
      <c r="GEX69" s="61">
        <f t="shared" si="1615"/>
        <v>-65000000</v>
      </c>
      <c r="GEY69" s="61">
        <f t="shared" si="1615"/>
        <v>-65000000</v>
      </c>
      <c r="GEZ69" s="61">
        <f t="shared" si="1615"/>
        <v>-65000000</v>
      </c>
      <c r="GFA69" s="61">
        <f t="shared" si="1615"/>
        <v>-65000000</v>
      </c>
      <c r="GFB69" s="61">
        <f t="shared" si="1615"/>
        <v>-65000000</v>
      </c>
      <c r="GFC69" s="61">
        <f t="shared" si="1615"/>
        <v>-65000000</v>
      </c>
      <c r="GFD69" s="61">
        <f t="shared" si="1615"/>
        <v>-65000000</v>
      </c>
      <c r="GFE69" s="61">
        <f t="shared" si="1615"/>
        <v>-65000000</v>
      </c>
      <c r="GFF69" s="61">
        <f t="shared" si="1615"/>
        <v>-65000000</v>
      </c>
      <c r="GFG69" s="61">
        <f t="shared" ref="GFG69:GHR69" si="1616">GFG68-$EC$11-GFG11</f>
        <v>-65000000</v>
      </c>
      <c r="GFH69" s="61">
        <f t="shared" si="1616"/>
        <v>-65000000</v>
      </c>
      <c r="GFI69" s="61">
        <f t="shared" si="1616"/>
        <v>-65000000</v>
      </c>
      <c r="GFJ69" s="61">
        <f t="shared" si="1616"/>
        <v>-65000000</v>
      </c>
      <c r="GFK69" s="61">
        <f t="shared" si="1616"/>
        <v>-65000000</v>
      </c>
      <c r="GFL69" s="61">
        <f t="shared" si="1616"/>
        <v>-65000000</v>
      </c>
      <c r="GFM69" s="61">
        <f t="shared" si="1616"/>
        <v>-65000000</v>
      </c>
      <c r="GFN69" s="61">
        <f t="shared" si="1616"/>
        <v>-65000000</v>
      </c>
      <c r="GFO69" s="61">
        <f t="shared" si="1616"/>
        <v>-65000000</v>
      </c>
      <c r="GFP69" s="61">
        <f t="shared" si="1616"/>
        <v>-65000000</v>
      </c>
      <c r="GFQ69" s="61">
        <f t="shared" si="1616"/>
        <v>-65000000</v>
      </c>
      <c r="GFR69" s="61">
        <f t="shared" si="1616"/>
        <v>-65000000</v>
      </c>
      <c r="GFS69" s="61">
        <f t="shared" si="1616"/>
        <v>-65000000</v>
      </c>
      <c r="GFT69" s="61">
        <f t="shared" si="1616"/>
        <v>-65000000</v>
      </c>
      <c r="GFU69" s="61">
        <f t="shared" si="1616"/>
        <v>-65000000</v>
      </c>
      <c r="GFV69" s="61">
        <f t="shared" si="1616"/>
        <v>-65000000</v>
      </c>
      <c r="GFW69" s="61">
        <f t="shared" si="1616"/>
        <v>-65000000</v>
      </c>
      <c r="GFX69" s="61">
        <f t="shared" si="1616"/>
        <v>-65000000</v>
      </c>
      <c r="GFY69" s="61">
        <f t="shared" si="1616"/>
        <v>-65000000</v>
      </c>
      <c r="GFZ69" s="61">
        <f t="shared" si="1616"/>
        <v>-65000000</v>
      </c>
      <c r="GGA69" s="61">
        <f t="shared" si="1616"/>
        <v>-65000000</v>
      </c>
      <c r="GGB69" s="61">
        <f t="shared" si="1616"/>
        <v>-65000000</v>
      </c>
      <c r="GGC69" s="61">
        <f t="shared" si="1616"/>
        <v>-65000000</v>
      </c>
      <c r="GGD69" s="61">
        <f t="shared" si="1616"/>
        <v>-65000000</v>
      </c>
      <c r="GGE69" s="61">
        <f t="shared" si="1616"/>
        <v>-65000000</v>
      </c>
      <c r="GGF69" s="61">
        <f t="shared" si="1616"/>
        <v>-65000000</v>
      </c>
      <c r="GGG69" s="61">
        <f t="shared" si="1616"/>
        <v>-65000000</v>
      </c>
      <c r="GGH69" s="61">
        <f t="shared" si="1616"/>
        <v>-65000000</v>
      </c>
      <c r="GGI69" s="61">
        <f t="shared" si="1616"/>
        <v>-65000000</v>
      </c>
      <c r="GGJ69" s="61">
        <f t="shared" si="1616"/>
        <v>-65000000</v>
      </c>
      <c r="GGK69" s="61">
        <f t="shared" si="1616"/>
        <v>-65000000</v>
      </c>
      <c r="GGL69" s="61">
        <f t="shared" si="1616"/>
        <v>-65000000</v>
      </c>
      <c r="GGM69" s="61">
        <f t="shared" si="1616"/>
        <v>-65000000</v>
      </c>
      <c r="GGN69" s="61">
        <f t="shared" si="1616"/>
        <v>-65000000</v>
      </c>
      <c r="GGO69" s="61">
        <f t="shared" si="1616"/>
        <v>-65000000</v>
      </c>
      <c r="GGP69" s="61">
        <f t="shared" si="1616"/>
        <v>-65000000</v>
      </c>
      <c r="GGQ69" s="61">
        <f t="shared" si="1616"/>
        <v>-65000000</v>
      </c>
      <c r="GGR69" s="61">
        <f t="shared" si="1616"/>
        <v>-65000000</v>
      </c>
      <c r="GGS69" s="61">
        <f t="shared" si="1616"/>
        <v>-65000000</v>
      </c>
      <c r="GGT69" s="61">
        <f t="shared" si="1616"/>
        <v>-65000000</v>
      </c>
      <c r="GGU69" s="61">
        <f t="shared" si="1616"/>
        <v>-65000000</v>
      </c>
      <c r="GGV69" s="61">
        <f t="shared" si="1616"/>
        <v>-65000000</v>
      </c>
      <c r="GGW69" s="61">
        <f t="shared" si="1616"/>
        <v>-65000000</v>
      </c>
      <c r="GGX69" s="61">
        <f t="shared" si="1616"/>
        <v>-65000000</v>
      </c>
      <c r="GGY69" s="61">
        <f t="shared" si="1616"/>
        <v>-65000000</v>
      </c>
      <c r="GGZ69" s="61">
        <f t="shared" si="1616"/>
        <v>-65000000</v>
      </c>
      <c r="GHA69" s="61">
        <f t="shared" si="1616"/>
        <v>-65000000</v>
      </c>
      <c r="GHB69" s="61">
        <f t="shared" si="1616"/>
        <v>-65000000</v>
      </c>
      <c r="GHC69" s="61">
        <f t="shared" si="1616"/>
        <v>-65000000</v>
      </c>
      <c r="GHD69" s="61">
        <f t="shared" si="1616"/>
        <v>-65000000</v>
      </c>
      <c r="GHE69" s="61">
        <f t="shared" si="1616"/>
        <v>-65000000</v>
      </c>
      <c r="GHF69" s="61">
        <f t="shared" si="1616"/>
        <v>-65000000</v>
      </c>
      <c r="GHG69" s="61">
        <f t="shared" si="1616"/>
        <v>-65000000</v>
      </c>
      <c r="GHH69" s="61">
        <f t="shared" si="1616"/>
        <v>-65000000</v>
      </c>
      <c r="GHI69" s="61">
        <f t="shared" si="1616"/>
        <v>-65000000</v>
      </c>
      <c r="GHJ69" s="61">
        <f t="shared" si="1616"/>
        <v>-65000000</v>
      </c>
      <c r="GHK69" s="61">
        <f t="shared" si="1616"/>
        <v>-65000000</v>
      </c>
      <c r="GHL69" s="61">
        <f t="shared" si="1616"/>
        <v>-65000000</v>
      </c>
      <c r="GHM69" s="61">
        <f t="shared" si="1616"/>
        <v>-65000000</v>
      </c>
      <c r="GHN69" s="61">
        <f t="shared" si="1616"/>
        <v>-65000000</v>
      </c>
      <c r="GHO69" s="61">
        <f t="shared" si="1616"/>
        <v>-65000000</v>
      </c>
      <c r="GHP69" s="61">
        <f t="shared" si="1616"/>
        <v>-65000000</v>
      </c>
      <c r="GHQ69" s="61">
        <f t="shared" si="1616"/>
        <v>-65000000</v>
      </c>
      <c r="GHR69" s="61">
        <f t="shared" si="1616"/>
        <v>-65000000</v>
      </c>
      <c r="GHS69" s="61">
        <f t="shared" ref="GHS69:GKD69" si="1617">GHS68-$EC$11-GHS11</f>
        <v>-65000000</v>
      </c>
      <c r="GHT69" s="61">
        <f t="shared" si="1617"/>
        <v>-65000000</v>
      </c>
      <c r="GHU69" s="61">
        <f t="shared" si="1617"/>
        <v>-65000000</v>
      </c>
      <c r="GHV69" s="61">
        <f t="shared" si="1617"/>
        <v>-65000000</v>
      </c>
      <c r="GHW69" s="61">
        <f t="shared" si="1617"/>
        <v>-65000000</v>
      </c>
      <c r="GHX69" s="61">
        <f t="shared" si="1617"/>
        <v>-65000000</v>
      </c>
      <c r="GHY69" s="61">
        <f t="shared" si="1617"/>
        <v>-65000000</v>
      </c>
      <c r="GHZ69" s="61">
        <f t="shared" si="1617"/>
        <v>-65000000</v>
      </c>
      <c r="GIA69" s="61">
        <f t="shared" si="1617"/>
        <v>-65000000</v>
      </c>
      <c r="GIB69" s="61">
        <f t="shared" si="1617"/>
        <v>-65000000</v>
      </c>
      <c r="GIC69" s="61">
        <f t="shared" si="1617"/>
        <v>-65000000</v>
      </c>
      <c r="GID69" s="61">
        <f t="shared" si="1617"/>
        <v>-65000000</v>
      </c>
      <c r="GIE69" s="61">
        <f t="shared" si="1617"/>
        <v>-65000000</v>
      </c>
      <c r="GIF69" s="61">
        <f t="shared" si="1617"/>
        <v>-65000000</v>
      </c>
      <c r="GIG69" s="61">
        <f t="shared" si="1617"/>
        <v>-65000000</v>
      </c>
      <c r="GIH69" s="61">
        <f t="shared" si="1617"/>
        <v>-65000000</v>
      </c>
      <c r="GII69" s="61">
        <f t="shared" si="1617"/>
        <v>-65000000</v>
      </c>
      <c r="GIJ69" s="61">
        <f t="shared" si="1617"/>
        <v>-65000000</v>
      </c>
      <c r="GIK69" s="61">
        <f t="shared" si="1617"/>
        <v>-65000000</v>
      </c>
      <c r="GIL69" s="61">
        <f t="shared" si="1617"/>
        <v>-65000000</v>
      </c>
      <c r="GIM69" s="61">
        <f t="shared" si="1617"/>
        <v>-65000000</v>
      </c>
      <c r="GIN69" s="61">
        <f t="shared" si="1617"/>
        <v>-65000000</v>
      </c>
      <c r="GIO69" s="61">
        <f t="shared" si="1617"/>
        <v>-65000000</v>
      </c>
      <c r="GIP69" s="61">
        <f t="shared" si="1617"/>
        <v>-65000000</v>
      </c>
      <c r="GIQ69" s="61">
        <f t="shared" si="1617"/>
        <v>-65000000</v>
      </c>
      <c r="GIR69" s="61">
        <f t="shared" si="1617"/>
        <v>-65000000</v>
      </c>
      <c r="GIS69" s="61">
        <f t="shared" si="1617"/>
        <v>-65000000</v>
      </c>
      <c r="GIT69" s="61">
        <f t="shared" si="1617"/>
        <v>-65000000</v>
      </c>
      <c r="GIU69" s="61">
        <f t="shared" si="1617"/>
        <v>-65000000</v>
      </c>
      <c r="GIV69" s="61">
        <f t="shared" si="1617"/>
        <v>-65000000</v>
      </c>
      <c r="GIW69" s="61">
        <f t="shared" si="1617"/>
        <v>-65000000</v>
      </c>
      <c r="GIX69" s="61">
        <f t="shared" si="1617"/>
        <v>-65000000</v>
      </c>
      <c r="GIY69" s="61">
        <f t="shared" si="1617"/>
        <v>-65000000</v>
      </c>
      <c r="GIZ69" s="61">
        <f t="shared" si="1617"/>
        <v>-65000000</v>
      </c>
      <c r="GJA69" s="61">
        <f t="shared" si="1617"/>
        <v>-65000000</v>
      </c>
      <c r="GJB69" s="61">
        <f t="shared" si="1617"/>
        <v>-65000000</v>
      </c>
      <c r="GJC69" s="61">
        <f t="shared" si="1617"/>
        <v>-65000000</v>
      </c>
      <c r="GJD69" s="61">
        <f t="shared" si="1617"/>
        <v>-65000000</v>
      </c>
      <c r="GJE69" s="61">
        <f t="shared" si="1617"/>
        <v>-65000000</v>
      </c>
      <c r="GJF69" s="61">
        <f t="shared" si="1617"/>
        <v>-65000000</v>
      </c>
      <c r="GJG69" s="61">
        <f t="shared" si="1617"/>
        <v>-65000000</v>
      </c>
      <c r="GJH69" s="61">
        <f t="shared" si="1617"/>
        <v>-65000000</v>
      </c>
      <c r="GJI69" s="61">
        <f t="shared" si="1617"/>
        <v>-65000000</v>
      </c>
      <c r="GJJ69" s="61">
        <f t="shared" si="1617"/>
        <v>-65000000</v>
      </c>
      <c r="GJK69" s="61">
        <f t="shared" si="1617"/>
        <v>-65000000</v>
      </c>
      <c r="GJL69" s="61">
        <f t="shared" si="1617"/>
        <v>-65000000</v>
      </c>
      <c r="GJM69" s="61">
        <f t="shared" si="1617"/>
        <v>-65000000</v>
      </c>
      <c r="GJN69" s="61">
        <f t="shared" si="1617"/>
        <v>-65000000</v>
      </c>
      <c r="GJO69" s="61">
        <f t="shared" si="1617"/>
        <v>-65000000</v>
      </c>
      <c r="GJP69" s="61">
        <f t="shared" si="1617"/>
        <v>-65000000</v>
      </c>
      <c r="GJQ69" s="61">
        <f t="shared" si="1617"/>
        <v>-65000000</v>
      </c>
      <c r="GJR69" s="61">
        <f t="shared" si="1617"/>
        <v>-65000000</v>
      </c>
      <c r="GJS69" s="61">
        <f t="shared" si="1617"/>
        <v>-65000000</v>
      </c>
      <c r="GJT69" s="61">
        <f t="shared" si="1617"/>
        <v>-65000000</v>
      </c>
      <c r="GJU69" s="61">
        <f t="shared" si="1617"/>
        <v>-65000000</v>
      </c>
      <c r="GJV69" s="61">
        <f t="shared" si="1617"/>
        <v>-65000000</v>
      </c>
      <c r="GJW69" s="61">
        <f t="shared" si="1617"/>
        <v>-65000000</v>
      </c>
      <c r="GJX69" s="61">
        <f t="shared" si="1617"/>
        <v>-65000000</v>
      </c>
      <c r="GJY69" s="61">
        <f t="shared" si="1617"/>
        <v>-65000000</v>
      </c>
      <c r="GJZ69" s="61">
        <f t="shared" si="1617"/>
        <v>-65000000</v>
      </c>
      <c r="GKA69" s="61">
        <f t="shared" si="1617"/>
        <v>-65000000</v>
      </c>
      <c r="GKB69" s="61">
        <f t="shared" si="1617"/>
        <v>-65000000</v>
      </c>
      <c r="GKC69" s="61">
        <f t="shared" si="1617"/>
        <v>-65000000</v>
      </c>
      <c r="GKD69" s="61">
        <f t="shared" si="1617"/>
        <v>-65000000</v>
      </c>
      <c r="GKE69" s="61">
        <f t="shared" ref="GKE69:GMP69" si="1618">GKE68-$EC$11-GKE11</f>
        <v>-65000000</v>
      </c>
      <c r="GKF69" s="61">
        <f t="shared" si="1618"/>
        <v>-65000000</v>
      </c>
      <c r="GKG69" s="61">
        <f t="shared" si="1618"/>
        <v>-65000000</v>
      </c>
      <c r="GKH69" s="61">
        <f t="shared" si="1618"/>
        <v>-65000000</v>
      </c>
      <c r="GKI69" s="61">
        <f t="shared" si="1618"/>
        <v>-65000000</v>
      </c>
      <c r="GKJ69" s="61">
        <f t="shared" si="1618"/>
        <v>-65000000</v>
      </c>
      <c r="GKK69" s="61">
        <f t="shared" si="1618"/>
        <v>-65000000</v>
      </c>
      <c r="GKL69" s="61">
        <f t="shared" si="1618"/>
        <v>-65000000</v>
      </c>
      <c r="GKM69" s="61">
        <f t="shared" si="1618"/>
        <v>-65000000</v>
      </c>
      <c r="GKN69" s="61">
        <f t="shared" si="1618"/>
        <v>-65000000</v>
      </c>
      <c r="GKO69" s="61">
        <f t="shared" si="1618"/>
        <v>-65000000</v>
      </c>
      <c r="GKP69" s="61">
        <f t="shared" si="1618"/>
        <v>-65000000</v>
      </c>
      <c r="GKQ69" s="61">
        <f t="shared" si="1618"/>
        <v>-65000000</v>
      </c>
      <c r="GKR69" s="61">
        <f t="shared" si="1618"/>
        <v>-65000000</v>
      </c>
      <c r="GKS69" s="61">
        <f t="shared" si="1618"/>
        <v>-65000000</v>
      </c>
      <c r="GKT69" s="61">
        <f t="shared" si="1618"/>
        <v>-65000000</v>
      </c>
      <c r="GKU69" s="61">
        <f t="shared" si="1618"/>
        <v>-65000000</v>
      </c>
      <c r="GKV69" s="61">
        <f t="shared" si="1618"/>
        <v>-65000000</v>
      </c>
      <c r="GKW69" s="61">
        <f t="shared" si="1618"/>
        <v>-65000000</v>
      </c>
      <c r="GKX69" s="61">
        <f t="shared" si="1618"/>
        <v>-65000000</v>
      </c>
      <c r="GKY69" s="61">
        <f t="shared" si="1618"/>
        <v>-65000000</v>
      </c>
      <c r="GKZ69" s="61">
        <f t="shared" si="1618"/>
        <v>-65000000</v>
      </c>
      <c r="GLA69" s="61">
        <f t="shared" si="1618"/>
        <v>-65000000</v>
      </c>
      <c r="GLB69" s="61">
        <f t="shared" si="1618"/>
        <v>-65000000</v>
      </c>
      <c r="GLC69" s="61">
        <f t="shared" si="1618"/>
        <v>-65000000</v>
      </c>
      <c r="GLD69" s="61">
        <f t="shared" si="1618"/>
        <v>-65000000</v>
      </c>
      <c r="GLE69" s="61">
        <f t="shared" si="1618"/>
        <v>-65000000</v>
      </c>
      <c r="GLF69" s="61">
        <f t="shared" si="1618"/>
        <v>-65000000</v>
      </c>
      <c r="GLG69" s="61">
        <f t="shared" si="1618"/>
        <v>-65000000</v>
      </c>
      <c r="GLH69" s="61">
        <f t="shared" si="1618"/>
        <v>-65000000</v>
      </c>
      <c r="GLI69" s="61">
        <f t="shared" si="1618"/>
        <v>-65000000</v>
      </c>
      <c r="GLJ69" s="61">
        <f t="shared" si="1618"/>
        <v>-65000000</v>
      </c>
      <c r="GLK69" s="61">
        <f t="shared" si="1618"/>
        <v>-65000000</v>
      </c>
      <c r="GLL69" s="61">
        <f t="shared" si="1618"/>
        <v>-65000000</v>
      </c>
      <c r="GLM69" s="61">
        <f t="shared" si="1618"/>
        <v>-65000000</v>
      </c>
      <c r="GLN69" s="61">
        <f t="shared" si="1618"/>
        <v>-65000000</v>
      </c>
      <c r="GLO69" s="61">
        <f t="shared" si="1618"/>
        <v>-65000000</v>
      </c>
      <c r="GLP69" s="61">
        <f t="shared" si="1618"/>
        <v>-65000000</v>
      </c>
      <c r="GLQ69" s="61">
        <f t="shared" si="1618"/>
        <v>-65000000</v>
      </c>
      <c r="GLR69" s="61">
        <f t="shared" si="1618"/>
        <v>-65000000</v>
      </c>
      <c r="GLS69" s="61">
        <f t="shared" si="1618"/>
        <v>-65000000</v>
      </c>
      <c r="GLT69" s="61">
        <f t="shared" si="1618"/>
        <v>-65000000</v>
      </c>
      <c r="GLU69" s="61">
        <f t="shared" si="1618"/>
        <v>-65000000</v>
      </c>
      <c r="GLV69" s="61">
        <f t="shared" si="1618"/>
        <v>-65000000</v>
      </c>
      <c r="GLW69" s="61">
        <f t="shared" si="1618"/>
        <v>-65000000</v>
      </c>
      <c r="GLX69" s="61">
        <f t="shared" si="1618"/>
        <v>-65000000</v>
      </c>
      <c r="GLY69" s="61">
        <f t="shared" si="1618"/>
        <v>-65000000</v>
      </c>
      <c r="GLZ69" s="61">
        <f t="shared" si="1618"/>
        <v>-65000000</v>
      </c>
      <c r="GMA69" s="61">
        <f t="shared" si="1618"/>
        <v>-65000000</v>
      </c>
      <c r="GMB69" s="61">
        <f t="shared" si="1618"/>
        <v>-65000000</v>
      </c>
      <c r="GMC69" s="61">
        <f t="shared" si="1618"/>
        <v>-65000000</v>
      </c>
      <c r="GMD69" s="61">
        <f t="shared" si="1618"/>
        <v>-65000000</v>
      </c>
      <c r="GME69" s="61">
        <f t="shared" si="1618"/>
        <v>-65000000</v>
      </c>
      <c r="GMF69" s="61">
        <f t="shared" si="1618"/>
        <v>-65000000</v>
      </c>
      <c r="GMG69" s="61">
        <f t="shared" si="1618"/>
        <v>-65000000</v>
      </c>
      <c r="GMH69" s="61">
        <f t="shared" si="1618"/>
        <v>-65000000</v>
      </c>
      <c r="GMI69" s="61">
        <f t="shared" si="1618"/>
        <v>-65000000</v>
      </c>
      <c r="GMJ69" s="61">
        <f t="shared" si="1618"/>
        <v>-65000000</v>
      </c>
      <c r="GMK69" s="61">
        <f t="shared" si="1618"/>
        <v>-65000000</v>
      </c>
      <c r="GML69" s="61">
        <f t="shared" si="1618"/>
        <v>-65000000</v>
      </c>
      <c r="GMM69" s="61">
        <f t="shared" si="1618"/>
        <v>-65000000</v>
      </c>
      <c r="GMN69" s="61">
        <f t="shared" si="1618"/>
        <v>-65000000</v>
      </c>
      <c r="GMO69" s="61">
        <f t="shared" si="1618"/>
        <v>-65000000</v>
      </c>
      <c r="GMP69" s="61">
        <f t="shared" si="1618"/>
        <v>-65000000</v>
      </c>
      <c r="GMQ69" s="61">
        <f t="shared" ref="GMQ69:GPB69" si="1619">GMQ68-$EC$11-GMQ11</f>
        <v>-65000000</v>
      </c>
      <c r="GMR69" s="61">
        <f t="shared" si="1619"/>
        <v>-65000000</v>
      </c>
      <c r="GMS69" s="61">
        <f t="shared" si="1619"/>
        <v>-65000000</v>
      </c>
      <c r="GMT69" s="61">
        <f t="shared" si="1619"/>
        <v>-65000000</v>
      </c>
      <c r="GMU69" s="61">
        <f t="shared" si="1619"/>
        <v>-65000000</v>
      </c>
      <c r="GMV69" s="61">
        <f t="shared" si="1619"/>
        <v>-65000000</v>
      </c>
      <c r="GMW69" s="61">
        <f t="shared" si="1619"/>
        <v>-65000000</v>
      </c>
      <c r="GMX69" s="61">
        <f t="shared" si="1619"/>
        <v>-65000000</v>
      </c>
      <c r="GMY69" s="61">
        <f t="shared" si="1619"/>
        <v>-65000000</v>
      </c>
      <c r="GMZ69" s="61">
        <f t="shared" si="1619"/>
        <v>-65000000</v>
      </c>
      <c r="GNA69" s="61">
        <f t="shared" si="1619"/>
        <v>-65000000</v>
      </c>
      <c r="GNB69" s="61">
        <f t="shared" si="1619"/>
        <v>-65000000</v>
      </c>
      <c r="GNC69" s="61">
        <f t="shared" si="1619"/>
        <v>-65000000</v>
      </c>
      <c r="GND69" s="61">
        <f t="shared" si="1619"/>
        <v>-65000000</v>
      </c>
      <c r="GNE69" s="61">
        <f t="shared" si="1619"/>
        <v>-65000000</v>
      </c>
      <c r="GNF69" s="61">
        <f t="shared" si="1619"/>
        <v>-65000000</v>
      </c>
      <c r="GNG69" s="61">
        <f t="shared" si="1619"/>
        <v>-65000000</v>
      </c>
      <c r="GNH69" s="61">
        <f t="shared" si="1619"/>
        <v>-65000000</v>
      </c>
      <c r="GNI69" s="61">
        <f t="shared" si="1619"/>
        <v>-65000000</v>
      </c>
      <c r="GNJ69" s="61">
        <f t="shared" si="1619"/>
        <v>-65000000</v>
      </c>
      <c r="GNK69" s="61">
        <f t="shared" si="1619"/>
        <v>-65000000</v>
      </c>
      <c r="GNL69" s="61">
        <f t="shared" si="1619"/>
        <v>-65000000</v>
      </c>
      <c r="GNM69" s="61">
        <f t="shared" si="1619"/>
        <v>-65000000</v>
      </c>
      <c r="GNN69" s="61">
        <f t="shared" si="1619"/>
        <v>-65000000</v>
      </c>
      <c r="GNO69" s="61">
        <f t="shared" si="1619"/>
        <v>-65000000</v>
      </c>
      <c r="GNP69" s="61">
        <f t="shared" si="1619"/>
        <v>-65000000</v>
      </c>
      <c r="GNQ69" s="61">
        <f t="shared" si="1619"/>
        <v>-65000000</v>
      </c>
      <c r="GNR69" s="61">
        <f t="shared" si="1619"/>
        <v>-65000000</v>
      </c>
      <c r="GNS69" s="61">
        <f t="shared" si="1619"/>
        <v>-65000000</v>
      </c>
      <c r="GNT69" s="61">
        <f t="shared" si="1619"/>
        <v>-65000000</v>
      </c>
      <c r="GNU69" s="61">
        <f t="shared" si="1619"/>
        <v>-65000000</v>
      </c>
      <c r="GNV69" s="61">
        <f t="shared" si="1619"/>
        <v>-65000000</v>
      </c>
      <c r="GNW69" s="61">
        <f t="shared" si="1619"/>
        <v>-65000000</v>
      </c>
      <c r="GNX69" s="61">
        <f t="shared" si="1619"/>
        <v>-65000000</v>
      </c>
      <c r="GNY69" s="61">
        <f t="shared" si="1619"/>
        <v>-65000000</v>
      </c>
      <c r="GNZ69" s="61">
        <f t="shared" si="1619"/>
        <v>-65000000</v>
      </c>
      <c r="GOA69" s="61">
        <f t="shared" si="1619"/>
        <v>-65000000</v>
      </c>
      <c r="GOB69" s="61">
        <f t="shared" si="1619"/>
        <v>-65000000</v>
      </c>
      <c r="GOC69" s="61">
        <f t="shared" si="1619"/>
        <v>-65000000</v>
      </c>
      <c r="GOD69" s="61">
        <f t="shared" si="1619"/>
        <v>-65000000</v>
      </c>
      <c r="GOE69" s="61">
        <f t="shared" si="1619"/>
        <v>-65000000</v>
      </c>
      <c r="GOF69" s="61">
        <f t="shared" si="1619"/>
        <v>-65000000</v>
      </c>
      <c r="GOG69" s="61">
        <f t="shared" si="1619"/>
        <v>-65000000</v>
      </c>
      <c r="GOH69" s="61">
        <f t="shared" si="1619"/>
        <v>-65000000</v>
      </c>
      <c r="GOI69" s="61">
        <f t="shared" si="1619"/>
        <v>-65000000</v>
      </c>
      <c r="GOJ69" s="61">
        <f t="shared" si="1619"/>
        <v>-65000000</v>
      </c>
      <c r="GOK69" s="61">
        <f t="shared" si="1619"/>
        <v>-65000000</v>
      </c>
      <c r="GOL69" s="61">
        <f t="shared" si="1619"/>
        <v>-65000000</v>
      </c>
      <c r="GOM69" s="61">
        <f t="shared" si="1619"/>
        <v>-65000000</v>
      </c>
      <c r="GON69" s="61">
        <f t="shared" si="1619"/>
        <v>-65000000</v>
      </c>
      <c r="GOO69" s="61">
        <f t="shared" si="1619"/>
        <v>-65000000</v>
      </c>
      <c r="GOP69" s="61">
        <f t="shared" si="1619"/>
        <v>-65000000</v>
      </c>
      <c r="GOQ69" s="61">
        <f t="shared" si="1619"/>
        <v>-65000000</v>
      </c>
      <c r="GOR69" s="61">
        <f t="shared" si="1619"/>
        <v>-65000000</v>
      </c>
      <c r="GOS69" s="61">
        <f t="shared" si="1619"/>
        <v>-65000000</v>
      </c>
      <c r="GOT69" s="61">
        <f t="shared" si="1619"/>
        <v>-65000000</v>
      </c>
      <c r="GOU69" s="61">
        <f t="shared" si="1619"/>
        <v>-65000000</v>
      </c>
      <c r="GOV69" s="61">
        <f t="shared" si="1619"/>
        <v>-65000000</v>
      </c>
      <c r="GOW69" s="61">
        <f t="shared" si="1619"/>
        <v>-65000000</v>
      </c>
      <c r="GOX69" s="61">
        <f t="shared" si="1619"/>
        <v>-65000000</v>
      </c>
      <c r="GOY69" s="61">
        <f t="shared" si="1619"/>
        <v>-65000000</v>
      </c>
      <c r="GOZ69" s="61">
        <f t="shared" si="1619"/>
        <v>-65000000</v>
      </c>
      <c r="GPA69" s="61">
        <f t="shared" si="1619"/>
        <v>-65000000</v>
      </c>
      <c r="GPB69" s="61">
        <f t="shared" si="1619"/>
        <v>-65000000</v>
      </c>
      <c r="GPC69" s="61">
        <f t="shared" ref="GPC69:GRN69" si="1620">GPC68-$EC$11-GPC11</f>
        <v>-65000000</v>
      </c>
      <c r="GPD69" s="61">
        <f t="shared" si="1620"/>
        <v>-65000000</v>
      </c>
      <c r="GPE69" s="61">
        <f t="shared" si="1620"/>
        <v>-65000000</v>
      </c>
      <c r="GPF69" s="61">
        <f t="shared" si="1620"/>
        <v>-65000000</v>
      </c>
      <c r="GPG69" s="61">
        <f t="shared" si="1620"/>
        <v>-65000000</v>
      </c>
      <c r="GPH69" s="61">
        <f t="shared" si="1620"/>
        <v>-65000000</v>
      </c>
      <c r="GPI69" s="61">
        <f t="shared" si="1620"/>
        <v>-65000000</v>
      </c>
      <c r="GPJ69" s="61">
        <f t="shared" si="1620"/>
        <v>-65000000</v>
      </c>
      <c r="GPK69" s="61">
        <f t="shared" si="1620"/>
        <v>-65000000</v>
      </c>
      <c r="GPL69" s="61">
        <f t="shared" si="1620"/>
        <v>-65000000</v>
      </c>
      <c r="GPM69" s="61">
        <f t="shared" si="1620"/>
        <v>-65000000</v>
      </c>
      <c r="GPN69" s="61">
        <f t="shared" si="1620"/>
        <v>-65000000</v>
      </c>
      <c r="GPO69" s="61">
        <f t="shared" si="1620"/>
        <v>-65000000</v>
      </c>
      <c r="GPP69" s="61">
        <f t="shared" si="1620"/>
        <v>-65000000</v>
      </c>
      <c r="GPQ69" s="61">
        <f t="shared" si="1620"/>
        <v>-65000000</v>
      </c>
      <c r="GPR69" s="61">
        <f t="shared" si="1620"/>
        <v>-65000000</v>
      </c>
      <c r="GPS69" s="61">
        <f t="shared" si="1620"/>
        <v>-65000000</v>
      </c>
      <c r="GPT69" s="61">
        <f t="shared" si="1620"/>
        <v>-65000000</v>
      </c>
      <c r="GPU69" s="61">
        <f t="shared" si="1620"/>
        <v>-65000000</v>
      </c>
      <c r="GPV69" s="61">
        <f t="shared" si="1620"/>
        <v>-65000000</v>
      </c>
      <c r="GPW69" s="61">
        <f t="shared" si="1620"/>
        <v>-65000000</v>
      </c>
      <c r="GPX69" s="61">
        <f t="shared" si="1620"/>
        <v>-65000000</v>
      </c>
      <c r="GPY69" s="61">
        <f t="shared" si="1620"/>
        <v>-65000000</v>
      </c>
      <c r="GPZ69" s="61">
        <f t="shared" si="1620"/>
        <v>-65000000</v>
      </c>
      <c r="GQA69" s="61">
        <f t="shared" si="1620"/>
        <v>-65000000</v>
      </c>
      <c r="GQB69" s="61">
        <f t="shared" si="1620"/>
        <v>-65000000</v>
      </c>
      <c r="GQC69" s="61">
        <f t="shared" si="1620"/>
        <v>-65000000</v>
      </c>
      <c r="GQD69" s="61">
        <f t="shared" si="1620"/>
        <v>-65000000</v>
      </c>
      <c r="GQE69" s="61">
        <f t="shared" si="1620"/>
        <v>-65000000</v>
      </c>
      <c r="GQF69" s="61">
        <f t="shared" si="1620"/>
        <v>-65000000</v>
      </c>
      <c r="GQG69" s="61">
        <f t="shared" si="1620"/>
        <v>-65000000</v>
      </c>
      <c r="GQH69" s="61">
        <f t="shared" si="1620"/>
        <v>-65000000</v>
      </c>
      <c r="GQI69" s="61">
        <f t="shared" si="1620"/>
        <v>-65000000</v>
      </c>
      <c r="GQJ69" s="61">
        <f t="shared" si="1620"/>
        <v>-65000000</v>
      </c>
      <c r="GQK69" s="61">
        <f t="shared" si="1620"/>
        <v>-65000000</v>
      </c>
      <c r="GQL69" s="61">
        <f t="shared" si="1620"/>
        <v>-65000000</v>
      </c>
      <c r="GQM69" s="61">
        <f t="shared" si="1620"/>
        <v>-65000000</v>
      </c>
      <c r="GQN69" s="61">
        <f t="shared" si="1620"/>
        <v>-65000000</v>
      </c>
      <c r="GQO69" s="61">
        <f t="shared" si="1620"/>
        <v>-65000000</v>
      </c>
      <c r="GQP69" s="61">
        <f t="shared" si="1620"/>
        <v>-65000000</v>
      </c>
      <c r="GQQ69" s="61">
        <f t="shared" si="1620"/>
        <v>-65000000</v>
      </c>
      <c r="GQR69" s="61">
        <f t="shared" si="1620"/>
        <v>-65000000</v>
      </c>
      <c r="GQS69" s="61">
        <f t="shared" si="1620"/>
        <v>-65000000</v>
      </c>
      <c r="GQT69" s="61">
        <f t="shared" si="1620"/>
        <v>-65000000</v>
      </c>
      <c r="GQU69" s="61">
        <f t="shared" si="1620"/>
        <v>-65000000</v>
      </c>
      <c r="GQV69" s="61">
        <f t="shared" si="1620"/>
        <v>-65000000</v>
      </c>
      <c r="GQW69" s="61">
        <f t="shared" si="1620"/>
        <v>-65000000</v>
      </c>
      <c r="GQX69" s="61">
        <f t="shared" si="1620"/>
        <v>-65000000</v>
      </c>
      <c r="GQY69" s="61">
        <f t="shared" si="1620"/>
        <v>-65000000</v>
      </c>
      <c r="GQZ69" s="61">
        <f t="shared" si="1620"/>
        <v>-65000000</v>
      </c>
      <c r="GRA69" s="61">
        <f t="shared" si="1620"/>
        <v>-65000000</v>
      </c>
      <c r="GRB69" s="61">
        <f t="shared" si="1620"/>
        <v>-65000000</v>
      </c>
      <c r="GRC69" s="61">
        <f t="shared" si="1620"/>
        <v>-65000000</v>
      </c>
      <c r="GRD69" s="61">
        <f t="shared" si="1620"/>
        <v>-65000000</v>
      </c>
      <c r="GRE69" s="61">
        <f t="shared" si="1620"/>
        <v>-65000000</v>
      </c>
      <c r="GRF69" s="61">
        <f t="shared" si="1620"/>
        <v>-65000000</v>
      </c>
      <c r="GRG69" s="61">
        <f t="shared" si="1620"/>
        <v>-65000000</v>
      </c>
      <c r="GRH69" s="61">
        <f t="shared" si="1620"/>
        <v>-65000000</v>
      </c>
      <c r="GRI69" s="61">
        <f t="shared" si="1620"/>
        <v>-65000000</v>
      </c>
      <c r="GRJ69" s="61">
        <f t="shared" si="1620"/>
        <v>-65000000</v>
      </c>
      <c r="GRK69" s="61">
        <f t="shared" si="1620"/>
        <v>-65000000</v>
      </c>
      <c r="GRL69" s="61">
        <f t="shared" si="1620"/>
        <v>-65000000</v>
      </c>
      <c r="GRM69" s="61">
        <f t="shared" si="1620"/>
        <v>-65000000</v>
      </c>
      <c r="GRN69" s="61">
        <f t="shared" si="1620"/>
        <v>-65000000</v>
      </c>
      <c r="GRO69" s="61">
        <f t="shared" ref="GRO69:GTZ69" si="1621">GRO68-$EC$11-GRO11</f>
        <v>-65000000</v>
      </c>
      <c r="GRP69" s="61">
        <f t="shared" si="1621"/>
        <v>-65000000</v>
      </c>
      <c r="GRQ69" s="61">
        <f t="shared" si="1621"/>
        <v>-65000000</v>
      </c>
      <c r="GRR69" s="61">
        <f t="shared" si="1621"/>
        <v>-65000000</v>
      </c>
      <c r="GRS69" s="61">
        <f t="shared" si="1621"/>
        <v>-65000000</v>
      </c>
      <c r="GRT69" s="61">
        <f t="shared" si="1621"/>
        <v>-65000000</v>
      </c>
      <c r="GRU69" s="61">
        <f t="shared" si="1621"/>
        <v>-65000000</v>
      </c>
      <c r="GRV69" s="61">
        <f t="shared" si="1621"/>
        <v>-65000000</v>
      </c>
      <c r="GRW69" s="61">
        <f t="shared" si="1621"/>
        <v>-65000000</v>
      </c>
      <c r="GRX69" s="61">
        <f t="shared" si="1621"/>
        <v>-65000000</v>
      </c>
      <c r="GRY69" s="61">
        <f t="shared" si="1621"/>
        <v>-65000000</v>
      </c>
      <c r="GRZ69" s="61">
        <f t="shared" si="1621"/>
        <v>-65000000</v>
      </c>
      <c r="GSA69" s="61">
        <f t="shared" si="1621"/>
        <v>-65000000</v>
      </c>
      <c r="GSB69" s="61">
        <f t="shared" si="1621"/>
        <v>-65000000</v>
      </c>
      <c r="GSC69" s="61">
        <f t="shared" si="1621"/>
        <v>-65000000</v>
      </c>
      <c r="GSD69" s="61">
        <f t="shared" si="1621"/>
        <v>-65000000</v>
      </c>
      <c r="GSE69" s="61">
        <f t="shared" si="1621"/>
        <v>-65000000</v>
      </c>
      <c r="GSF69" s="61">
        <f t="shared" si="1621"/>
        <v>-65000000</v>
      </c>
      <c r="GSG69" s="61">
        <f t="shared" si="1621"/>
        <v>-65000000</v>
      </c>
      <c r="GSH69" s="61">
        <f t="shared" si="1621"/>
        <v>-65000000</v>
      </c>
      <c r="GSI69" s="61">
        <f t="shared" si="1621"/>
        <v>-65000000</v>
      </c>
      <c r="GSJ69" s="61">
        <f t="shared" si="1621"/>
        <v>-65000000</v>
      </c>
      <c r="GSK69" s="61">
        <f t="shared" si="1621"/>
        <v>-65000000</v>
      </c>
      <c r="GSL69" s="61">
        <f t="shared" si="1621"/>
        <v>-65000000</v>
      </c>
      <c r="GSM69" s="61">
        <f t="shared" si="1621"/>
        <v>-65000000</v>
      </c>
      <c r="GSN69" s="61">
        <f t="shared" si="1621"/>
        <v>-65000000</v>
      </c>
      <c r="GSO69" s="61">
        <f t="shared" si="1621"/>
        <v>-65000000</v>
      </c>
      <c r="GSP69" s="61">
        <f t="shared" si="1621"/>
        <v>-65000000</v>
      </c>
      <c r="GSQ69" s="61">
        <f t="shared" si="1621"/>
        <v>-65000000</v>
      </c>
      <c r="GSR69" s="61">
        <f t="shared" si="1621"/>
        <v>-65000000</v>
      </c>
      <c r="GSS69" s="61">
        <f t="shared" si="1621"/>
        <v>-65000000</v>
      </c>
      <c r="GST69" s="61">
        <f t="shared" si="1621"/>
        <v>-65000000</v>
      </c>
      <c r="GSU69" s="61">
        <f t="shared" si="1621"/>
        <v>-65000000</v>
      </c>
      <c r="GSV69" s="61">
        <f t="shared" si="1621"/>
        <v>-65000000</v>
      </c>
      <c r="GSW69" s="61">
        <f t="shared" si="1621"/>
        <v>-65000000</v>
      </c>
      <c r="GSX69" s="61">
        <f t="shared" si="1621"/>
        <v>-65000000</v>
      </c>
      <c r="GSY69" s="61">
        <f t="shared" si="1621"/>
        <v>-65000000</v>
      </c>
      <c r="GSZ69" s="61">
        <f t="shared" si="1621"/>
        <v>-65000000</v>
      </c>
      <c r="GTA69" s="61">
        <f t="shared" si="1621"/>
        <v>-65000000</v>
      </c>
      <c r="GTB69" s="61">
        <f t="shared" si="1621"/>
        <v>-65000000</v>
      </c>
      <c r="GTC69" s="61">
        <f t="shared" si="1621"/>
        <v>-65000000</v>
      </c>
      <c r="GTD69" s="61">
        <f t="shared" si="1621"/>
        <v>-65000000</v>
      </c>
      <c r="GTE69" s="61">
        <f t="shared" si="1621"/>
        <v>-65000000</v>
      </c>
      <c r="GTF69" s="61">
        <f t="shared" si="1621"/>
        <v>-65000000</v>
      </c>
      <c r="GTG69" s="61">
        <f t="shared" si="1621"/>
        <v>-65000000</v>
      </c>
      <c r="GTH69" s="61">
        <f t="shared" si="1621"/>
        <v>-65000000</v>
      </c>
      <c r="GTI69" s="61">
        <f t="shared" si="1621"/>
        <v>-65000000</v>
      </c>
      <c r="GTJ69" s="61">
        <f t="shared" si="1621"/>
        <v>-65000000</v>
      </c>
      <c r="GTK69" s="61">
        <f t="shared" si="1621"/>
        <v>-65000000</v>
      </c>
      <c r="GTL69" s="61">
        <f t="shared" si="1621"/>
        <v>-65000000</v>
      </c>
      <c r="GTM69" s="61">
        <f t="shared" si="1621"/>
        <v>-65000000</v>
      </c>
      <c r="GTN69" s="61">
        <f t="shared" si="1621"/>
        <v>-65000000</v>
      </c>
      <c r="GTO69" s="61">
        <f t="shared" si="1621"/>
        <v>-65000000</v>
      </c>
      <c r="GTP69" s="61">
        <f t="shared" si="1621"/>
        <v>-65000000</v>
      </c>
      <c r="GTQ69" s="61">
        <f t="shared" si="1621"/>
        <v>-65000000</v>
      </c>
      <c r="GTR69" s="61">
        <f t="shared" si="1621"/>
        <v>-65000000</v>
      </c>
      <c r="GTS69" s="61">
        <f t="shared" si="1621"/>
        <v>-65000000</v>
      </c>
      <c r="GTT69" s="61">
        <f t="shared" si="1621"/>
        <v>-65000000</v>
      </c>
      <c r="GTU69" s="61">
        <f t="shared" si="1621"/>
        <v>-65000000</v>
      </c>
      <c r="GTV69" s="61">
        <f t="shared" si="1621"/>
        <v>-65000000</v>
      </c>
      <c r="GTW69" s="61">
        <f t="shared" si="1621"/>
        <v>-65000000</v>
      </c>
      <c r="GTX69" s="61">
        <f t="shared" si="1621"/>
        <v>-65000000</v>
      </c>
      <c r="GTY69" s="61">
        <f t="shared" si="1621"/>
        <v>-65000000</v>
      </c>
      <c r="GTZ69" s="61">
        <f t="shared" si="1621"/>
        <v>-65000000</v>
      </c>
      <c r="GUA69" s="61">
        <f t="shared" ref="GUA69:GWL69" si="1622">GUA68-$EC$11-GUA11</f>
        <v>-65000000</v>
      </c>
      <c r="GUB69" s="61">
        <f t="shared" si="1622"/>
        <v>-65000000</v>
      </c>
      <c r="GUC69" s="61">
        <f t="shared" si="1622"/>
        <v>-65000000</v>
      </c>
      <c r="GUD69" s="61">
        <f t="shared" si="1622"/>
        <v>-65000000</v>
      </c>
      <c r="GUE69" s="61">
        <f t="shared" si="1622"/>
        <v>-65000000</v>
      </c>
      <c r="GUF69" s="61">
        <f t="shared" si="1622"/>
        <v>-65000000</v>
      </c>
      <c r="GUG69" s="61">
        <f t="shared" si="1622"/>
        <v>-65000000</v>
      </c>
      <c r="GUH69" s="61">
        <f t="shared" si="1622"/>
        <v>-65000000</v>
      </c>
      <c r="GUI69" s="61">
        <f t="shared" si="1622"/>
        <v>-65000000</v>
      </c>
      <c r="GUJ69" s="61">
        <f t="shared" si="1622"/>
        <v>-65000000</v>
      </c>
      <c r="GUK69" s="61">
        <f t="shared" si="1622"/>
        <v>-65000000</v>
      </c>
      <c r="GUL69" s="61">
        <f t="shared" si="1622"/>
        <v>-65000000</v>
      </c>
      <c r="GUM69" s="61">
        <f t="shared" si="1622"/>
        <v>-65000000</v>
      </c>
      <c r="GUN69" s="61">
        <f t="shared" si="1622"/>
        <v>-65000000</v>
      </c>
      <c r="GUO69" s="61">
        <f t="shared" si="1622"/>
        <v>-65000000</v>
      </c>
      <c r="GUP69" s="61">
        <f t="shared" si="1622"/>
        <v>-65000000</v>
      </c>
      <c r="GUQ69" s="61">
        <f t="shared" si="1622"/>
        <v>-65000000</v>
      </c>
      <c r="GUR69" s="61">
        <f t="shared" si="1622"/>
        <v>-65000000</v>
      </c>
      <c r="GUS69" s="61">
        <f t="shared" si="1622"/>
        <v>-65000000</v>
      </c>
      <c r="GUT69" s="61">
        <f t="shared" si="1622"/>
        <v>-65000000</v>
      </c>
      <c r="GUU69" s="61">
        <f t="shared" si="1622"/>
        <v>-65000000</v>
      </c>
      <c r="GUV69" s="61">
        <f t="shared" si="1622"/>
        <v>-65000000</v>
      </c>
      <c r="GUW69" s="61">
        <f t="shared" si="1622"/>
        <v>-65000000</v>
      </c>
      <c r="GUX69" s="61">
        <f t="shared" si="1622"/>
        <v>-65000000</v>
      </c>
      <c r="GUY69" s="61">
        <f t="shared" si="1622"/>
        <v>-65000000</v>
      </c>
      <c r="GUZ69" s="61">
        <f t="shared" si="1622"/>
        <v>-65000000</v>
      </c>
      <c r="GVA69" s="61">
        <f t="shared" si="1622"/>
        <v>-65000000</v>
      </c>
      <c r="GVB69" s="61">
        <f t="shared" si="1622"/>
        <v>-65000000</v>
      </c>
      <c r="GVC69" s="61">
        <f t="shared" si="1622"/>
        <v>-65000000</v>
      </c>
      <c r="GVD69" s="61">
        <f t="shared" si="1622"/>
        <v>-65000000</v>
      </c>
      <c r="GVE69" s="61">
        <f t="shared" si="1622"/>
        <v>-65000000</v>
      </c>
      <c r="GVF69" s="61">
        <f t="shared" si="1622"/>
        <v>-65000000</v>
      </c>
      <c r="GVG69" s="61">
        <f t="shared" si="1622"/>
        <v>-65000000</v>
      </c>
      <c r="GVH69" s="61">
        <f t="shared" si="1622"/>
        <v>-65000000</v>
      </c>
      <c r="GVI69" s="61">
        <f t="shared" si="1622"/>
        <v>-65000000</v>
      </c>
      <c r="GVJ69" s="61">
        <f t="shared" si="1622"/>
        <v>-65000000</v>
      </c>
      <c r="GVK69" s="61">
        <f t="shared" si="1622"/>
        <v>-65000000</v>
      </c>
      <c r="GVL69" s="61">
        <f t="shared" si="1622"/>
        <v>-65000000</v>
      </c>
      <c r="GVM69" s="61">
        <f t="shared" si="1622"/>
        <v>-65000000</v>
      </c>
      <c r="GVN69" s="61">
        <f t="shared" si="1622"/>
        <v>-65000000</v>
      </c>
      <c r="GVO69" s="61">
        <f t="shared" si="1622"/>
        <v>-65000000</v>
      </c>
      <c r="GVP69" s="61">
        <f t="shared" si="1622"/>
        <v>-65000000</v>
      </c>
      <c r="GVQ69" s="61">
        <f t="shared" si="1622"/>
        <v>-65000000</v>
      </c>
      <c r="GVR69" s="61">
        <f t="shared" si="1622"/>
        <v>-65000000</v>
      </c>
      <c r="GVS69" s="61">
        <f t="shared" si="1622"/>
        <v>-65000000</v>
      </c>
      <c r="GVT69" s="61">
        <f t="shared" si="1622"/>
        <v>-65000000</v>
      </c>
      <c r="GVU69" s="61">
        <f t="shared" si="1622"/>
        <v>-65000000</v>
      </c>
      <c r="GVV69" s="61">
        <f t="shared" si="1622"/>
        <v>-65000000</v>
      </c>
      <c r="GVW69" s="61">
        <f t="shared" si="1622"/>
        <v>-65000000</v>
      </c>
      <c r="GVX69" s="61">
        <f t="shared" si="1622"/>
        <v>-65000000</v>
      </c>
      <c r="GVY69" s="61">
        <f t="shared" si="1622"/>
        <v>-65000000</v>
      </c>
      <c r="GVZ69" s="61">
        <f t="shared" si="1622"/>
        <v>-65000000</v>
      </c>
      <c r="GWA69" s="61">
        <f t="shared" si="1622"/>
        <v>-65000000</v>
      </c>
      <c r="GWB69" s="61">
        <f t="shared" si="1622"/>
        <v>-65000000</v>
      </c>
      <c r="GWC69" s="61">
        <f t="shared" si="1622"/>
        <v>-65000000</v>
      </c>
      <c r="GWD69" s="61">
        <f t="shared" si="1622"/>
        <v>-65000000</v>
      </c>
      <c r="GWE69" s="61">
        <f t="shared" si="1622"/>
        <v>-65000000</v>
      </c>
      <c r="GWF69" s="61">
        <f t="shared" si="1622"/>
        <v>-65000000</v>
      </c>
      <c r="GWG69" s="61">
        <f t="shared" si="1622"/>
        <v>-65000000</v>
      </c>
      <c r="GWH69" s="61">
        <f t="shared" si="1622"/>
        <v>-65000000</v>
      </c>
      <c r="GWI69" s="61">
        <f t="shared" si="1622"/>
        <v>-65000000</v>
      </c>
      <c r="GWJ69" s="61">
        <f t="shared" si="1622"/>
        <v>-65000000</v>
      </c>
      <c r="GWK69" s="61">
        <f t="shared" si="1622"/>
        <v>-65000000</v>
      </c>
      <c r="GWL69" s="61">
        <f t="shared" si="1622"/>
        <v>-65000000</v>
      </c>
      <c r="GWM69" s="61">
        <f t="shared" ref="GWM69:GYX69" si="1623">GWM68-$EC$11-GWM11</f>
        <v>-65000000</v>
      </c>
      <c r="GWN69" s="61">
        <f t="shared" si="1623"/>
        <v>-65000000</v>
      </c>
      <c r="GWO69" s="61">
        <f t="shared" si="1623"/>
        <v>-65000000</v>
      </c>
      <c r="GWP69" s="61">
        <f t="shared" si="1623"/>
        <v>-65000000</v>
      </c>
      <c r="GWQ69" s="61">
        <f t="shared" si="1623"/>
        <v>-65000000</v>
      </c>
      <c r="GWR69" s="61">
        <f t="shared" si="1623"/>
        <v>-65000000</v>
      </c>
      <c r="GWS69" s="61">
        <f t="shared" si="1623"/>
        <v>-65000000</v>
      </c>
      <c r="GWT69" s="61">
        <f t="shared" si="1623"/>
        <v>-65000000</v>
      </c>
      <c r="GWU69" s="61">
        <f t="shared" si="1623"/>
        <v>-65000000</v>
      </c>
      <c r="GWV69" s="61">
        <f t="shared" si="1623"/>
        <v>-65000000</v>
      </c>
      <c r="GWW69" s="61">
        <f t="shared" si="1623"/>
        <v>-65000000</v>
      </c>
      <c r="GWX69" s="61">
        <f t="shared" si="1623"/>
        <v>-65000000</v>
      </c>
      <c r="GWY69" s="61">
        <f t="shared" si="1623"/>
        <v>-65000000</v>
      </c>
      <c r="GWZ69" s="61">
        <f t="shared" si="1623"/>
        <v>-65000000</v>
      </c>
      <c r="GXA69" s="61">
        <f t="shared" si="1623"/>
        <v>-65000000</v>
      </c>
      <c r="GXB69" s="61">
        <f t="shared" si="1623"/>
        <v>-65000000</v>
      </c>
      <c r="GXC69" s="61">
        <f t="shared" si="1623"/>
        <v>-65000000</v>
      </c>
      <c r="GXD69" s="61">
        <f t="shared" si="1623"/>
        <v>-65000000</v>
      </c>
      <c r="GXE69" s="61">
        <f t="shared" si="1623"/>
        <v>-65000000</v>
      </c>
      <c r="GXF69" s="61">
        <f t="shared" si="1623"/>
        <v>-65000000</v>
      </c>
      <c r="GXG69" s="61">
        <f t="shared" si="1623"/>
        <v>-65000000</v>
      </c>
      <c r="GXH69" s="61">
        <f t="shared" si="1623"/>
        <v>-65000000</v>
      </c>
      <c r="GXI69" s="61">
        <f t="shared" si="1623"/>
        <v>-65000000</v>
      </c>
      <c r="GXJ69" s="61">
        <f t="shared" si="1623"/>
        <v>-65000000</v>
      </c>
      <c r="GXK69" s="61">
        <f t="shared" si="1623"/>
        <v>-65000000</v>
      </c>
      <c r="GXL69" s="61">
        <f t="shared" si="1623"/>
        <v>-65000000</v>
      </c>
      <c r="GXM69" s="61">
        <f t="shared" si="1623"/>
        <v>-65000000</v>
      </c>
      <c r="GXN69" s="61">
        <f t="shared" si="1623"/>
        <v>-65000000</v>
      </c>
      <c r="GXO69" s="61">
        <f t="shared" si="1623"/>
        <v>-65000000</v>
      </c>
      <c r="GXP69" s="61">
        <f t="shared" si="1623"/>
        <v>-65000000</v>
      </c>
      <c r="GXQ69" s="61">
        <f t="shared" si="1623"/>
        <v>-65000000</v>
      </c>
      <c r="GXR69" s="61">
        <f t="shared" si="1623"/>
        <v>-65000000</v>
      </c>
      <c r="GXS69" s="61">
        <f t="shared" si="1623"/>
        <v>-65000000</v>
      </c>
      <c r="GXT69" s="61">
        <f t="shared" si="1623"/>
        <v>-65000000</v>
      </c>
      <c r="GXU69" s="61">
        <f t="shared" si="1623"/>
        <v>-65000000</v>
      </c>
      <c r="GXV69" s="61">
        <f t="shared" si="1623"/>
        <v>-65000000</v>
      </c>
      <c r="GXW69" s="61">
        <f t="shared" si="1623"/>
        <v>-65000000</v>
      </c>
      <c r="GXX69" s="61">
        <f t="shared" si="1623"/>
        <v>-65000000</v>
      </c>
      <c r="GXY69" s="61">
        <f t="shared" si="1623"/>
        <v>-65000000</v>
      </c>
      <c r="GXZ69" s="61">
        <f t="shared" si="1623"/>
        <v>-65000000</v>
      </c>
      <c r="GYA69" s="61">
        <f t="shared" si="1623"/>
        <v>-65000000</v>
      </c>
      <c r="GYB69" s="61">
        <f t="shared" si="1623"/>
        <v>-65000000</v>
      </c>
      <c r="GYC69" s="61">
        <f t="shared" si="1623"/>
        <v>-65000000</v>
      </c>
      <c r="GYD69" s="61">
        <f t="shared" si="1623"/>
        <v>-65000000</v>
      </c>
      <c r="GYE69" s="61">
        <f t="shared" si="1623"/>
        <v>-65000000</v>
      </c>
      <c r="GYF69" s="61">
        <f t="shared" si="1623"/>
        <v>-65000000</v>
      </c>
      <c r="GYG69" s="61">
        <f t="shared" si="1623"/>
        <v>-65000000</v>
      </c>
      <c r="GYH69" s="61">
        <f t="shared" si="1623"/>
        <v>-65000000</v>
      </c>
      <c r="GYI69" s="61">
        <f t="shared" si="1623"/>
        <v>-65000000</v>
      </c>
      <c r="GYJ69" s="61">
        <f t="shared" si="1623"/>
        <v>-65000000</v>
      </c>
      <c r="GYK69" s="61">
        <f t="shared" si="1623"/>
        <v>-65000000</v>
      </c>
      <c r="GYL69" s="61">
        <f t="shared" si="1623"/>
        <v>-65000000</v>
      </c>
      <c r="GYM69" s="61">
        <f t="shared" si="1623"/>
        <v>-65000000</v>
      </c>
      <c r="GYN69" s="61">
        <f t="shared" si="1623"/>
        <v>-65000000</v>
      </c>
      <c r="GYO69" s="61">
        <f t="shared" si="1623"/>
        <v>-65000000</v>
      </c>
      <c r="GYP69" s="61">
        <f t="shared" si="1623"/>
        <v>-65000000</v>
      </c>
      <c r="GYQ69" s="61">
        <f t="shared" si="1623"/>
        <v>-65000000</v>
      </c>
      <c r="GYR69" s="61">
        <f t="shared" si="1623"/>
        <v>-65000000</v>
      </c>
      <c r="GYS69" s="61">
        <f t="shared" si="1623"/>
        <v>-65000000</v>
      </c>
      <c r="GYT69" s="61">
        <f t="shared" si="1623"/>
        <v>-65000000</v>
      </c>
      <c r="GYU69" s="61">
        <f t="shared" si="1623"/>
        <v>-65000000</v>
      </c>
      <c r="GYV69" s="61">
        <f t="shared" si="1623"/>
        <v>-65000000</v>
      </c>
      <c r="GYW69" s="61">
        <f t="shared" si="1623"/>
        <v>-65000000</v>
      </c>
      <c r="GYX69" s="61">
        <f t="shared" si="1623"/>
        <v>-65000000</v>
      </c>
      <c r="GYY69" s="61">
        <f t="shared" ref="GYY69:HBJ69" si="1624">GYY68-$EC$11-GYY11</f>
        <v>-65000000</v>
      </c>
      <c r="GYZ69" s="61">
        <f t="shared" si="1624"/>
        <v>-65000000</v>
      </c>
      <c r="GZA69" s="61">
        <f t="shared" si="1624"/>
        <v>-65000000</v>
      </c>
      <c r="GZB69" s="61">
        <f t="shared" si="1624"/>
        <v>-65000000</v>
      </c>
      <c r="GZC69" s="61">
        <f t="shared" si="1624"/>
        <v>-65000000</v>
      </c>
      <c r="GZD69" s="61">
        <f t="shared" si="1624"/>
        <v>-65000000</v>
      </c>
      <c r="GZE69" s="61">
        <f t="shared" si="1624"/>
        <v>-65000000</v>
      </c>
      <c r="GZF69" s="61">
        <f t="shared" si="1624"/>
        <v>-65000000</v>
      </c>
      <c r="GZG69" s="61">
        <f t="shared" si="1624"/>
        <v>-65000000</v>
      </c>
      <c r="GZH69" s="61">
        <f t="shared" si="1624"/>
        <v>-65000000</v>
      </c>
      <c r="GZI69" s="61">
        <f t="shared" si="1624"/>
        <v>-65000000</v>
      </c>
      <c r="GZJ69" s="61">
        <f t="shared" si="1624"/>
        <v>-65000000</v>
      </c>
      <c r="GZK69" s="61">
        <f t="shared" si="1624"/>
        <v>-65000000</v>
      </c>
      <c r="GZL69" s="61">
        <f t="shared" si="1624"/>
        <v>-65000000</v>
      </c>
      <c r="GZM69" s="61">
        <f t="shared" si="1624"/>
        <v>-65000000</v>
      </c>
      <c r="GZN69" s="61">
        <f t="shared" si="1624"/>
        <v>-65000000</v>
      </c>
      <c r="GZO69" s="61">
        <f t="shared" si="1624"/>
        <v>-65000000</v>
      </c>
      <c r="GZP69" s="61">
        <f t="shared" si="1624"/>
        <v>-65000000</v>
      </c>
      <c r="GZQ69" s="61">
        <f t="shared" si="1624"/>
        <v>-65000000</v>
      </c>
      <c r="GZR69" s="61">
        <f t="shared" si="1624"/>
        <v>-65000000</v>
      </c>
      <c r="GZS69" s="61">
        <f t="shared" si="1624"/>
        <v>-65000000</v>
      </c>
      <c r="GZT69" s="61">
        <f t="shared" si="1624"/>
        <v>-65000000</v>
      </c>
      <c r="GZU69" s="61">
        <f t="shared" si="1624"/>
        <v>-65000000</v>
      </c>
      <c r="GZV69" s="61">
        <f t="shared" si="1624"/>
        <v>-65000000</v>
      </c>
      <c r="GZW69" s="61">
        <f t="shared" si="1624"/>
        <v>-65000000</v>
      </c>
      <c r="GZX69" s="61">
        <f t="shared" si="1624"/>
        <v>-65000000</v>
      </c>
      <c r="GZY69" s="61">
        <f t="shared" si="1624"/>
        <v>-65000000</v>
      </c>
      <c r="GZZ69" s="61">
        <f t="shared" si="1624"/>
        <v>-65000000</v>
      </c>
      <c r="HAA69" s="61">
        <f t="shared" si="1624"/>
        <v>-65000000</v>
      </c>
      <c r="HAB69" s="61">
        <f t="shared" si="1624"/>
        <v>-65000000</v>
      </c>
      <c r="HAC69" s="61">
        <f t="shared" si="1624"/>
        <v>-65000000</v>
      </c>
      <c r="HAD69" s="61">
        <f t="shared" si="1624"/>
        <v>-65000000</v>
      </c>
      <c r="HAE69" s="61">
        <f t="shared" si="1624"/>
        <v>-65000000</v>
      </c>
      <c r="HAF69" s="61">
        <f t="shared" si="1624"/>
        <v>-65000000</v>
      </c>
      <c r="HAG69" s="61">
        <f t="shared" si="1624"/>
        <v>-65000000</v>
      </c>
      <c r="HAH69" s="61">
        <f t="shared" si="1624"/>
        <v>-65000000</v>
      </c>
      <c r="HAI69" s="61">
        <f t="shared" si="1624"/>
        <v>-65000000</v>
      </c>
      <c r="HAJ69" s="61">
        <f t="shared" si="1624"/>
        <v>-65000000</v>
      </c>
      <c r="HAK69" s="61">
        <f t="shared" si="1624"/>
        <v>-65000000</v>
      </c>
      <c r="HAL69" s="61">
        <f t="shared" si="1624"/>
        <v>-65000000</v>
      </c>
      <c r="HAM69" s="61">
        <f t="shared" si="1624"/>
        <v>-65000000</v>
      </c>
      <c r="HAN69" s="61">
        <f t="shared" si="1624"/>
        <v>-65000000</v>
      </c>
      <c r="HAO69" s="61">
        <f t="shared" si="1624"/>
        <v>-65000000</v>
      </c>
      <c r="HAP69" s="61">
        <f t="shared" si="1624"/>
        <v>-65000000</v>
      </c>
      <c r="HAQ69" s="61">
        <f t="shared" si="1624"/>
        <v>-65000000</v>
      </c>
      <c r="HAR69" s="61">
        <f t="shared" si="1624"/>
        <v>-65000000</v>
      </c>
      <c r="HAS69" s="61">
        <f t="shared" si="1624"/>
        <v>-65000000</v>
      </c>
      <c r="HAT69" s="61">
        <f t="shared" si="1624"/>
        <v>-65000000</v>
      </c>
      <c r="HAU69" s="61">
        <f t="shared" si="1624"/>
        <v>-65000000</v>
      </c>
      <c r="HAV69" s="61">
        <f t="shared" si="1624"/>
        <v>-65000000</v>
      </c>
      <c r="HAW69" s="61">
        <f t="shared" si="1624"/>
        <v>-65000000</v>
      </c>
      <c r="HAX69" s="61">
        <f t="shared" si="1624"/>
        <v>-65000000</v>
      </c>
      <c r="HAY69" s="61">
        <f t="shared" si="1624"/>
        <v>-65000000</v>
      </c>
      <c r="HAZ69" s="61">
        <f t="shared" si="1624"/>
        <v>-65000000</v>
      </c>
      <c r="HBA69" s="61">
        <f t="shared" si="1624"/>
        <v>-65000000</v>
      </c>
      <c r="HBB69" s="61">
        <f t="shared" si="1624"/>
        <v>-65000000</v>
      </c>
      <c r="HBC69" s="61">
        <f t="shared" si="1624"/>
        <v>-65000000</v>
      </c>
      <c r="HBD69" s="61">
        <f t="shared" si="1624"/>
        <v>-65000000</v>
      </c>
      <c r="HBE69" s="61">
        <f t="shared" si="1624"/>
        <v>-65000000</v>
      </c>
      <c r="HBF69" s="61">
        <f t="shared" si="1624"/>
        <v>-65000000</v>
      </c>
      <c r="HBG69" s="61">
        <f t="shared" si="1624"/>
        <v>-65000000</v>
      </c>
      <c r="HBH69" s="61">
        <f t="shared" si="1624"/>
        <v>-65000000</v>
      </c>
      <c r="HBI69" s="61">
        <f t="shared" si="1624"/>
        <v>-65000000</v>
      </c>
      <c r="HBJ69" s="61">
        <f t="shared" si="1624"/>
        <v>-65000000</v>
      </c>
      <c r="HBK69" s="61">
        <f t="shared" ref="HBK69:HDV69" si="1625">HBK68-$EC$11-HBK11</f>
        <v>-65000000</v>
      </c>
      <c r="HBL69" s="61">
        <f t="shared" si="1625"/>
        <v>-65000000</v>
      </c>
      <c r="HBM69" s="61">
        <f t="shared" si="1625"/>
        <v>-65000000</v>
      </c>
      <c r="HBN69" s="61">
        <f t="shared" si="1625"/>
        <v>-65000000</v>
      </c>
      <c r="HBO69" s="61">
        <f t="shared" si="1625"/>
        <v>-65000000</v>
      </c>
      <c r="HBP69" s="61">
        <f t="shared" si="1625"/>
        <v>-65000000</v>
      </c>
      <c r="HBQ69" s="61">
        <f t="shared" si="1625"/>
        <v>-65000000</v>
      </c>
      <c r="HBR69" s="61">
        <f t="shared" si="1625"/>
        <v>-65000000</v>
      </c>
      <c r="HBS69" s="61">
        <f t="shared" si="1625"/>
        <v>-65000000</v>
      </c>
      <c r="HBT69" s="61">
        <f t="shared" si="1625"/>
        <v>-65000000</v>
      </c>
      <c r="HBU69" s="61">
        <f t="shared" si="1625"/>
        <v>-65000000</v>
      </c>
      <c r="HBV69" s="61">
        <f t="shared" si="1625"/>
        <v>-65000000</v>
      </c>
      <c r="HBW69" s="61">
        <f t="shared" si="1625"/>
        <v>-65000000</v>
      </c>
      <c r="HBX69" s="61">
        <f t="shared" si="1625"/>
        <v>-65000000</v>
      </c>
      <c r="HBY69" s="61">
        <f t="shared" si="1625"/>
        <v>-65000000</v>
      </c>
      <c r="HBZ69" s="61">
        <f t="shared" si="1625"/>
        <v>-65000000</v>
      </c>
      <c r="HCA69" s="61">
        <f t="shared" si="1625"/>
        <v>-65000000</v>
      </c>
      <c r="HCB69" s="61">
        <f t="shared" si="1625"/>
        <v>-65000000</v>
      </c>
      <c r="HCC69" s="61">
        <f t="shared" si="1625"/>
        <v>-65000000</v>
      </c>
      <c r="HCD69" s="61">
        <f t="shared" si="1625"/>
        <v>-65000000</v>
      </c>
      <c r="HCE69" s="61">
        <f t="shared" si="1625"/>
        <v>-65000000</v>
      </c>
      <c r="HCF69" s="61">
        <f t="shared" si="1625"/>
        <v>-65000000</v>
      </c>
      <c r="HCG69" s="61">
        <f t="shared" si="1625"/>
        <v>-65000000</v>
      </c>
      <c r="HCH69" s="61">
        <f t="shared" si="1625"/>
        <v>-65000000</v>
      </c>
      <c r="HCI69" s="61">
        <f t="shared" si="1625"/>
        <v>-65000000</v>
      </c>
      <c r="HCJ69" s="61">
        <f t="shared" si="1625"/>
        <v>-65000000</v>
      </c>
      <c r="HCK69" s="61">
        <f t="shared" si="1625"/>
        <v>-65000000</v>
      </c>
      <c r="HCL69" s="61">
        <f t="shared" si="1625"/>
        <v>-65000000</v>
      </c>
      <c r="HCM69" s="61">
        <f t="shared" si="1625"/>
        <v>-65000000</v>
      </c>
      <c r="HCN69" s="61">
        <f t="shared" si="1625"/>
        <v>-65000000</v>
      </c>
      <c r="HCO69" s="61">
        <f t="shared" si="1625"/>
        <v>-65000000</v>
      </c>
      <c r="HCP69" s="61">
        <f t="shared" si="1625"/>
        <v>-65000000</v>
      </c>
      <c r="HCQ69" s="61">
        <f t="shared" si="1625"/>
        <v>-65000000</v>
      </c>
      <c r="HCR69" s="61">
        <f t="shared" si="1625"/>
        <v>-65000000</v>
      </c>
      <c r="HCS69" s="61">
        <f t="shared" si="1625"/>
        <v>-65000000</v>
      </c>
      <c r="HCT69" s="61">
        <f t="shared" si="1625"/>
        <v>-65000000</v>
      </c>
      <c r="HCU69" s="61">
        <f t="shared" si="1625"/>
        <v>-65000000</v>
      </c>
      <c r="HCV69" s="61">
        <f t="shared" si="1625"/>
        <v>-65000000</v>
      </c>
      <c r="HCW69" s="61">
        <f t="shared" si="1625"/>
        <v>-65000000</v>
      </c>
      <c r="HCX69" s="61">
        <f t="shared" si="1625"/>
        <v>-65000000</v>
      </c>
      <c r="HCY69" s="61">
        <f t="shared" si="1625"/>
        <v>-65000000</v>
      </c>
      <c r="HCZ69" s="61">
        <f t="shared" si="1625"/>
        <v>-65000000</v>
      </c>
      <c r="HDA69" s="61">
        <f t="shared" si="1625"/>
        <v>-65000000</v>
      </c>
      <c r="HDB69" s="61">
        <f t="shared" si="1625"/>
        <v>-65000000</v>
      </c>
      <c r="HDC69" s="61">
        <f t="shared" si="1625"/>
        <v>-65000000</v>
      </c>
      <c r="HDD69" s="61">
        <f t="shared" si="1625"/>
        <v>-65000000</v>
      </c>
      <c r="HDE69" s="61">
        <f t="shared" si="1625"/>
        <v>-65000000</v>
      </c>
      <c r="HDF69" s="61">
        <f t="shared" si="1625"/>
        <v>-65000000</v>
      </c>
      <c r="HDG69" s="61">
        <f t="shared" si="1625"/>
        <v>-65000000</v>
      </c>
      <c r="HDH69" s="61">
        <f t="shared" si="1625"/>
        <v>-65000000</v>
      </c>
      <c r="HDI69" s="61">
        <f t="shared" si="1625"/>
        <v>-65000000</v>
      </c>
      <c r="HDJ69" s="61">
        <f t="shared" si="1625"/>
        <v>-65000000</v>
      </c>
      <c r="HDK69" s="61">
        <f t="shared" si="1625"/>
        <v>-65000000</v>
      </c>
      <c r="HDL69" s="61">
        <f t="shared" si="1625"/>
        <v>-65000000</v>
      </c>
      <c r="HDM69" s="61">
        <f t="shared" si="1625"/>
        <v>-65000000</v>
      </c>
      <c r="HDN69" s="61">
        <f t="shared" si="1625"/>
        <v>-65000000</v>
      </c>
      <c r="HDO69" s="61">
        <f t="shared" si="1625"/>
        <v>-65000000</v>
      </c>
      <c r="HDP69" s="61">
        <f t="shared" si="1625"/>
        <v>-65000000</v>
      </c>
      <c r="HDQ69" s="61">
        <f t="shared" si="1625"/>
        <v>-65000000</v>
      </c>
      <c r="HDR69" s="61">
        <f t="shared" si="1625"/>
        <v>-65000000</v>
      </c>
      <c r="HDS69" s="61">
        <f t="shared" si="1625"/>
        <v>-65000000</v>
      </c>
      <c r="HDT69" s="61">
        <f t="shared" si="1625"/>
        <v>-65000000</v>
      </c>
      <c r="HDU69" s="61">
        <f t="shared" si="1625"/>
        <v>-65000000</v>
      </c>
      <c r="HDV69" s="61">
        <f t="shared" si="1625"/>
        <v>-65000000</v>
      </c>
      <c r="HDW69" s="61">
        <f t="shared" ref="HDW69:HGH69" si="1626">HDW68-$EC$11-HDW11</f>
        <v>-65000000</v>
      </c>
      <c r="HDX69" s="61">
        <f t="shared" si="1626"/>
        <v>-65000000</v>
      </c>
      <c r="HDY69" s="61">
        <f t="shared" si="1626"/>
        <v>-65000000</v>
      </c>
      <c r="HDZ69" s="61">
        <f t="shared" si="1626"/>
        <v>-65000000</v>
      </c>
      <c r="HEA69" s="61">
        <f t="shared" si="1626"/>
        <v>-65000000</v>
      </c>
      <c r="HEB69" s="61">
        <f t="shared" si="1626"/>
        <v>-65000000</v>
      </c>
      <c r="HEC69" s="61">
        <f t="shared" si="1626"/>
        <v>-65000000</v>
      </c>
      <c r="HED69" s="61">
        <f t="shared" si="1626"/>
        <v>-65000000</v>
      </c>
      <c r="HEE69" s="61">
        <f t="shared" si="1626"/>
        <v>-65000000</v>
      </c>
      <c r="HEF69" s="61">
        <f t="shared" si="1626"/>
        <v>-65000000</v>
      </c>
      <c r="HEG69" s="61">
        <f t="shared" si="1626"/>
        <v>-65000000</v>
      </c>
      <c r="HEH69" s="61">
        <f t="shared" si="1626"/>
        <v>-65000000</v>
      </c>
      <c r="HEI69" s="61">
        <f t="shared" si="1626"/>
        <v>-65000000</v>
      </c>
      <c r="HEJ69" s="61">
        <f t="shared" si="1626"/>
        <v>-65000000</v>
      </c>
      <c r="HEK69" s="61">
        <f t="shared" si="1626"/>
        <v>-65000000</v>
      </c>
      <c r="HEL69" s="61">
        <f t="shared" si="1626"/>
        <v>-65000000</v>
      </c>
      <c r="HEM69" s="61">
        <f t="shared" si="1626"/>
        <v>-65000000</v>
      </c>
      <c r="HEN69" s="61">
        <f t="shared" si="1626"/>
        <v>-65000000</v>
      </c>
      <c r="HEO69" s="61">
        <f t="shared" si="1626"/>
        <v>-65000000</v>
      </c>
      <c r="HEP69" s="61">
        <f t="shared" si="1626"/>
        <v>-65000000</v>
      </c>
      <c r="HEQ69" s="61">
        <f t="shared" si="1626"/>
        <v>-65000000</v>
      </c>
      <c r="HER69" s="61">
        <f t="shared" si="1626"/>
        <v>-65000000</v>
      </c>
      <c r="HES69" s="61">
        <f t="shared" si="1626"/>
        <v>-65000000</v>
      </c>
      <c r="HET69" s="61">
        <f t="shared" si="1626"/>
        <v>-65000000</v>
      </c>
      <c r="HEU69" s="61">
        <f t="shared" si="1626"/>
        <v>-65000000</v>
      </c>
      <c r="HEV69" s="61">
        <f t="shared" si="1626"/>
        <v>-65000000</v>
      </c>
      <c r="HEW69" s="61">
        <f t="shared" si="1626"/>
        <v>-65000000</v>
      </c>
      <c r="HEX69" s="61">
        <f t="shared" si="1626"/>
        <v>-65000000</v>
      </c>
      <c r="HEY69" s="61">
        <f t="shared" si="1626"/>
        <v>-65000000</v>
      </c>
      <c r="HEZ69" s="61">
        <f t="shared" si="1626"/>
        <v>-65000000</v>
      </c>
      <c r="HFA69" s="61">
        <f t="shared" si="1626"/>
        <v>-65000000</v>
      </c>
      <c r="HFB69" s="61">
        <f t="shared" si="1626"/>
        <v>-65000000</v>
      </c>
      <c r="HFC69" s="61">
        <f t="shared" si="1626"/>
        <v>-65000000</v>
      </c>
      <c r="HFD69" s="61">
        <f t="shared" si="1626"/>
        <v>-65000000</v>
      </c>
      <c r="HFE69" s="61">
        <f t="shared" si="1626"/>
        <v>-65000000</v>
      </c>
      <c r="HFF69" s="61">
        <f t="shared" si="1626"/>
        <v>-65000000</v>
      </c>
      <c r="HFG69" s="61">
        <f t="shared" si="1626"/>
        <v>-65000000</v>
      </c>
      <c r="HFH69" s="61">
        <f t="shared" si="1626"/>
        <v>-65000000</v>
      </c>
      <c r="HFI69" s="61">
        <f t="shared" si="1626"/>
        <v>-65000000</v>
      </c>
      <c r="HFJ69" s="61">
        <f t="shared" si="1626"/>
        <v>-65000000</v>
      </c>
      <c r="HFK69" s="61">
        <f t="shared" si="1626"/>
        <v>-65000000</v>
      </c>
      <c r="HFL69" s="61">
        <f t="shared" si="1626"/>
        <v>-65000000</v>
      </c>
      <c r="HFM69" s="61">
        <f t="shared" si="1626"/>
        <v>-65000000</v>
      </c>
      <c r="HFN69" s="61">
        <f t="shared" si="1626"/>
        <v>-65000000</v>
      </c>
      <c r="HFO69" s="61">
        <f t="shared" si="1626"/>
        <v>-65000000</v>
      </c>
      <c r="HFP69" s="61">
        <f t="shared" si="1626"/>
        <v>-65000000</v>
      </c>
      <c r="HFQ69" s="61">
        <f t="shared" si="1626"/>
        <v>-65000000</v>
      </c>
      <c r="HFR69" s="61">
        <f t="shared" si="1626"/>
        <v>-65000000</v>
      </c>
      <c r="HFS69" s="61">
        <f t="shared" si="1626"/>
        <v>-65000000</v>
      </c>
      <c r="HFT69" s="61">
        <f t="shared" si="1626"/>
        <v>-65000000</v>
      </c>
      <c r="HFU69" s="61">
        <f t="shared" si="1626"/>
        <v>-65000000</v>
      </c>
      <c r="HFV69" s="61">
        <f t="shared" si="1626"/>
        <v>-65000000</v>
      </c>
      <c r="HFW69" s="61">
        <f t="shared" si="1626"/>
        <v>-65000000</v>
      </c>
      <c r="HFX69" s="61">
        <f t="shared" si="1626"/>
        <v>-65000000</v>
      </c>
      <c r="HFY69" s="61">
        <f t="shared" si="1626"/>
        <v>-65000000</v>
      </c>
      <c r="HFZ69" s="61">
        <f t="shared" si="1626"/>
        <v>-65000000</v>
      </c>
      <c r="HGA69" s="61">
        <f t="shared" si="1626"/>
        <v>-65000000</v>
      </c>
      <c r="HGB69" s="61">
        <f t="shared" si="1626"/>
        <v>-65000000</v>
      </c>
      <c r="HGC69" s="61">
        <f t="shared" si="1626"/>
        <v>-65000000</v>
      </c>
      <c r="HGD69" s="61">
        <f t="shared" si="1626"/>
        <v>-65000000</v>
      </c>
      <c r="HGE69" s="61">
        <f t="shared" si="1626"/>
        <v>-65000000</v>
      </c>
      <c r="HGF69" s="61">
        <f t="shared" si="1626"/>
        <v>-65000000</v>
      </c>
      <c r="HGG69" s="61">
        <f t="shared" si="1626"/>
        <v>-65000000</v>
      </c>
      <c r="HGH69" s="61">
        <f t="shared" si="1626"/>
        <v>-65000000</v>
      </c>
      <c r="HGI69" s="61">
        <f t="shared" ref="HGI69:HIT69" si="1627">HGI68-$EC$11-HGI11</f>
        <v>-65000000</v>
      </c>
      <c r="HGJ69" s="61">
        <f t="shared" si="1627"/>
        <v>-65000000</v>
      </c>
      <c r="HGK69" s="61">
        <f t="shared" si="1627"/>
        <v>-65000000</v>
      </c>
      <c r="HGL69" s="61">
        <f t="shared" si="1627"/>
        <v>-65000000</v>
      </c>
      <c r="HGM69" s="61">
        <f t="shared" si="1627"/>
        <v>-65000000</v>
      </c>
      <c r="HGN69" s="61">
        <f t="shared" si="1627"/>
        <v>-65000000</v>
      </c>
      <c r="HGO69" s="61">
        <f t="shared" si="1627"/>
        <v>-65000000</v>
      </c>
      <c r="HGP69" s="61">
        <f t="shared" si="1627"/>
        <v>-65000000</v>
      </c>
      <c r="HGQ69" s="61">
        <f t="shared" si="1627"/>
        <v>-65000000</v>
      </c>
      <c r="HGR69" s="61">
        <f t="shared" si="1627"/>
        <v>-65000000</v>
      </c>
      <c r="HGS69" s="61">
        <f t="shared" si="1627"/>
        <v>-65000000</v>
      </c>
      <c r="HGT69" s="61">
        <f t="shared" si="1627"/>
        <v>-65000000</v>
      </c>
      <c r="HGU69" s="61">
        <f t="shared" si="1627"/>
        <v>-65000000</v>
      </c>
      <c r="HGV69" s="61">
        <f t="shared" si="1627"/>
        <v>-65000000</v>
      </c>
      <c r="HGW69" s="61">
        <f t="shared" si="1627"/>
        <v>-65000000</v>
      </c>
      <c r="HGX69" s="61">
        <f t="shared" si="1627"/>
        <v>-65000000</v>
      </c>
      <c r="HGY69" s="61">
        <f t="shared" si="1627"/>
        <v>-65000000</v>
      </c>
      <c r="HGZ69" s="61">
        <f t="shared" si="1627"/>
        <v>-65000000</v>
      </c>
      <c r="HHA69" s="61">
        <f t="shared" si="1627"/>
        <v>-65000000</v>
      </c>
      <c r="HHB69" s="61">
        <f t="shared" si="1627"/>
        <v>-65000000</v>
      </c>
      <c r="HHC69" s="61">
        <f t="shared" si="1627"/>
        <v>-65000000</v>
      </c>
      <c r="HHD69" s="61">
        <f t="shared" si="1627"/>
        <v>-65000000</v>
      </c>
      <c r="HHE69" s="61">
        <f t="shared" si="1627"/>
        <v>-65000000</v>
      </c>
      <c r="HHF69" s="61">
        <f t="shared" si="1627"/>
        <v>-65000000</v>
      </c>
      <c r="HHG69" s="61">
        <f t="shared" si="1627"/>
        <v>-65000000</v>
      </c>
      <c r="HHH69" s="61">
        <f t="shared" si="1627"/>
        <v>-65000000</v>
      </c>
      <c r="HHI69" s="61">
        <f t="shared" si="1627"/>
        <v>-65000000</v>
      </c>
      <c r="HHJ69" s="61">
        <f t="shared" si="1627"/>
        <v>-65000000</v>
      </c>
      <c r="HHK69" s="61">
        <f t="shared" si="1627"/>
        <v>-65000000</v>
      </c>
      <c r="HHL69" s="61">
        <f t="shared" si="1627"/>
        <v>-65000000</v>
      </c>
      <c r="HHM69" s="61">
        <f t="shared" si="1627"/>
        <v>-65000000</v>
      </c>
      <c r="HHN69" s="61">
        <f t="shared" si="1627"/>
        <v>-65000000</v>
      </c>
      <c r="HHO69" s="61">
        <f t="shared" si="1627"/>
        <v>-65000000</v>
      </c>
      <c r="HHP69" s="61">
        <f t="shared" si="1627"/>
        <v>-65000000</v>
      </c>
      <c r="HHQ69" s="61">
        <f t="shared" si="1627"/>
        <v>-65000000</v>
      </c>
      <c r="HHR69" s="61">
        <f t="shared" si="1627"/>
        <v>-65000000</v>
      </c>
      <c r="HHS69" s="61">
        <f t="shared" si="1627"/>
        <v>-65000000</v>
      </c>
      <c r="HHT69" s="61">
        <f t="shared" si="1627"/>
        <v>-65000000</v>
      </c>
      <c r="HHU69" s="61">
        <f t="shared" si="1627"/>
        <v>-65000000</v>
      </c>
      <c r="HHV69" s="61">
        <f t="shared" si="1627"/>
        <v>-65000000</v>
      </c>
      <c r="HHW69" s="61">
        <f t="shared" si="1627"/>
        <v>-65000000</v>
      </c>
      <c r="HHX69" s="61">
        <f t="shared" si="1627"/>
        <v>-65000000</v>
      </c>
      <c r="HHY69" s="61">
        <f t="shared" si="1627"/>
        <v>-65000000</v>
      </c>
      <c r="HHZ69" s="61">
        <f t="shared" si="1627"/>
        <v>-65000000</v>
      </c>
      <c r="HIA69" s="61">
        <f t="shared" si="1627"/>
        <v>-65000000</v>
      </c>
      <c r="HIB69" s="61">
        <f t="shared" si="1627"/>
        <v>-65000000</v>
      </c>
      <c r="HIC69" s="61">
        <f t="shared" si="1627"/>
        <v>-65000000</v>
      </c>
      <c r="HID69" s="61">
        <f t="shared" si="1627"/>
        <v>-65000000</v>
      </c>
      <c r="HIE69" s="61">
        <f t="shared" si="1627"/>
        <v>-65000000</v>
      </c>
      <c r="HIF69" s="61">
        <f t="shared" si="1627"/>
        <v>-65000000</v>
      </c>
      <c r="HIG69" s="61">
        <f t="shared" si="1627"/>
        <v>-65000000</v>
      </c>
      <c r="HIH69" s="61">
        <f t="shared" si="1627"/>
        <v>-65000000</v>
      </c>
      <c r="HII69" s="61">
        <f t="shared" si="1627"/>
        <v>-65000000</v>
      </c>
      <c r="HIJ69" s="61">
        <f t="shared" si="1627"/>
        <v>-65000000</v>
      </c>
      <c r="HIK69" s="61">
        <f t="shared" si="1627"/>
        <v>-65000000</v>
      </c>
      <c r="HIL69" s="61">
        <f t="shared" si="1627"/>
        <v>-65000000</v>
      </c>
      <c r="HIM69" s="61">
        <f t="shared" si="1627"/>
        <v>-65000000</v>
      </c>
      <c r="HIN69" s="61">
        <f t="shared" si="1627"/>
        <v>-65000000</v>
      </c>
      <c r="HIO69" s="61">
        <f t="shared" si="1627"/>
        <v>-65000000</v>
      </c>
      <c r="HIP69" s="61">
        <f t="shared" si="1627"/>
        <v>-65000000</v>
      </c>
      <c r="HIQ69" s="61">
        <f t="shared" si="1627"/>
        <v>-65000000</v>
      </c>
      <c r="HIR69" s="61">
        <f t="shared" si="1627"/>
        <v>-65000000</v>
      </c>
      <c r="HIS69" s="61">
        <f t="shared" si="1627"/>
        <v>-65000000</v>
      </c>
      <c r="HIT69" s="61">
        <f t="shared" si="1627"/>
        <v>-65000000</v>
      </c>
      <c r="HIU69" s="61">
        <f t="shared" ref="HIU69:HLF69" si="1628">HIU68-$EC$11-HIU11</f>
        <v>-65000000</v>
      </c>
      <c r="HIV69" s="61">
        <f t="shared" si="1628"/>
        <v>-65000000</v>
      </c>
      <c r="HIW69" s="61">
        <f t="shared" si="1628"/>
        <v>-65000000</v>
      </c>
      <c r="HIX69" s="61">
        <f t="shared" si="1628"/>
        <v>-65000000</v>
      </c>
      <c r="HIY69" s="61">
        <f t="shared" si="1628"/>
        <v>-65000000</v>
      </c>
      <c r="HIZ69" s="61">
        <f t="shared" si="1628"/>
        <v>-65000000</v>
      </c>
      <c r="HJA69" s="61">
        <f t="shared" si="1628"/>
        <v>-65000000</v>
      </c>
      <c r="HJB69" s="61">
        <f t="shared" si="1628"/>
        <v>-65000000</v>
      </c>
      <c r="HJC69" s="61">
        <f t="shared" si="1628"/>
        <v>-65000000</v>
      </c>
      <c r="HJD69" s="61">
        <f t="shared" si="1628"/>
        <v>-65000000</v>
      </c>
      <c r="HJE69" s="61">
        <f t="shared" si="1628"/>
        <v>-65000000</v>
      </c>
      <c r="HJF69" s="61">
        <f t="shared" si="1628"/>
        <v>-65000000</v>
      </c>
      <c r="HJG69" s="61">
        <f t="shared" si="1628"/>
        <v>-65000000</v>
      </c>
      <c r="HJH69" s="61">
        <f t="shared" si="1628"/>
        <v>-65000000</v>
      </c>
      <c r="HJI69" s="61">
        <f t="shared" si="1628"/>
        <v>-65000000</v>
      </c>
      <c r="HJJ69" s="61">
        <f t="shared" si="1628"/>
        <v>-65000000</v>
      </c>
      <c r="HJK69" s="61">
        <f t="shared" si="1628"/>
        <v>-65000000</v>
      </c>
      <c r="HJL69" s="61">
        <f t="shared" si="1628"/>
        <v>-65000000</v>
      </c>
      <c r="HJM69" s="61">
        <f t="shared" si="1628"/>
        <v>-65000000</v>
      </c>
      <c r="HJN69" s="61">
        <f t="shared" si="1628"/>
        <v>-65000000</v>
      </c>
      <c r="HJO69" s="61">
        <f t="shared" si="1628"/>
        <v>-65000000</v>
      </c>
      <c r="HJP69" s="61">
        <f t="shared" si="1628"/>
        <v>-65000000</v>
      </c>
      <c r="HJQ69" s="61">
        <f t="shared" si="1628"/>
        <v>-65000000</v>
      </c>
      <c r="HJR69" s="61">
        <f t="shared" si="1628"/>
        <v>-65000000</v>
      </c>
      <c r="HJS69" s="61">
        <f t="shared" si="1628"/>
        <v>-65000000</v>
      </c>
      <c r="HJT69" s="61">
        <f t="shared" si="1628"/>
        <v>-65000000</v>
      </c>
      <c r="HJU69" s="61">
        <f t="shared" si="1628"/>
        <v>-65000000</v>
      </c>
      <c r="HJV69" s="61">
        <f t="shared" si="1628"/>
        <v>-65000000</v>
      </c>
      <c r="HJW69" s="61">
        <f t="shared" si="1628"/>
        <v>-65000000</v>
      </c>
      <c r="HJX69" s="61">
        <f t="shared" si="1628"/>
        <v>-65000000</v>
      </c>
      <c r="HJY69" s="61">
        <f t="shared" si="1628"/>
        <v>-65000000</v>
      </c>
      <c r="HJZ69" s="61">
        <f t="shared" si="1628"/>
        <v>-65000000</v>
      </c>
      <c r="HKA69" s="61">
        <f t="shared" si="1628"/>
        <v>-65000000</v>
      </c>
      <c r="HKB69" s="61">
        <f t="shared" si="1628"/>
        <v>-65000000</v>
      </c>
      <c r="HKC69" s="61">
        <f t="shared" si="1628"/>
        <v>-65000000</v>
      </c>
      <c r="HKD69" s="61">
        <f t="shared" si="1628"/>
        <v>-65000000</v>
      </c>
      <c r="HKE69" s="61">
        <f t="shared" si="1628"/>
        <v>-65000000</v>
      </c>
      <c r="HKF69" s="61">
        <f t="shared" si="1628"/>
        <v>-65000000</v>
      </c>
      <c r="HKG69" s="61">
        <f t="shared" si="1628"/>
        <v>-65000000</v>
      </c>
      <c r="HKH69" s="61">
        <f t="shared" si="1628"/>
        <v>-65000000</v>
      </c>
      <c r="HKI69" s="61">
        <f t="shared" si="1628"/>
        <v>-65000000</v>
      </c>
      <c r="HKJ69" s="61">
        <f t="shared" si="1628"/>
        <v>-65000000</v>
      </c>
      <c r="HKK69" s="61">
        <f t="shared" si="1628"/>
        <v>-65000000</v>
      </c>
      <c r="HKL69" s="61">
        <f t="shared" si="1628"/>
        <v>-65000000</v>
      </c>
      <c r="HKM69" s="61">
        <f t="shared" si="1628"/>
        <v>-65000000</v>
      </c>
      <c r="HKN69" s="61">
        <f t="shared" si="1628"/>
        <v>-65000000</v>
      </c>
      <c r="HKO69" s="61">
        <f t="shared" si="1628"/>
        <v>-65000000</v>
      </c>
      <c r="HKP69" s="61">
        <f t="shared" si="1628"/>
        <v>-65000000</v>
      </c>
      <c r="HKQ69" s="61">
        <f t="shared" si="1628"/>
        <v>-65000000</v>
      </c>
      <c r="HKR69" s="61">
        <f t="shared" si="1628"/>
        <v>-65000000</v>
      </c>
      <c r="HKS69" s="61">
        <f t="shared" si="1628"/>
        <v>-65000000</v>
      </c>
      <c r="HKT69" s="61">
        <f t="shared" si="1628"/>
        <v>-65000000</v>
      </c>
      <c r="HKU69" s="61">
        <f t="shared" si="1628"/>
        <v>-65000000</v>
      </c>
      <c r="HKV69" s="61">
        <f t="shared" si="1628"/>
        <v>-65000000</v>
      </c>
      <c r="HKW69" s="61">
        <f t="shared" si="1628"/>
        <v>-65000000</v>
      </c>
      <c r="HKX69" s="61">
        <f t="shared" si="1628"/>
        <v>-65000000</v>
      </c>
      <c r="HKY69" s="61">
        <f t="shared" si="1628"/>
        <v>-65000000</v>
      </c>
      <c r="HKZ69" s="61">
        <f t="shared" si="1628"/>
        <v>-65000000</v>
      </c>
      <c r="HLA69" s="61">
        <f t="shared" si="1628"/>
        <v>-65000000</v>
      </c>
      <c r="HLB69" s="61">
        <f t="shared" si="1628"/>
        <v>-65000000</v>
      </c>
      <c r="HLC69" s="61">
        <f t="shared" si="1628"/>
        <v>-65000000</v>
      </c>
      <c r="HLD69" s="61">
        <f t="shared" si="1628"/>
        <v>-65000000</v>
      </c>
      <c r="HLE69" s="61">
        <f t="shared" si="1628"/>
        <v>-65000000</v>
      </c>
      <c r="HLF69" s="61">
        <f t="shared" si="1628"/>
        <v>-65000000</v>
      </c>
      <c r="HLG69" s="61">
        <f t="shared" ref="HLG69:HNR69" si="1629">HLG68-$EC$11-HLG11</f>
        <v>-65000000</v>
      </c>
      <c r="HLH69" s="61">
        <f t="shared" si="1629"/>
        <v>-65000000</v>
      </c>
      <c r="HLI69" s="61">
        <f t="shared" si="1629"/>
        <v>-65000000</v>
      </c>
      <c r="HLJ69" s="61">
        <f t="shared" si="1629"/>
        <v>-65000000</v>
      </c>
      <c r="HLK69" s="61">
        <f t="shared" si="1629"/>
        <v>-65000000</v>
      </c>
      <c r="HLL69" s="61">
        <f t="shared" si="1629"/>
        <v>-65000000</v>
      </c>
      <c r="HLM69" s="61">
        <f t="shared" si="1629"/>
        <v>-65000000</v>
      </c>
      <c r="HLN69" s="61">
        <f t="shared" si="1629"/>
        <v>-65000000</v>
      </c>
      <c r="HLO69" s="61">
        <f t="shared" si="1629"/>
        <v>-65000000</v>
      </c>
      <c r="HLP69" s="61">
        <f t="shared" si="1629"/>
        <v>-65000000</v>
      </c>
      <c r="HLQ69" s="61">
        <f t="shared" si="1629"/>
        <v>-65000000</v>
      </c>
      <c r="HLR69" s="61">
        <f t="shared" si="1629"/>
        <v>-65000000</v>
      </c>
      <c r="HLS69" s="61">
        <f t="shared" si="1629"/>
        <v>-65000000</v>
      </c>
      <c r="HLT69" s="61">
        <f t="shared" si="1629"/>
        <v>-65000000</v>
      </c>
      <c r="HLU69" s="61">
        <f t="shared" si="1629"/>
        <v>-65000000</v>
      </c>
      <c r="HLV69" s="61">
        <f t="shared" si="1629"/>
        <v>-65000000</v>
      </c>
      <c r="HLW69" s="61">
        <f t="shared" si="1629"/>
        <v>-65000000</v>
      </c>
      <c r="HLX69" s="61">
        <f t="shared" si="1629"/>
        <v>-65000000</v>
      </c>
      <c r="HLY69" s="61">
        <f t="shared" si="1629"/>
        <v>-65000000</v>
      </c>
      <c r="HLZ69" s="61">
        <f t="shared" si="1629"/>
        <v>-65000000</v>
      </c>
      <c r="HMA69" s="61">
        <f t="shared" si="1629"/>
        <v>-65000000</v>
      </c>
      <c r="HMB69" s="61">
        <f t="shared" si="1629"/>
        <v>-65000000</v>
      </c>
      <c r="HMC69" s="61">
        <f t="shared" si="1629"/>
        <v>-65000000</v>
      </c>
      <c r="HMD69" s="61">
        <f t="shared" si="1629"/>
        <v>-65000000</v>
      </c>
      <c r="HME69" s="61">
        <f t="shared" si="1629"/>
        <v>-65000000</v>
      </c>
      <c r="HMF69" s="61">
        <f t="shared" si="1629"/>
        <v>-65000000</v>
      </c>
      <c r="HMG69" s="61">
        <f t="shared" si="1629"/>
        <v>-65000000</v>
      </c>
      <c r="HMH69" s="61">
        <f t="shared" si="1629"/>
        <v>-65000000</v>
      </c>
      <c r="HMI69" s="61">
        <f t="shared" si="1629"/>
        <v>-65000000</v>
      </c>
      <c r="HMJ69" s="61">
        <f t="shared" si="1629"/>
        <v>-65000000</v>
      </c>
      <c r="HMK69" s="61">
        <f t="shared" si="1629"/>
        <v>-65000000</v>
      </c>
      <c r="HML69" s="61">
        <f t="shared" si="1629"/>
        <v>-65000000</v>
      </c>
      <c r="HMM69" s="61">
        <f t="shared" si="1629"/>
        <v>-65000000</v>
      </c>
      <c r="HMN69" s="61">
        <f t="shared" si="1629"/>
        <v>-65000000</v>
      </c>
      <c r="HMO69" s="61">
        <f t="shared" si="1629"/>
        <v>-65000000</v>
      </c>
      <c r="HMP69" s="61">
        <f t="shared" si="1629"/>
        <v>-65000000</v>
      </c>
      <c r="HMQ69" s="61">
        <f t="shared" si="1629"/>
        <v>-65000000</v>
      </c>
      <c r="HMR69" s="61">
        <f t="shared" si="1629"/>
        <v>-65000000</v>
      </c>
      <c r="HMS69" s="61">
        <f t="shared" si="1629"/>
        <v>-65000000</v>
      </c>
      <c r="HMT69" s="61">
        <f t="shared" si="1629"/>
        <v>-65000000</v>
      </c>
      <c r="HMU69" s="61">
        <f t="shared" si="1629"/>
        <v>-65000000</v>
      </c>
      <c r="HMV69" s="61">
        <f t="shared" si="1629"/>
        <v>-65000000</v>
      </c>
      <c r="HMW69" s="61">
        <f t="shared" si="1629"/>
        <v>-65000000</v>
      </c>
      <c r="HMX69" s="61">
        <f t="shared" si="1629"/>
        <v>-65000000</v>
      </c>
      <c r="HMY69" s="61">
        <f t="shared" si="1629"/>
        <v>-65000000</v>
      </c>
      <c r="HMZ69" s="61">
        <f t="shared" si="1629"/>
        <v>-65000000</v>
      </c>
      <c r="HNA69" s="61">
        <f t="shared" si="1629"/>
        <v>-65000000</v>
      </c>
      <c r="HNB69" s="61">
        <f t="shared" si="1629"/>
        <v>-65000000</v>
      </c>
      <c r="HNC69" s="61">
        <f t="shared" si="1629"/>
        <v>-65000000</v>
      </c>
      <c r="HND69" s="61">
        <f t="shared" si="1629"/>
        <v>-65000000</v>
      </c>
      <c r="HNE69" s="61">
        <f t="shared" si="1629"/>
        <v>-65000000</v>
      </c>
      <c r="HNF69" s="61">
        <f t="shared" si="1629"/>
        <v>-65000000</v>
      </c>
      <c r="HNG69" s="61">
        <f t="shared" si="1629"/>
        <v>-65000000</v>
      </c>
      <c r="HNH69" s="61">
        <f t="shared" si="1629"/>
        <v>-65000000</v>
      </c>
      <c r="HNI69" s="61">
        <f t="shared" si="1629"/>
        <v>-65000000</v>
      </c>
      <c r="HNJ69" s="61">
        <f t="shared" si="1629"/>
        <v>-65000000</v>
      </c>
      <c r="HNK69" s="61">
        <f t="shared" si="1629"/>
        <v>-65000000</v>
      </c>
      <c r="HNL69" s="61">
        <f t="shared" si="1629"/>
        <v>-65000000</v>
      </c>
      <c r="HNM69" s="61">
        <f t="shared" si="1629"/>
        <v>-65000000</v>
      </c>
      <c r="HNN69" s="61">
        <f t="shared" si="1629"/>
        <v>-65000000</v>
      </c>
      <c r="HNO69" s="61">
        <f t="shared" si="1629"/>
        <v>-65000000</v>
      </c>
      <c r="HNP69" s="61">
        <f t="shared" si="1629"/>
        <v>-65000000</v>
      </c>
      <c r="HNQ69" s="61">
        <f t="shared" si="1629"/>
        <v>-65000000</v>
      </c>
      <c r="HNR69" s="61">
        <f t="shared" si="1629"/>
        <v>-65000000</v>
      </c>
      <c r="HNS69" s="61">
        <f t="shared" ref="HNS69:HQD69" si="1630">HNS68-$EC$11-HNS11</f>
        <v>-65000000</v>
      </c>
      <c r="HNT69" s="61">
        <f t="shared" si="1630"/>
        <v>-65000000</v>
      </c>
      <c r="HNU69" s="61">
        <f t="shared" si="1630"/>
        <v>-65000000</v>
      </c>
      <c r="HNV69" s="61">
        <f t="shared" si="1630"/>
        <v>-65000000</v>
      </c>
      <c r="HNW69" s="61">
        <f t="shared" si="1630"/>
        <v>-65000000</v>
      </c>
      <c r="HNX69" s="61">
        <f t="shared" si="1630"/>
        <v>-65000000</v>
      </c>
      <c r="HNY69" s="61">
        <f t="shared" si="1630"/>
        <v>-65000000</v>
      </c>
      <c r="HNZ69" s="61">
        <f t="shared" si="1630"/>
        <v>-65000000</v>
      </c>
      <c r="HOA69" s="61">
        <f t="shared" si="1630"/>
        <v>-65000000</v>
      </c>
      <c r="HOB69" s="61">
        <f t="shared" si="1630"/>
        <v>-65000000</v>
      </c>
      <c r="HOC69" s="61">
        <f t="shared" si="1630"/>
        <v>-65000000</v>
      </c>
      <c r="HOD69" s="61">
        <f t="shared" si="1630"/>
        <v>-65000000</v>
      </c>
      <c r="HOE69" s="61">
        <f t="shared" si="1630"/>
        <v>-65000000</v>
      </c>
      <c r="HOF69" s="61">
        <f t="shared" si="1630"/>
        <v>-65000000</v>
      </c>
      <c r="HOG69" s="61">
        <f t="shared" si="1630"/>
        <v>-65000000</v>
      </c>
      <c r="HOH69" s="61">
        <f t="shared" si="1630"/>
        <v>-65000000</v>
      </c>
      <c r="HOI69" s="61">
        <f t="shared" si="1630"/>
        <v>-65000000</v>
      </c>
      <c r="HOJ69" s="61">
        <f t="shared" si="1630"/>
        <v>-65000000</v>
      </c>
      <c r="HOK69" s="61">
        <f t="shared" si="1630"/>
        <v>-65000000</v>
      </c>
      <c r="HOL69" s="61">
        <f t="shared" si="1630"/>
        <v>-65000000</v>
      </c>
      <c r="HOM69" s="61">
        <f t="shared" si="1630"/>
        <v>-65000000</v>
      </c>
      <c r="HON69" s="61">
        <f t="shared" si="1630"/>
        <v>-65000000</v>
      </c>
      <c r="HOO69" s="61">
        <f t="shared" si="1630"/>
        <v>-65000000</v>
      </c>
      <c r="HOP69" s="61">
        <f t="shared" si="1630"/>
        <v>-65000000</v>
      </c>
      <c r="HOQ69" s="61">
        <f t="shared" si="1630"/>
        <v>-65000000</v>
      </c>
      <c r="HOR69" s="61">
        <f t="shared" si="1630"/>
        <v>-65000000</v>
      </c>
      <c r="HOS69" s="61">
        <f t="shared" si="1630"/>
        <v>-65000000</v>
      </c>
      <c r="HOT69" s="61">
        <f t="shared" si="1630"/>
        <v>-65000000</v>
      </c>
      <c r="HOU69" s="61">
        <f t="shared" si="1630"/>
        <v>-65000000</v>
      </c>
      <c r="HOV69" s="61">
        <f t="shared" si="1630"/>
        <v>-65000000</v>
      </c>
      <c r="HOW69" s="61">
        <f t="shared" si="1630"/>
        <v>-65000000</v>
      </c>
      <c r="HOX69" s="61">
        <f t="shared" si="1630"/>
        <v>-65000000</v>
      </c>
      <c r="HOY69" s="61">
        <f t="shared" si="1630"/>
        <v>-65000000</v>
      </c>
      <c r="HOZ69" s="61">
        <f t="shared" si="1630"/>
        <v>-65000000</v>
      </c>
      <c r="HPA69" s="61">
        <f t="shared" si="1630"/>
        <v>-65000000</v>
      </c>
      <c r="HPB69" s="61">
        <f t="shared" si="1630"/>
        <v>-65000000</v>
      </c>
      <c r="HPC69" s="61">
        <f t="shared" si="1630"/>
        <v>-65000000</v>
      </c>
      <c r="HPD69" s="61">
        <f t="shared" si="1630"/>
        <v>-65000000</v>
      </c>
      <c r="HPE69" s="61">
        <f t="shared" si="1630"/>
        <v>-65000000</v>
      </c>
      <c r="HPF69" s="61">
        <f t="shared" si="1630"/>
        <v>-65000000</v>
      </c>
      <c r="HPG69" s="61">
        <f t="shared" si="1630"/>
        <v>-65000000</v>
      </c>
      <c r="HPH69" s="61">
        <f t="shared" si="1630"/>
        <v>-65000000</v>
      </c>
      <c r="HPI69" s="61">
        <f t="shared" si="1630"/>
        <v>-65000000</v>
      </c>
      <c r="HPJ69" s="61">
        <f t="shared" si="1630"/>
        <v>-65000000</v>
      </c>
      <c r="HPK69" s="61">
        <f t="shared" si="1630"/>
        <v>-65000000</v>
      </c>
      <c r="HPL69" s="61">
        <f t="shared" si="1630"/>
        <v>-65000000</v>
      </c>
      <c r="HPM69" s="61">
        <f t="shared" si="1630"/>
        <v>-65000000</v>
      </c>
      <c r="HPN69" s="61">
        <f t="shared" si="1630"/>
        <v>-65000000</v>
      </c>
      <c r="HPO69" s="61">
        <f t="shared" si="1630"/>
        <v>-65000000</v>
      </c>
      <c r="HPP69" s="61">
        <f t="shared" si="1630"/>
        <v>-65000000</v>
      </c>
      <c r="HPQ69" s="61">
        <f t="shared" si="1630"/>
        <v>-65000000</v>
      </c>
      <c r="HPR69" s="61">
        <f t="shared" si="1630"/>
        <v>-65000000</v>
      </c>
      <c r="HPS69" s="61">
        <f t="shared" si="1630"/>
        <v>-65000000</v>
      </c>
      <c r="HPT69" s="61">
        <f t="shared" si="1630"/>
        <v>-65000000</v>
      </c>
      <c r="HPU69" s="61">
        <f t="shared" si="1630"/>
        <v>-65000000</v>
      </c>
      <c r="HPV69" s="61">
        <f t="shared" si="1630"/>
        <v>-65000000</v>
      </c>
      <c r="HPW69" s="61">
        <f t="shared" si="1630"/>
        <v>-65000000</v>
      </c>
      <c r="HPX69" s="61">
        <f t="shared" si="1630"/>
        <v>-65000000</v>
      </c>
      <c r="HPY69" s="61">
        <f t="shared" si="1630"/>
        <v>-65000000</v>
      </c>
      <c r="HPZ69" s="61">
        <f t="shared" si="1630"/>
        <v>-65000000</v>
      </c>
      <c r="HQA69" s="61">
        <f t="shared" si="1630"/>
        <v>-65000000</v>
      </c>
      <c r="HQB69" s="61">
        <f t="shared" si="1630"/>
        <v>-65000000</v>
      </c>
      <c r="HQC69" s="61">
        <f t="shared" si="1630"/>
        <v>-65000000</v>
      </c>
      <c r="HQD69" s="61">
        <f t="shared" si="1630"/>
        <v>-65000000</v>
      </c>
      <c r="HQE69" s="61">
        <f t="shared" ref="HQE69:HSP69" si="1631">HQE68-$EC$11-HQE11</f>
        <v>-65000000</v>
      </c>
      <c r="HQF69" s="61">
        <f t="shared" si="1631"/>
        <v>-65000000</v>
      </c>
      <c r="HQG69" s="61">
        <f t="shared" si="1631"/>
        <v>-65000000</v>
      </c>
      <c r="HQH69" s="61">
        <f t="shared" si="1631"/>
        <v>-65000000</v>
      </c>
      <c r="HQI69" s="61">
        <f t="shared" si="1631"/>
        <v>-65000000</v>
      </c>
      <c r="HQJ69" s="61">
        <f t="shared" si="1631"/>
        <v>-65000000</v>
      </c>
      <c r="HQK69" s="61">
        <f t="shared" si="1631"/>
        <v>-65000000</v>
      </c>
      <c r="HQL69" s="61">
        <f t="shared" si="1631"/>
        <v>-65000000</v>
      </c>
      <c r="HQM69" s="61">
        <f t="shared" si="1631"/>
        <v>-65000000</v>
      </c>
      <c r="HQN69" s="61">
        <f t="shared" si="1631"/>
        <v>-65000000</v>
      </c>
      <c r="HQO69" s="61">
        <f t="shared" si="1631"/>
        <v>-65000000</v>
      </c>
      <c r="HQP69" s="61">
        <f t="shared" si="1631"/>
        <v>-65000000</v>
      </c>
      <c r="HQQ69" s="61">
        <f t="shared" si="1631"/>
        <v>-65000000</v>
      </c>
      <c r="HQR69" s="61">
        <f t="shared" si="1631"/>
        <v>-65000000</v>
      </c>
      <c r="HQS69" s="61">
        <f t="shared" si="1631"/>
        <v>-65000000</v>
      </c>
      <c r="HQT69" s="61">
        <f t="shared" si="1631"/>
        <v>-65000000</v>
      </c>
      <c r="HQU69" s="61">
        <f t="shared" si="1631"/>
        <v>-65000000</v>
      </c>
      <c r="HQV69" s="61">
        <f t="shared" si="1631"/>
        <v>-65000000</v>
      </c>
      <c r="HQW69" s="61">
        <f t="shared" si="1631"/>
        <v>-65000000</v>
      </c>
      <c r="HQX69" s="61">
        <f t="shared" si="1631"/>
        <v>-65000000</v>
      </c>
      <c r="HQY69" s="61">
        <f t="shared" si="1631"/>
        <v>-65000000</v>
      </c>
      <c r="HQZ69" s="61">
        <f t="shared" si="1631"/>
        <v>-65000000</v>
      </c>
      <c r="HRA69" s="61">
        <f t="shared" si="1631"/>
        <v>-65000000</v>
      </c>
      <c r="HRB69" s="61">
        <f t="shared" si="1631"/>
        <v>-65000000</v>
      </c>
      <c r="HRC69" s="61">
        <f t="shared" si="1631"/>
        <v>-65000000</v>
      </c>
      <c r="HRD69" s="61">
        <f t="shared" si="1631"/>
        <v>-65000000</v>
      </c>
      <c r="HRE69" s="61">
        <f t="shared" si="1631"/>
        <v>-65000000</v>
      </c>
      <c r="HRF69" s="61">
        <f t="shared" si="1631"/>
        <v>-65000000</v>
      </c>
      <c r="HRG69" s="61">
        <f t="shared" si="1631"/>
        <v>-65000000</v>
      </c>
      <c r="HRH69" s="61">
        <f t="shared" si="1631"/>
        <v>-65000000</v>
      </c>
      <c r="HRI69" s="61">
        <f t="shared" si="1631"/>
        <v>-65000000</v>
      </c>
      <c r="HRJ69" s="61">
        <f t="shared" si="1631"/>
        <v>-65000000</v>
      </c>
      <c r="HRK69" s="61">
        <f t="shared" si="1631"/>
        <v>-65000000</v>
      </c>
      <c r="HRL69" s="61">
        <f t="shared" si="1631"/>
        <v>-65000000</v>
      </c>
      <c r="HRM69" s="61">
        <f t="shared" si="1631"/>
        <v>-65000000</v>
      </c>
      <c r="HRN69" s="61">
        <f t="shared" si="1631"/>
        <v>-65000000</v>
      </c>
      <c r="HRO69" s="61">
        <f t="shared" si="1631"/>
        <v>-65000000</v>
      </c>
      <c r="HRP69" s="61">
        <f t="shared" si="1631"/>
        <v>-65000000</v>
      </c>
      <c r="HRQ69" s="61">
        <f t="shared" si="1631"/>
        <v>-65000000</v>
      </c>
      <c r="HRR69" s="61">
        <f t="shared" si="1631"/>
        <v>-65000000</v>
      </c>
      <c r="HRS69" s="61">
        <f t="shared" si="1631"/>
        <v>-65000000</v>
      </c>
      <c r="HRT69" s="61">
        <f t="shared" si="1631"/>
        <v>-65000000</v>
      </c>
      <c r="HRU69" s="61">
        <f t="shared" si="1631"/>
        <v>-65000000</v>
      </c>
      <c r="HRV69" s="61">
        <f t="shared" si="1631"/>
        <v>-65000000</v>
      </c>
      <c r="HRW69" s="61">
        <f t="shared" si="1631"/>
        <v>-65000000</v>
      </c>
      <c r="HRX69" s="61">
        <f t="shared" si="1631"/>
        <v>-65000000</v>
      </c>
      <c r="HRY69" s="61">
        <f t="shared" si="1631"/>
        <v>-65000000</v>
      </c>
      <c r="HRZ69" s="61">
        <f t="shared" si="1631"/>
        <v>-65000000</v>
      </c>
      <c r="HSA69" s="61">
        <f t="shared" si="1631"/>
        <v>-65000000</v>
      </c>
      <c r="HSB69" s="61">
        <f t="shared" si="1631"/>
        <v>-65000000</v>
      </c>
      <c r="HSC69" s="61">
        <f t="shared" si="1631"/>
        <v>-65000000</v>
      </c>
      <c r="HSD69" s="61">
        <f t="shared" si="1631"/>
        <v>-65000000</v>
      </c>
      <c r="HSE69" s="61">
        <f t="shared" si="1631"/>
        <v>-65000000</v>
      </c>
      <c r="HSF69" s="61">
        <f t="shared" si="1631"/>
        <v>-65000000</v>
      </c>
      <c r="HSG69" s="61">
        <f t="shared" si="1631"/>
        <v>-65000000</v>
      </c>
      <c r="HSH69" s="61">
        <f t="shared" si="1631"/>
        <v>-65000000</v>
      </c>
      <c r="HSI69" s="61">
        <f t="shared" si="1631"/>
        <v>-65000000</v>
      </c>
      <c r="HSJ69" s="61">
        <f t="shared" si="1631"/>
        <v>-65000000</v>
      </c>
      <c r="HSK69" s="61">
        <f t="shared" si="1631"/>
        <v>-65000000</v>
      </c>
      <c r="HSL69" s="61">
        <f t="shared" si="1631"/>
        <v>-65000000</v>
      </c>
      <c r="HSM69" s="61">
        <f t="shared" si="1631"/>
        <v>-65000000</v>
      </c>
      <c r="HSN69" s="61">
        <f t="shared" si="1631"/>
        <v>-65000000</v>
      </c>
      <c r="HSO69" s="61">
        <f t="shared" si="1631"/>
        <v>-65000000</v>
      </c>
      <c r="HSP69" s="61">
        <f t="shared" si="1631"/>
        <v>-65000000</v>
      </c>
      <c r="HSQ69" s="61">
        <f t="shared" ref="HSQ69:HVB69" si="1632">HSQ68-$EC$11-HSQ11</f>
        <v>-65000000</v>
      </c>
      <c r="HSR69" s="61">
        <f t="shared" si="1632"/>
        <v>-65000000</v>
      </c>
      <c r="HSS69" s="61">
        <f t="shared" si="1632"/>
        <v>-65000000</v>
      </c>
      <c r="HST69" s="61">
        <f t="shared" si="1632"/>
        <v>-65000000</v>
      </c>
      <c r="HSU69" s="61">
        <f t="shared" si="1632"/>
        <v>-65000000</v>
      </c>
      <c r="HSV69" s="61">
        <f t="shared" si="1632"/>
        <v>-65000000</v>
      </c>
      <c r="HSW69" s="61">
        <f t="shared" si="1632"/>
        <v>-65000000</v>
      </c>
      <c r="HSX69" s="61">
        <f t="shared" si="1632"/>
        <v>-65000000</v>
      </c>
      <c r="HSY69" s="61">
        <f t="shared" si="1632"/>
        <v>-65000000</v>
      </c>
      <c r="HSZ69" s="61">
        <f t="shared" si="1632"/>
        <v>-65000000</v>
      </c>
      <c r="HTA69" s="61">
        <f t="shared" si="1632"/>
        <v>-65000000</v>
      </c>
      <c r="HTB69" s="61">
        <f t="shared" si="1632"/>
        <v>-65000000</v>
      </c>
      <c r="HTC69" s="61">
        <f t="shared" si="1632"/>
        <v>-65000000</v>
      </c>
      <c r="HTD69" s="61">
        <f t="shared" si="1632"/>
        <v>-65000000</v>
      </c>
      <c r="HTE69" s="61">
        <f t="shared" si="1632"/>
        <v>-65000000</v>
      </c>
      <c r="HTF69" s="61">
        <f t="shared" si="1632"/>
        <v>-65000000</v>
      </c>
      <c r="HTG69" s="61">
        <f t="shared" si="1632"/>
        <v>-65000000</v>
      </c>
      <c r="HTH69" s="61">
        <f t="shared" si="1632"/>
        <v>-65000000</v>
      </c>
      <c r="HTI69" s="61">
        <f t="shared" si="1632"/>
        <v>-65000000</v>
      </c>
      <c r="HTJ69" s="61">
        <f t="shared" si="1632"/>
        <v>-65000000</v>
      </c>
      <c r="HTK69" s="61">
        <f t="shared" si="1632"/>
        <v>-65000000</v>
      </c>
      <c r="HTL69" s="61">
        <f t="shared" si="1632"/>
        <v>-65000000</v>
      </c>
      <c r="HTM69" s="61">
        <f t="shared" si="1632"/>
        <v>-65000000</v>
      </c>
      <c r="HTN69" s="61">
        <f t="shared" si="1632"/>
        <v>-65000000</v>
      </c>
      <c r="HTO69" s="61">
        <f t="shared" si="1632"/>
        <v>-65000000</v>
      </c>
      <c r="HTP69" s="61">
        <f t="shared" si="1632"/>
        <v>-65000000</v>
      </c>
      <c r="HTQ69" s="61">
        <f t="shared" si="1632"/>
        <v>-65000000</v>
      </c>
      <c r="HTR69" s="61">
        <f t="shared" si="1632"/>
        <v>-65000000</v>
      </c>
      <c r="HTS69" s="61">
        <f t="shared" si="1632"/>
        <v>-65000000</v>
      </c>
      <c r="HTT69" s="61">
        <f t="shared" si="1632"/>
        <v>-65000000</v>
      </c>
      <c r="HTU69" s="61">
        <f t="shared" si="1632"/>
        <v>-65000000</v>
      </c>
      <c r="HTV69" s="61">
        <f t="shared" si="1632"/>
        <v>-65000000</v>
      </c>
      <c r="HTW69" s="61">
        <f t="shared" si="1632"/>
        <v>-65000000</v>
      </c>
      <c r="HTX69" s="61">
        <f t="shared" si="1632"/>
        <v>-65000000</v>
      </c>
      <c r="HTY69" s="61">
        <f t="shared" si="1632"/>
        <v>-65000000</v>
      </c>
      <c r="HTZ69" s="61">
        <f t="shared" si="1632"/>
        <v>-65000000</v>
      </c>
      <c r="HUA69" s="61">
        <f t="shared" si="1632"/>
        <v>-65000000</v>
      </c>
      <c r="HUB69" s="61">
        <f t="shared" si="1632"/>
        <v>-65000000</v>
      </c>
      <c r="HUC69" s="61">
        <f t="shared" si="1632"/>
        <v>-65000000</v>
      </c>
      <c r="HUD69" s="61">
        <f t="shared" si="1632"/>
        <v>-65000000</v>
      </c>
      <c r="HUE69" s="61">
        <f t="shared" si="1632"/>
        <v>-65000000</v>
      </c>
      <c r="HUF69" s="61">
        <f t="shared" si="1632"/>
        <v>-65000000</v>
      </c>
      <c r="HUG69" s="61">
        <f t="shared" si="1632"/>
        <v>-65000000</v>
      </c>
      <c r="HUH69" s="61">
        <f t="shared" si="1632"/>
        <v>-65000000</v>
      </c>
      <c r="HUI69" s="61">
        <f t="shared" si="1632"/>
        <v>-65000000</v>
      </c>
      <c r="HUJ69" s="61">
        <f t="shared" si="1632"/>
        <v>-65000000</v>
      </c>
      <c r="HUK69" s="61">
        <f t="shared" si="1632"/>
        <v>-65000000</v>
      </c>
      <c r="HUL69" s="61">
        <f t="shared" si="1632"/>
        <v>-65000000</v>
      </c>
      <c r="HUM69" s="61">
        <f t="shared" si="1632"/>
        <v>-65000000</v>
      </c>
      <c r="HUN69" s="61">
        <f t="shared" si="1632"/>
        <v>-65000000</v>
      </c>
      <c r="HUO69" s="61">
        <f t="shared" si="1632"/>
        <v>-65000000</v>
      </c>
      <c r="HUP69" s="61">
        <f t="shared" si="1632"/>
        <v>-65000000</v>
      </c>
      <c r="HUQ69" s="61">
        <f t="shared" si="1632"/>
        <v>-65000000</v>
      </c>
      <c r="HUR69" s="61">
        <f t="shared" si="1632"/>
        <v>-65000000</v>
      </c>
      <c r="HUS69" s="61">
        <f t="shared" si="1632"/>
        <v>-65000000</v>
      </c>
      <c r="HUT69" s="61">
        <f t="shared" si="1632"/>
        <v>-65000000</v>
      </c>
      <c r="HUU69" s="61">
        <f t="shared" si="1632"/>
        <v>-65000000</v>
      </c>
      <c r="HUV69" s="61">
        <f t="shared" si="1632"/>
        <v>-65000000</v>
      </c>
      <c r="HUW69" s="61">
        <f t="shared" si="1632"/>
        <v>-65000000</v>
      </c>
      <c r="HUX69" s="61">
        <f t="shared" si="1632"/>
        <v>-65000000</v>
      </c>
      <c r="HUY69" s="61">
        <f t="shared" si="1632"/>
        <v>-65000000</v>
      </c>
      <c r="HUZ69" s="61">
        <f t="shared" si="1632"/>
        <v>-65000000</v>
      </c>
      <c r="HVA69" s="61">
        <f t="shared" si="1632"/>
        <v>-65000000</v>
      </c>
      <c r="HVB69" s="61">
        <f t="shared" si="1632"/>
        <v>-65000000</v>
      </c>
      <c r="HVC69" s="61">
        <f t="shared" ref="HVC69:HXN69" si="1633">HVC68-$EC$11-HVC11</f>
        <v>-65000000</v>
      </c>
      <c r="HVD69" s="61">
        <f t="shared" si="1633"/>
        <v>-65000000</v>
      </c>
      <c r="HVE69" s="61">
        <f t="shared" si="1633"/>
        <v>-65000000</v>
      </c>
      <c r="HVF69" s="61">
        <f t="shared" si="1633"/>
        <v>-65000000</v>
      </c>
      <c r="HVG69" s="61">
        <f t="shared" si="1633"/>
        <v>-65000000</v>
      </c>
      <c r="HVH69" s="61">
        <f t="shared" si="1633"/>
        <v>-65000000</v>
      </c>
      <c r="HVI69" s="61">
        <f t="shared" si="1633"/>
        <v>-65000000</v>
      </c>
      <c r="HVJ69" s="61">
        <f t="shared" si="1633"/>
        <v>-65000000</v>
      </c>
      <c r="HVK69" s="61">
        <f t="shared" si="1633"/>
        <v>-65000000</v>
      </c>
      <c r="HVL69" s="61">
        <f t="shared" si="1633"/>
        <v>-65000000</v>
      </c>
      <c r="HVM69" s="61">
        <f t="shared" si="1633"/>
        <v>-65000000</v>
      </c>
      <c r="HVN69" s="61">
        <f t="shared" si="1633"/>
        <v>-65000000</v>
      </c>
      <c r="HVO69" s="61">
        <f t="shared" si="1633"/>
        <v>-65000000</v>
      </c>
      <c r="HVP69" s="61">
        <f t="shared" si="1633"/>
        <v>-65000000</v>
      </c>
      <c r="HVQ69" s="61">
        <f t="shared" si="1633"/>
        <v>-65000000</v>
      </c>
      <c r="HVR69" s="61">
        <f t="shared" si="1633"/>
        <v>-65000000</v>
      </c>
      <c r="HVS69" s="61">
        <f t="shared" si="1633"/>
        <v>-65000000</v>
      </c>
      <c r="HVT69" s="61">
        <f t="shared" si="1633"/>
        <v>-65000000</v>
      </c>
      <c r="HVU69" s="61">
        <f t="shared" si="1633"/>
        <v>-65000000</v>
      </c>
      <c r="HVV69" s="61">
        <f t="shared" si="1633"/>
        <v>-65000000</v>
      </c>
      <c r="HVW69" s="61">
        <f t="shared" si="1633"/>
        <v>-65000000</v>
      </c>
      <c r="HVX69" s="61">
        <f t="shared" si="1633"/>
        <v>-65000000</v>
      </c>
      <c r="HVY69" s="61">
        <f t="shared" si="1633"/>
        <v>-65000000</v>
      </c>
      <c r="HVZ69" s="61">
        <f t="shared" si="1633"/>
        <v>-65000000</v>
      </c>
      <c r="HWA69" s="61">
        <f t="shared" si="1633"/>
        <v>-65000000</v>
      </c>
      <c r="HWB69" s="61">
        <f t="shared" si="1633"/>
        <v>-65000000</v>
      </c>
      <c r="HWC69" s="61">
        <f t="shared" si="1633"/>
        <v>-65000000</v>
      </c>
      <c r="HWD69" s="61">
        <f t="shared" si="1633"/>
        <v>-65000000</v>
      </c>
      <c r="HWE69" s="61">
        <f t="shared" si="1633"/>
        <v>-65000000</v>
      </c>
      <c r="HWF69" s="61">
        <f t="shared" si="1633"/>
        <v>-65000000</v>
      </c>
      <c r="HWG69" s="61">
        <f t="shared" si="1633"/>
        <v>-65000000</v>
      </c>
      <c r="HWH69" s="61">
        <f t="shared" si="1633"/>
        <v>-65000000</v>
      </c>
      <c r="HWI69" s="61">
        <f t="shared" si="1633"/>
        <v>-65000000</v>
      </c>
      <c r="HWJ69" s="61">
        <f t="shared" si="1633"/>
        <v>-65000000</v>
      </c>
      <c r="HWK69" s="61">
        <f t="shared" si="1633"/>
        <v>-65000000</v>
      </c>
      <c r="HWL69" s="61">
        <f t="shared" si="1633"/>
        <v>-65000000</v>
      </c>
      <c r="HWM69" s="61">
        <f t="shared" si="1633"/>
        <v>-65000000</v>
      </c>
      <c r="HWN69" s="61">
        <f t="shared" si="1633"/>
        <v>-65000000</v>
      </c>
      <c r="HWO69" s="61">
        <f t="shared" si="1633"/>
        <v>-65000000</v>
      </c>
      <c r="HWP69" s="61">
        <f t="shared" si="1633"/>
        <v>-65000000</v>
      </c>
      <c r="HWQ69" s="61">
        <f t="shared" si="1633"/>
        <v>-65000000</v>
      </c>
      <c r="HWR69" s="61">
        <f t="shared" si="1633"/>
        <v>-65000000</v>
      </c>
      <c r="HWS69" s="61">
        <f t="shared" si="1633"/>
        <v>-65000000</v>
      </c>
      <c r="HWT69" s="61">
        <f t="shared" si="1633"/>
        <v>-65000000</v>
      </c>
      <c r="HWU69" s="61">
        <f t="shared" si="1633"/>
        <v>-65000000</v>
      </c>
      <c r="HWV69" s="61">
        <f t="shared" si="1633"/>
        <v>-65000000</v>
      </c>
      <c r="HWW69" s="61">
        <f t="shared" si="1633"/>
        <v>-65000000</v>
      </c>
      <c r="HWX69" s="61">
        <f t="shared" si="1633"/>
        <v>-65000000</v>
      </c>
      <c r="HWY69" s="61">
        <f t="shared" si="1633"/>
        <v>-65000000</v>
      </c>
      <c r="HWZ69" s="61">
        <f t="shared" si="1633"/>
        <v>-65000000</v>
      </c>
      <c r="HXA69" s="61">
        <f t="shared" si="1633"/>
        <v>-65000000</v>
      </c>
      <c r="HXB69" s="61">
        <f t="shared" si="1633"/>
        <v>-65000000</v>
      </c>
      <c r="HXC69" s="61">
        <f t="shared" si="1633"/>
        <v>-65000000</v>
      </c>
      <c r="HXD69" s="61">
        <f t="shared" si="1633"/>
        <v>-65000000</v>
      </c>
      <c r="HXE69" s="61">
        <f t="shared" si="1633"/>
        <v>-65000000</v>
      </c>
      <c r="HXF69" s="61">
        <f t="shared" si="1633"/>
        <v>-65000000</v>
      </c>
      <c r="HXG69" s="61">
        <f t="shared" si="1633"/>
        <v>-65000000</v>
      </c>
      <c r="HXH69" s="61">
        <f t="shared" si="1633"/>
        <v>-65000000</v>
      </c>
      <c r="HXI69" s="61">
        <f t="shared" si="1633"/>
        <v>-65000000</v>
      </c>
      <c r="HXJ69" s="61">
        <f t="shared" si="1633"/>
        <v>-65000000</v>
      </c>
      <c r="HXK69" s="61">
        <f t="shared" si="1633"/>
        <v>-65000000</v>
      </c>
      <c r="HXL69" s="61">
        <f t="shared" si="1633"/>
        <v>-65000000</v>
      </c>
      <c r="HXM69" s="61">
        <f t="shared" si="1633"/>
        <v>-65000000</v>
      </c>
      <c r="HXN69" s="61">
        <f t="shared" si="1633"/>
        <v>-65000000</v>
      </c>
      <c r="HXO69" s="61">
        <f t="shared" ref="HXO69:HZZ69" si="1634">HXO68-$EC$11-HXO11</f>
        <v>-65000000</v>
      </c>
      <c r="HXP69" s="61">
        <f t="shared" si="1634"/>
        <v>-65000000</v>
      </c>
      <c r="HXQ69" s="61">
        <f t="shared" si="1634"/>
        <v>-65000000</v>
      </c>
      <c r="HXR69" s="61">
        <f t="shared" si="1634"/>
        <v>-65000000</v>
      </c>
      <c r="HXS69" s="61">
        <f t="shared" si="1634"/>
        <v>-65000000</v>
      </c>
      <c r="HXT69" s="61">
        <f t="shared" si="1634"/>
        <v>-65000000</v>
      </c>
      <c r="HXU69" s="61">
        <f t="shared" si="1634"/>
        <v>-65000000</v>
      </c>
      <c r="HXV69" s="61">
        <f t="shared" si="1634"/>
        <v>-65000000</v>
      </c>
      <c r="HXW69" s="61">
        <f t="shared" si="1634"/>
        <v>-65000000</v>
      </c>
      <c r="HXX69" s="61">
        <f t="shared" si="1634"/>
        <v>-65000000</v>
      </c>
      <c r="HXY69" s="61">
        <f t="shared" si="1634"/>
        <v>-65000000</v>
      </c>
      <c r="HXZ69" s="61">
        <f t="shared" si="1634"/>
        <v>-65000000</v>
      </c>
      <c r="HYA69" s="61">
        <f t="shared" si="1634"/>
        <v>-65000000</v>
      </c>
      <c r="HYB69" s="61">
        <f t="shared" si="1634"/>
        <v>-65000000</v>
      </c>
      <c r="HYC69" s="61">
        <f t="shared" si="1634"/>
        <v>-65000000</v>
      </c>
      <c r="HYD69" s="61">
        <f t="shared" si="1634"/>
        <v>-65000000</v>
      </c>
      <c r="HYE69" s="61">
        <f t="shared" si="1634"/>
        <v>-65000000</v>
      </c>
      <c r="HYF69" s="61">
        <f t="shared" si="1634"/>
        <v>-65000000</v>
      </c>
      <c r="HYG69" s="61">
        <f t="shared" si="1634"/>
        <v>-65000000</v>
      </c>
      <c r="HYH69" s="61">
        <f t="shared" si="1634"/>
        <v>-65000000</v>
      </c>
      <c r="HYI69" s="61">
        <f t="shared" si="1634"/>
        <v>-65000000</v>
      </c>
      <c r="HYJ69" s="61">
        <f t="shared" si="1634"/>
        <v>-65000000</v>
      </c>
      <c r="HYK69" s="61">
        <f t="shared" si="1634"/>
        <v>-65000000</v>
      </c>
      <c r="HYL69" s="61">
        <f t="shared" si="1634"/>
        <v>-65000000</v>
      </c>
      <c r="HYM69" s="61">
        <f t="shared" si="1634"/>
        <v>-65000000</v>
      </c>
      <c r="HYN69" s="61">
        <f t="shared" si="1634"/>
        <v>-65000000</v>
      </c>
      <c r="HYO69" s="61">
        <f t="shared" si="1634"/>
        <v>-65000000</v>
      </c>
      <c r="HYP69" s="61">
        <f t="shared" si="1634"/>
        <v>-65000000</v>
      </c>
      <c r="HYQ69" s="61">
        <f t="shared" si="1634"/>
        <v>-65000000</v>
      </c>
      <c r="HYR69" s="61">
        <f t="shared" si="1634"/>
        <v>-65000000</v>
      </c>
      <c r="HYS69" s="61">
        <f t="shared" si="1634"/>
        <v>-65000000</v>
      </c>
      <c r="HYT69" s="61">
        <f t="shared" si="1634"/>
        <v>-65000000</v>
      </c>
      <c r="HYU69" s="61">
        <f t="shared" si="1634"/>
        <v>-65000000</v>
      </c>
      <c r="HYV69" s="61">
        <f t="shared" si="1634"/>
        <v>-65000000</v>
      </c>
      <c r="HYW69" s="61">
        <f t="shared" si="1634"/>
        <v>-65000000</v>
      </c>
      <c r="HYX69" s="61">
        <f t="shared" si="1634"/>
        <v>-65000000</v>
      </c>
      <c r="HYY69" s="61">
        <f t="shared" si="1634"/>
        <v>-65000000</v>
      </c>
      <c r="HYZ69" s="61">
        <f t="shared" si="1634"/>
        <v>-65000000</v>
      </c>
      <c r="HZA69" s="61">
        <f t="shared" si="1634"/>
        <v>-65000000</v>
      </c>
      <c r="HZB69" s="61">
        <f t="shared" si="1634"/>
        <v>-65000000</v>
      </c>
      <c r="HZC69" s="61">
        <f t="shared" si="1634"/>
        <v>-65000000</v>
      </c>
      <c r="HZD69" s="61">
        <f t="shared" si="1634"/>
        <v>-65000000</v>
      </c>
      <c r="HZE69" s="61">
        <f t="shared" si="1634"/>
        <v>-65000000</v>
      </c>
      <c r="HZF69" s="61">
        <f t="shared" si="1634"/>
        <v>-65000000</v>
      </c>
      <c r="HZG69" s="61">
        <f t="shared" si="1634"/>
        <v>-65000000</v>
      </c>
      <c r="HZH69" s="61">
        <f t="shared" si="1634"/>
        <v>-65000000</v>
      </c>
      <c r="HZI69" s="61">
        <f t="shared" si="1634"/>
        <v>-65000000</v>
      </c>
      <c r="HZJ69" s="61">
        <f t="shared" si="1634"/>
        <v>-65000000</v>
      </c>
      <c r="HZK69" s="61">
        <f t="shared" si="1634"/>
        <v>-65000000</v>
      </c>
      <c r="HZL69" s="61">
        <f t="shared" si="1634"/>
        <v>-65000000</v>
      </c>
      <c r="HZM69" s="61">
        <f t="shared" si="1634"/>
        <v>-65000000</v>
      </c>
      <c r="HZN69" s="61">
        <f t="shared" si="1634"/>
        <v>-65000000</v>
      </c>
      <c r="HZO69" s="61">
        <f t="shared" si="1634"/>
        <v>-65000000</v>
      </c>
      <c r="HZP69" s="61">
        <f t="shared" si="1634"/>
        <v>-65000000</v>
      </c>
      <c r="HZQ69" s="61">
        <f t="shared" si="1634"/>
        <v>-65000000</v>
      </c>
      <c r="HZR69" s="61">
        <f t="shared" si="1634"/>
        <v>-65000000</v>
      </c>
      <c r="HZS69" s="61">
        <f t="shared" si="1634"/>
        <v>-65000000</v>
      </c>
      <c r="HZT69" s="61">
        <f t="shared" si="1634"/>
        <v>-65000000</v>
      </c>
      <c r="HZU69" s="61">
        <f t="shared" si="1634"/>
        <v>-65000000</v>
      </c>
      <c r="HZV69" s="61">
        <f t="shared" si="1634"/>
        <v>-65000000</v>
      </c>
      <c r="HZW69" s="61">
        <f t="shared" si="1634"/>
        <v>-65000000</v>
      </c>
      <c r="HZX69" s="61">
        <f t="shared" si="1634"/>
        <v>-65000000</v>
      </c>
      <c r="HZY69" s="61">
        <f t="shared" si="1634"/>
        <v>-65000000</v>
      </c>
      <c r="HZZ69" s="61">
        <f t="shared" si="1634"/>
        <v>-65000000</v>
      </c>
      <c r="IAA69" s="61">
        <f t="shared" ref="IAA69:ICL69" si="1635">IAA68-$EC$11-IAA11</f>
        <v>-65000000</v>
      </c>
      <c r="IAB69" s="61">
        <f t="shared" si="1635"/>
        <v>-65000000</v>
      </c>
      <c r="IAC69" s="61">
        <f t="shared" si="1635"/>
        <v>-65000000</v>
      </c>
      <c r="IAD69" s="61">
        <f t="shared" si="1635"/>
        <v>-65000000</v>
      </c>
      <c r="IAE69" s="61">
        <f t="shared" si="1635"/>
        <v>-65000000</v>
      </c>
      <c r="IAF69" s="61">
        <f t="shared" si="1635"/>
        <v>-65000000</v>
      </c>
      <c r="IAG69" s="61">
        <f t="shared" si="1635"/>
        <v>-65000000</v>
      </c>
      <c r="IAH69" s="61">
        <f t="shared" si="1635"/>
        <v>-65000000</v>
      </c>
      <c r="IAI69" s="61">
        <f t="shared" si="1635"/>
        <v>-65000000</v>
      </c>
      <c r="IAJ69" s="61">
        <f t="shared" si="1635"/>
        <v>-65000000</v>
      </c>
      <c r="IAK69" s="61">
        <f t="shared" si="1635"/>
        <v>-65000000</v>
      </c>
      <c r="IAL69" s="61">
        <f t="shared" si="1635"/>
        <v>-65000000</v>
      </c>
      <c r="IAM69" s="61">
        <f t="shared" si="1635"/>
        <v>-65000000</v>
      </c>
      <c r="IAN69" s="61">
        <f t="shared" si="1635"/>
        <v>-65000000</v>
      </c>
      <c r="IAO69" s="61">
        <f t="shared" si="1635"/>
        <v>-65000000</v>
      </c>
      <c r="IAP69" s="61">
        <f t="shared" si="1635"/>
        <v>-65000000</v>
      </c>
      <c r="IAQ69" s="61">
        <f t="shared" si="1635"/>
        <v>-65000000</v>
      </c>
      <c r="IAR69" s="61">
        <f t="shared" si="1635"/>
        <v>-65000000</v>
      </c>
      <c r="IAS69" s="61">
        <f t="shared" si="1635"/>
        <v>-65000000</v>
      </c>
      <c r="IAT69" s="61">
        <f t="shared" si="1635"/>
        <v>-65000000</v>
      </c>
      <c r="IAU69" s="61">
        <f t="shared" si="1635"/>
        <v>-65000000</v>
      </c>
      <c r="IAV69" s="61">
        <f t="shared" si="1635"/>
        <v>-65000000</v>
      </c>
      <c r="IAW69" s="61">
        <f t="shared" si="1635"/>
        <v>-65000000</v>
      </c>
      <c r="IAX69" s="61">
        <f t="shared" si="1635"/>
        <v>-65000000</v>
      </c>
      <c r="IAY69" s="61">
        <f t="shared" si="1635"/>
        <v>-65000000</v>
      </c>
      <c r="IAZ69" s="61">
        <f t="shared" si="1635"/>
        <v>-65000000</v>
      </c>
      <c r="IBA69" s="61">
        <f t="shared" si="1635"/>
        <v>-65000000</v>
      </c>
      <c r="IBB69" s="61">
        <f t="shared" si="1635"/>
        <v>-65000000</v>
      </c>
      <c r="IBC69" s="61">
        <f t="shared" si="1635"/>
        <v>-65000000</v>
      </c>
      <c r="IBD69" s="61">
        <f t="shared" si="1635"/>
        <v>-65000000</v>
      </c>
      <c r="IBE69" s="61">
        <f t="shared" si="1635"/>
        <v>-65000000</v>
      </c>
      <c r="IBF69" s="61">
        <f t="shared" si="1635"/>
        <v>-65000000</v>
      </c>
      <c r="IBG69" s="61">
        <f t="shared" si="1635"/>
        <v>-65000000</v>
      </c>
      <c r="IBH69" s="61">
        <f t="shared" si="1635"/>
        <v>-65000000</v>
      </c>
      <c r="IBI69" s="61">
        <f t="shared" si="1635"/>
        <v>-65000000</v>
      </c>
      <c r="IBJ69" s="61">
        <f t="shared" si="1635"/>
        <v>-65000000</v>
      </c>
      <c r="IBK69" s="61">
        <f t="shared" si="1635"/>
        <v>-65000000</v>
      </c>
      <c r="IBL69" s="61">
        <f t="shared" si="1635"/>
        <v>-65000000</v>
      </c>
      <c r="IBM69" s="61">
        <f t="shared" si="1635"/>
        <v>-65000000</v>
      </c>
      <c r="IBN69" s="61">
        <f t="shared" si="1635"/>
        <v>-65000000</v>
      </c>
      <c r="IBO69" s="61">
        <f t="shared" si="1635"/>
        <v>-65000000</v>
      </c>
      <c r="IBP69" s="61">
        <f t="shared" si="1635"/>
        <v>-65000000</v>
      </c>
      <c r="IBQ69" s="61">
        <f t="shared" si="1635"/>
        <v>-65000000</v>
      </c>
      <c r="IBR69" s="61">
        <f t="shared" si="1635"/>
        <v>-65000000</v>
      </c>
      <c r="IBS69" s="61">
        <f t="shared" si="1635"/>
        <v>-65000000</v>
      </c>
      <c r="IBT69" s="61">
        <f t="shared" si="1635"/>
        <v>-65000000</v>
      </c>
      <c r="IBU69" s="61">
        <f t="shared" si="1635"/>
        <v>-65000000</v>
      </c>
      <c r="IBV69" s="61">
        <f t="shared" si="1635"/>
        <v>-65000000</v>
      </c>
      <c r="IBW69" s="61">
        <f t="shared" si="1635"/>
        <v>-65000000</v>
      </c>
      <c r="IBX69" s="61">
        <f t="shared" si="1635"/>
        <v>-65000000</v>
      </c>
      <c r="IBY69" s="61">
        <f t="shared" si="1635"/>
        <v>-65000000</v>
      </c>
      <c r="IBZ69" s="61">
        <f t="shared" si="1635"/>
        <v>-65000000</v>
      </c>
      <c r="ICA69" s="61">
        <f t="shared" si="1635"/>
        <v>-65000000</v>
      </c>
      <c r="ICB69" s="61">
        <f t="shared" si="1635"/>
        <v>-65000000</v>
      </c>
      <c r="ICC69" s="61">
        <f t="shared" si="1635"/>
        <v>-65000000</v>
      </c>
      <c r="ICD69" s="61">
        <f t="shared" si="1635"/>
        <v>-65000000</v>
      </c>
      <c r="ICE69" s="61">
        <f t="shared" si="1635"/>
        <v>-65000000</v>
      </c>
      <c r="ICF69" s="61">
        <f t="shared" si="1635"/>
        <v>-65000000</v>
      </c>
      <c r="ICG69" s="61">
        <f t="shared" si="1635"/>
        <v>-65000000</v>
      </c>
      <c r="ICH69" s="61">
        <f t="shared" si="1635"/>
        <v>-65000000</v>
      </c>
      <c r="ICI69" s="61">
        <f t="shared" si="1635"/>
        <v>-65000000</v>
      </c>
      <c r="ICJ69" s="61">
        <f t="shared" si="1635"/>
        <v>-65000000</v>
      </c>
      <c r="ICK69" s="61">
        <f t="shared" si="1635"/>
        <v>-65000000</v>
      </c>
      <c r="ICL69" s="61">
        <f t="shared" si="1635"/>
        <v>-65000000</v>
      </c>
      <c r="ICM69" s="61">
        <f t="shared" ref="ICM69:IEX69" si="1636">ICM68-$EC$11-ICM11</f>
        <v>-65000000</v>
      </c>
      <c r="ICN69" s="61">
        <f t="shared" si="1636"/>
        <v>-65000000</v>
      </c>
      <c r="ICO69" s="61">
        <f t="shared" si="1636"/>
        <v>-65000000</v>
      </c>
      <c r="ICP69" s="61">
        <f t="shared" si="1636"/>
        <v>-65000000</v>
      </c>
      <c r="ICQ69" s="61">
        <f t="shared" si="1636"/>
        <v>-65000000</v>
      </c>
      <c r="ICR69" s="61">
        <f t="shared" si="1636"/>
        <v>-65000000</v>
      </c>
      <c r="ICS69" s="61">
        <f t="shared" si="1636"/>
        <v>-65000000</v>
      </c>
      <c r="ICT69" s="61">
        <f t="shared" si="1636"/>
        <v>-65000000</v>
      </c>
      <c r="ICU69" s="61">
        <f t="shared" si="1636"/>
        <v>-65000000</v>
      </c>
      <c r="ICV69" s="61">
        <f t="shared" si="1636"/>
        <v>-65000000</v>
      </c>
      <c r="ICW69" s="61">
        <f t="shared" si="1636"/>
        <v>-65000000</v>
      </c>
      <c r="ICX69" s="61">
        <f t="shared" si="1636"/>
        <v>-65000000</v>
      </c>
      <c r="ICY69" s="61">
        <f t="shared" si="1636"/>
        <v>-65000000</v>
      </c>
      <c r="ICZ69" s="61">
        <f t="shared" si="1636"/>
        <v>-65000000</v>
      </c>
      <c r="IDA69" s="61">
        <f t="shared" si="1636"/>
        <v>-65000000</v>
      </c>
      <c r="IDB69" s="61">
        <f t="shared" si="1636"/>
        <v>-65000000</v>
      </c>
      <c r="IDC69" s="61">
        <f t="shared" si="1636"/>
        <v>-65000000</v>
      </c>
      <c r="IDD69" s="61">
        <f t="shared" si="1636"/>
        <v>-65000000</v>
      </c>
      <c r="IDE69" s="61">
        <f t="shared" si="1636"/>
        <v>-65000000</v>
      </c>
      <c r="IDF69" s="61">
        <f t="shared" si="1636"/>
        <v>-65000000</v>
      </c>
      <c r="IDG69" s="61">
        <f t="shared" si="1636"/>
        <v>-65000000</v>
      </c>
      <c r="IDH69" s="61">
        <f t="shared" si="1636"/>
        <v>-65000000</v>
      </c>
      <c r="IDI69" s="61">
        <f t="shared" si="1636"/>
        <v>-65000000</v>
      </c>
      <c r="IDJ69" s="61">
        <f t="shared" si="1636"/>
        <v>-65000000</v>
      </c>
      <c r="IDK69" s="61">
        <f t="shared" si="1636"/>
        <v>-65000000</v>
      </c>
      <c r="IDL69" s="61">
        <f t="shared" si="1636"/>
        <v>-65000000</v>
      </c>
      <c r="IDM69" s="61">
        <f t="shared" si="1636"/>
        <v>-65000000</v>
      </c>
      <c r="IDN69" s="61">
        <f t="shared" si="1636"/>
        <v>-65000000</v>
      </c>
      <c r="IDO69" s="61">
        <f t="shared" si="1636"/>
        <v>-65000000</v>
      </c>
      <c r="IDP69" s="61">
        <f t="shared" si="1636"/>
        <v>-65000000</v>
      </c>
      <c r="IDQ69" s="61">
        <f t="shared" si="1636"/>
        <v>-65000000</v>
      </c>
      <c r="IDR69" s="61">
        <f t="shared" si="1636"/>
        <v>-65000000</v>
      </c>
      <c r="IDS69" s="61">
        <f t="shared" si="1636"/>
        <v>-65000000</v>
      </c>
      <c r="IDT69" s="61">
        <f t="shared" si="1636"/>
        <v>-65000000</v>
      </c>
      <c r="IDU69" s="61">
        <f t="shared" si="1636"/>
        <v>-65000000</v>
      </c>
      <c r="IDV69" s="61">
        <f t="shared" si="1636"/>
        <v>-65000000</v>
      </c>
      <c r="IDW69" s="61">
        <f t="shared" si="1636"/>
        <v>-65000000</v>
      </c>
      <c r="IDX69" s="61">
        <f t="shared" si="1636"/>
        <v>-65000000</v>
      </c>
      <c r="IDY69" s="61">
        <f t="shared" si="1636"/>
        <v>-65000000</v>
      </c>
      <c r="IDZ69" s="61">
        <f t="shared" si="1636"/>
        <v>-65000000</v>
      </c>
      <c r="IEA69" s="61">
        <f t="shared" si="1636"/>
        <v>-65000000</v>
      </c>
      <c r="IEB69" s="61">
        <f t="shared" si="1636"/>
        <v>-65000000</v>
      </c>
      <c r="IEC69" s="61">
        <f t="shared" si="1636"/>
        <v>-65000000</v>
      </c>
      <c r="IED69" s="61">
        <f t="shared" si="1636"/>
        <v>-65000000</v>
      </c>
      <c r="IEE69" s="61">
        <f t="shared" si="1636"/>
        <v>-65000000</v>
      </c>
      <c r="IEF69" s="61">
        <f t="shared" si="1636"/>
        <v>-65000000</v>
      </c>
      <c r="IEG69" s="61">
        <f t="shared" si="1636"/>
        <v>-65000000</v>
      </c>
      <c r="IEH69" s="61">
        <f t="shared" si="1636"/>
        <v>-65000000</v>
      </c>
      <c r="IEI69" s="61">
        <f t="shared" si="1636"/>
        <v>-65000000</v>
      </c>
      <c r="IEJ69" s="61">
        <f t="shared" si="1636"/>
        <v>-65000000</v>
      </c>
      <c r="IEK69" s="61">
        <f t="shared" si="1636"/>
        <v>-65000000</v>
      </c>
      <c r="IEL69" s="61">
        <f t="shared" si="1636"/>
        <v>-65000000</v>
      </c>
      <c r="IEM69" s="61">
        <f t="shared" si="1636"/>
        <v>-65000000</v>
      </c>
      <c r="IEN69" s="61">
        <f t="shared" si="1636"/>
        <v>-65000000</v>
      </c>
      <c r="IEO69" s="61">
        <f t="shared" si="1636"/>
        <v>-65000000</v>
      </c>
      <c r="IEP69" s="61">
        <f t="shared" si="1636"/>
        <v>-65000000</v>
      </c>
      <c r="IEQ69" s="61">
        <f t="shared" si="1636"/>
        <v>-65000000</v>
      </c>
      <c r="IER69" s="61">
        <f t="shared" si="1636"/>
        <v>-65000000</v>
      </c>
      <c r="IES69" s="61">
        <f t="shared" si="1636"/>
        <v>-65000000</v>
      </c>
      <c r="IET69" s="61">
        <f t="shared" si="1636"/>
        <v>-65000000</v>
      </c>
      <c r="IEU69" s="61">
        <f t="shared" si="1636"/>
        <v>-65000000</v>
      </c>
      <c r="IEV69" s="61">
        <f t="shared" si="1636"/>
        <v>-65000000</v>
      </c>
      <c r="IEW69" s="61">
        <f t="shared" si="1636"/>
        <v>-65000000</v>
      </c>
      <c r="IEX69" s="61">
        <f t="shared" si="1636"/>
        <v>-65000000</v>
      </c>
      <c r="IEY69" s="61">
        <f t="shared" ref="IEY69:IHJ69" si="1637">IEY68-$EC$11-IEY11</f>
        <v>-65000000</v>
      </c>
      <c r="IEZ69" s="61">
        <f t="shared" si="1637"/>
        <v>-65000000</v>
      </c>
      <c r="IFA69" s="61">
        <f t="shared" si="1637"/>
        <v>-65000000</v>
      </c>
      <c r="IFB69" s="61">
        <f t="shared" si="1637"/>
        <v>-65000000</v>
      </c>
      <c r="IFC69" s="61">
        <f t="shared" si="1637"/>
        <v>-65000000</v>
      </c>
      <c r="IFD69" s="61">
        <f t="shared" si="1637"/>
        <v>-65000000</v>
      </c>
      <c r="IFE69" s="61">
        <f t="shared" si="1637"/>
        <v>-65000000</v>
      </c>
      <c r="IFF69" s="61">
        <f t="shared" si="1637"/>
        <v>-65000000</v>
      </c>
      <c r="IFG69" s="61">
        <f t="shared" si="1637"/>
        <v>-65000000</v>
      </c>
      <c r="IFH69" s="61">
        <f t="shared" si="1637"/>
        <v>-65000000</v>
      </c>
      <c r="IFI69" s="61">
        <f t="shared" si="1637"/>
        <v>-65000000</v>
      </c>
      <c r="IFJ69" s="61">
        <f t="shared" si="1637"/>
        <v>-65000000</v>
      </c>
      <c r="IFK69" s="61">
        <f t="shared" si="1637"/>
        <v>-65000000</v>
      </c>
      <c r="IFL69" s="61">
        <f t="shared" si="1637"/>
        <v>-65000000</v>
      </c>
      <c r="IFM69" s="61">
        <f t="shared" si="1637"/>
        <v>-65000000</v>
      </c>
      <c r="IFN69" s="61">
        <f t="shared" si="1637"/>
        <v>-65000000</v>
      </c>
      <c r="IFO69" s="61">
        <f t="shared" si="1637"/>
        <v>-65000000</v>
      </c>
      <c r="IFP69" s="61">
        <f t="shared" si="1637"/>
        <v>-65000000</v>
      </c>
      <c r="IFQ69" s="61">
        <f t="shared" si="1637"/>
        <v>-65000000</v>
      </c>
      <c r="IFR69" s="61">
        <f t="shared" si="1637"/>
        <v>-65000000</v>
      </c>
      <c r="IFS69" s="61">
        <f t="shared" si="1637"/>
        <v>-65000000</v>
      </c>
      <c r="IFT69" s="61">
        <f t="shared" si="1637"/>
        <v>-65000000</v>
      </c>
      <c r="IFU69" s="61">
        <f t="shared" si="1637"/>
        <v>-65000000</v>
      </c>
      <c r="IFV69" s="61">
        <f t="shared" si="1637"/>
        <v>-65000000</v>
      </c>
      <c r="IFW69" s="61">
        <f t="shared" si="1637"/>
        <v>-65000000</v>
      </c>
      <c r="IFX69" s="61">
        <f t="shared" si="1637"/>
        <v>-65000000</v>
      </c>
      <c r="IFY69" s="61">
        <f t="shared" si="1637"/>
        <v>-65000000</v>
      </c>
      <c r="IFZ69" s="61">
        <f t="shared" si="1637"/>
        <v>-65000000</v>
      </c>
      <c r="IGA69" s="61">
        <f t="shared" si="1637"/>
        <v>-65000000</v>
      </c>
      <c r="IGB69" s="61">
        <f t="shared" si="1637"/>
        <v>-65000000</v>
      </c>
      <c r="IGC69" s="61">
        <f t="shared" si="1637"/>
        <v>-65000000</v>
      </c>
      <c r="IGD69" s="61">
        <f t="shared" si="1637"/>
        <v>-65000000</v>
      </c>
      <c r="IGE69" s="61">
        <f t="shared" si="1637"/>
        <v>-65000000</v>
      </c>
      <c r="IGF69" s="61">
        <f t="shared" si="1637"/>
        <v>-65000000</v>
      </c>
      <c r="IGG69" s="61">
        <f t="shared" si="1637"/>
        <v>-65000000</v>
      </c>
      <c r="IGH69" s="61">
        <f t="shared" si="1637"/>
        <v>-65000000</v>
      </c>
      <c r="IGI69" s="61">
        <f t="shared" si="1637"/>
        <v>-65000000</v>
      </c>
      <c r="IGJ69" s="61">
        <f t="shared" si="1637"/>
        <v>-65000000</v>
      </c>
      <c r="IGK69" s="61">
        <f t="shared" si="1637"/>
        <v>-65000000</v>
      </c>
      <c r="IGL69" s="61">
        <f t="shared" si="1637"/>
        <v>-65000000</v>
      </c>
      <c r="IGM69" s="61">
        <f t="shared" si="1637"/>
        <v>-65000000</v>
      </c>
      <c r="IGN69" s="61">
        <f t="shared" si="1637"/>
        <v>-65000000</v>
      </c>
      <c r="IGO69" s="61">
        <f t="shared" si="1637"/>
        <v>-65000000</v>
      </c>
      <c r="IGP69" s="61">
        <f t="shared" si="1637"/>
        <v>-65000000</v>
      </c>
      <c r="IGQ69" s="61">
        <f t="shared" si="1637"/>
        <v>-65000000</v>
      </c>
      <c r="IGR69" s="61">
        <f t="shared" si="1637"/>
        <v>-65000000</v>
      </c>
      <c r="IGS69" s="61">
        <f t="shared" si="1637"/>
        <v>-65000000</v>
      </c>
      <c r="IGT69" s="61">
        <f t="shared" si="1637"/>
        <v>-65000000</v>
      </c>
      <c r="IGU69" s="61">
        <f t="shared" si="1637"/>
        <v>-65000000</v>
      </c>
      <c r="IGV69" s="61">
        <f t="shared" si="1637"/>
        <v>-65000000</v>
      </c>
      <c r="IGW69" s="61">
        <f t="shared" si="1637"/>
        <v>-65000000</v>
      </c>
      <c r="IGX69" s="61">
        <f t="shared" si="1637"/>
        <v>-65000000</v>
      </c>
      <c r="IGY69" s="61">
        <f t="shared" si="1637"/>
        <v>-65000000</v>
      </c>
      <c r="IGZ69" s="61">
        <f t="shared" si="1637"/>
        <v>-65000000</v>
      </c>
      <c r="IHA69" s="61">
        <f t="shared" si="1637"/>
        <v>-65000000</v>
      </c>
      <c r="IHB69" s="61">
        <f t="shared" si="1637"/>
        <v>-65000000</v>
      </c>
      <c r="IHC69" s="61">
        <f t="shared" si="1637"/>
        <v>-65000000</v>
      </c>
      <c r="IHD69" s="61">
        <f t="shared" si="1637"/>
        <v>-65000000</v>
      </c>
      <c r="IHE69" s="61">
        <f t="shared" si="1637"/>
        <v>-65000000</v>
      </c>
      <c r="IHF69" s="61">
        <f t="shared" si="1637"/>
        <v>-65000000</v>
      </c>
      <c r="IHG69" s="61">
        <f t="shared" si="1637"/>
        <v>-65000000</v>
      </c>
      <c r="IHH69" s="61">
        <f t="shared" si="1637"/>
        <v>-65000000</v>
      </c>
      <c r="IHI69" s="61">
        <f t="shared" si="1637"/>
        <v>-65000000</v>
      </c>
      <c r="IHJ69" s="61">
        <f t="shared" si="1637"/>
        <v>-65000000</v>
      </c>
      <c r="IHK69" s="61">
        <f t="shared" ref="IHK69:IJV69" si="1638">IHK68-$EC$11-IHK11</f>
        <v>-65000000</v>
      </c>
      <c r="IHL69" s="61">
        <f t="shared" si="1638"/>
        <v>-65000000</v>
      </c>
      <c r="IHM69" s="61">
        <f t="shared" si="1638"/>
        <v>-65000000</v>
      </c>
      <c r="IHN69" s="61">
        <f t="shared" si="1638"/>
        <v>-65000000</v>
      </c>
      <c r="IHO69" s="61">
        <f t="shared" si="1638"/>
        <v>-65000000</v>
      </c>
      <c r="IHP69" s="61">
        <f t="shared" si="1638"/>
        <v>-65000000</v>
      </c>
      <c r="IHQ69" s="61">
        <f t="shared" si="1638"/>
        <v>-65000000</v>
      </c>
      <c r="IHR69" s="61">
        <f t="shared" si="1638"/>
        <v>-65000000</v>
      </c>
      <c r="IHS69" s="61">
        <f t="shared" si="1638"/>
        <v>-65000000</v>
      </c>
      <c r="IHT69" s="61">
        <f t="shared" si="1638"/>
        <v>-65000000</v>
      </c>
      <c r="IHU69" s="61">
        <f t="shared" si="1638"/>
        <v>-65000000</v>
      </c>
      <c r="IHV69" s="61">
        <f t="shared" si="1638"/>
        <v>-65000000</v>
      </c>
      <c r="IHW69" s="61">
        <f t="shared" si="1638"/>
        <v>-65000000</v>
      </c>
      <c r="IHX69" s="61">
        <f t="shared" si="1638"/>
        <v>-65000000</v>
      </c>
      <c r="IHY69" s="61">
        <f t="shared" si="1638"/>
        <v>-65000000</v>
      </c>
      <c r="IHZ69" s="61">
        <f t="shared" si="1638"/>
        <v>-65000000</v>
      </c>
      <c r="IIA69" s="61">
        <f t="shared" si="1638"/>
        <v>-65000000</v>
      </c>
      <c r="IIB69" s="61">
        <f t="shared" si="1638"/>
        <v>-65000000</v>
      </c>
      <c r="IIC69" s="61">
        <f t="shared" si="1638"/>
        <v>-65000000</v>
      </c>
      <c r="IID69" s="61">
        <f t="shared" si="1638"/>
        <v>-65000000</v>
      </c>
      <c r="IIE69" s="61">
        <f t="shared" si="1638"/>
        <v>-65000000</v>
      </c>
      <c r="IIF69" s="61">
        <f t="shared" si="1638"/>
        <v>-65000000</v>
      </c>
      <c r="IIG69" s="61">
        <f t="shared" si="1638"/>
        <v>-65000000</v>
      </c>
      <c r="IIH69" s="61">
        <f t="shared" si="1638"/>
        <v>-65000000</v>
      </c>
      <c r="III69" s="61">
        <f t="shared" si="1638"/>
        <v>-65000000</v>
      </c>
      <c r="IIJ69" s="61">
        <f t="shared" si="1638"/>
        <v>-65000000</v>
      </c>
      <c r="IIK69" s="61">
        <f t="shared" si="1638"/>
        <v>-65000000</v>
      </c>
      <c r="IIL69" s="61">
        <f t="shared" si="1638"/>
        <v>-65000000</v>
      </c>
      <c r="IIM69" s="61">
        <f t="shared" si="1638"/>
        <v>-65000000</v>
      </c>
      <c r="IIN69" s="61">
        <f t="shared" si="1638"/>
        <v>-65000000</v>
      </c>
      <c r="IIO69" s="61">
        <f t="shared" si="1638"/>
        <v>-65000000</v>
      </c>
      <c r="IIP69" s="61">
        <f t="shared" si="1638"/>
        <v>-65000000</v>
      </c>
      <c r="IIQ69" s="61">
        <f t="shared" si="1638"/>
        <v>-65000000</v>
      </c>
      <c r="IIR69" s="61">
        <f t="shared" si="1638"/>
        <v>-65000000</v>
      </c>
      <c r="IIS69" s="61">
        <f t="shared" si="1638"/>
        <v>-65000000</v>
      </c>
      <c r="IIT69" s="61">
        <f t="shared" si="1638"/>
        <v>-65000000</v>
      </c>
      <c r="IIU69" s="61">
        <f t="shared" si="1638"/>
        <v>-65000000</v>
      </c>
      <c r="IIV69" s="61">
        <f t="shared" si="1638"/>
        <v>-65000000</v>
      </c>
      <c r="IIW69" s="61">
        <f t="shared" si="1638"/>
        <v>-65000000</v>
      </c>
      <c r="IIX69" s="61">
        <f t="shared" si="1638"/>
        <v>-65000000</v>
      </c>
      <c r="IIY69" s="61">
        <f t="shared" si="1638"/>
        <v>-65000000</v>
      </c>
      <c r="IIZ69" s="61">
        <f t="shared" si="1638"/>
        <v>-65000000</v>
      </c>
      <c r="IJA69" s="61">
        <f t="shared" si="1638"/>
        <v>-65000000</v>
      </c>
      <c r="IJB69" s="61">
        <f t="shared" si="1638"/>
        <v>-65000000</v>
      </c>
      <c r="IJC69" s="61">
        <f t="shared" si="1638"/>
        <v>-65000000</v>
      </c>
      <c r="IJD69" s="61">
        <f t="shared" si="1638"/>
        <v>-65000000</v>
      </c>
      <c r="IJE69" s="61">
        <f t="shared" si="1638"/>
        <v>-65000000</v>
      </c>
      <c r="IJF69" s="61">
        <f t="shared" si="1638"/>
        <v>-65000000</v>
      </c>
      <c r="IJG69" s="61">
        <f t="shared" si="1638"/>
        <v>-65000000</v>
      </c>
      <c r="IJH69" s="61">
        <f t="shared" si="1638"/>
        <v>-65000000</v>
      </c>
      <c r="IJI69" s="61">
        <f t="shared" si="1638"/>
        <v>-65000000</v>
      </c>
      <c r="IJJ69" s="61">
        <f t="shared" si="1638"/>
        <v>-65000000</v>
      </c>
      <c r="IJK69" s="61">
        <f t="shared" si="1638"/>
        <v>-65000000</v>
      </c>
      <c r="IJL69" s="61">
        <f t="shared" si="1638"/>
        <v>-65000000</v>
      </c>
      <c r="IJM69" s="61">
        <f t="shared" si="1638"/>
        <v>-65000000</v>
      </c>
      <c r="IJN69" s="61">
        <f t="shared" si="1638"/>
        <v>-65000000</v>
      </c>
      <c r="IJO69" s="61">
        <f t="shared" si="1638"/>
        <v>-65000000</v>
      </c>
      <c r="IJP69" s="61">
        <f t="shared" si="1638"/>
        <v>-65000000</v>
      </c>
      <c r="IJQ69" s="61">
        <f t="shared" si="1638"/>
        <v>-65000000</v>
      </c>
      <c r="IJR69" s="61">
        <f t="shared" si="1638"/>
        <v>-65000000</v>
      </c>
      <c r="IJS69" s="61">
        <f t="shared" si="1638"/>
        <v>-65000000</v>
      </c>
      <c r="IJT69" s="61">
        <f t="shared" si="1638"/>
        <v>-65000000</v>
      </c>
      <c r="IJU69" s="61">
        <f t="shared" si="1638"/>
        <v>-65000000</v>
      </c>
      <c r="IJV69" s="61">
        <f t="shared" si="1638"/>
        <v>-65000000</v>
      </c>
      <c r="IJW69" s="61">
        <f t="shared" ref="IJW69:IMH69" si="1639">IJW68-$EC$11-IJW11</f>
        <v>-65000000</v>
      </c>
      <c r="IJX69" s="61">
        <f t="shared" si="1639"/>
        <v>-65000000</v>
      </c>
      <c r="IJY69" s="61">
        <f t="shared" si="1639"/>
        <v>-65000000</v>
      </c>
      <c r="IJZ69" s="61">
        <f t="shared" si="1639"/>
        <v>-65000000</v>
      </c>
      <c r="IKA69" s="61">
        <f t="shared" si="1639"/>
        <v>-65000000</v>
      </c>
      <c r="IKB69" s="61">
        <f t="shared" si="1639"/>
        <v>-65000000</v>
      </c>
      <c r="IKC69" s="61">
        <f t="shared" si="1639"/>
        <v>-65000000</v>
      </c>
      <c r="IKD69" s="61">
        <f t="shared" si="1639"/>
        <v>-65000000</v>
      </c>
      <c r="IKE69" s="61">
        <f t="shared" si="1639"/>
        <v>-65000000</v>
      </c>
      <c r="IKF69" s="61">
        <f t="shared" si="1639"/>
        <v>-65000000</v>
      </c>
      <c r="IKG69" s="61">
        <f t="shared" si="1639"/>
        <v>-65000000</v>
      </c>
      <c r="IKH69" s="61">
        <f t="shared" si="1639"/>
        <v>-65000000</v>
      </c>
      <c r="IKI69" s="61">
        <f t="shared" si="1639"/>
        <v>-65000000</v>
      </c>
      <c r="IKJ69" s="61">
        <f t="shared" si="1639"/>
        <v>-65000000</v>
      </c>
      <c r="IKK69" s="61">
        <f t="shared" si="1639"/>
        <v>-65000000</v>
      </c>
      <c r="IKL69" s="61">
        <f t="shared" si="1639"/>
        <v>-65000000</v>
      </c>
      <c r="IKM69" s="61">
        <f t="shared" si="1639"/>
        <v>-65000000</v>
      </c>
      <c r="IKN69" s="61">
        <f t="shared" si="1639"/>
        <v>-65000000</v>
      </c>
      <c r="IKO69" s="61">
        <f t="shared" si="1639"/>
        <v>-65000000</v>
      </c>
      <c r="IKP69" s="61">
        <f t="shared" si="1639"/>
        <v>-65000000</v>
      </c>
      <c r="IKQ69" s="61">
        <f t="shared" si="1639"/>
        <v>-65000000</v>
      </c>
      <c r="IKR69" s="61">
        <f t="shared" si="1639"/>
        <v>-65000000</v>
      </c>
      <c r="IKS69" s="61">
        <f t="shared" si="1639"/>
        <v>-65000000</v>
      </c>
      <c r="IKT69" s="61">
        <f t="shared" si="1639"/>
        <v>-65000000</v>
      </c>
      <c r="IKU69" s="61">
        <f t="shared" si="1639"/>
        <v>-65000000</v>
      </c>
      <c r="IKV69" s="61">
        <f t="shared" si="1639"/>
        <v>-65000000</v>
      </c>
      <c r="IKW69" s="61">
        <f t="shared" si="1639"/>
        <v>-65000000</v>
      </c>
      <c r="IKX69" s="61">
        <f t="shared" si="1639"/>
        <v>-65000000</v>
      </c>
      <c r="IKY69" s="61">
        <f t="shared" si="1639"/>
        <v>-65000000</v>
      </c>
      <c r="IKZ69" s="61">
        <f t="shared" si="1639"/>
        <v>-65000000</v>
      </c>
      <c r="ILA69" s="61">
        <f t="shared" si="1639"/>
        <v>-65000000</v>
      </c>
      <c r="ILB69" s="61">
        <f t="shared" si="1639"/>
        <v>-65000000</v>
      </c>
      <c r="ILC69" s="61">
        <f t="shared" si="1639"/>
        <v>-65000000</v>
      </c>
      <c r="ILD69" s="61">
        <f t="shared" si="1639"/>
        <v>-65000000</v>
      </c>
      <c r="ILE69" s="61">
        <f t="shared" si="1639"/>
        <v>-65000000</v>
      </c>
      <c r="ILF69" s="61">
        <f t="shared" si="1639"/>
        <v>-65000000</v>
      </c>
      <c r="ILG69" s="61">
        <f t="shared" si="1639"/>
        <v>-65000000</v>
      </c>
      <c r="ILH69" s="61">
        <f t="shared" si="1639"/>
        <v>-65000000</v>
      </c>
      <c r="ILI69" s="61">
        <f t="shared" si="1639"/>
        <v>-65000000</v>
      </c>
      <c r="ILJ69" s="61">
        <f t="shared" si="1639"/>
        <v>-65000000</v>
      </c>
      <c r="ILK69" s="61">
        <f t="shared" si="1639"/>
        <v>-65000000</v>
      </c>
      <c r="ILL69" s="61">
        <f t="shared" si="1639"/>
        <v>-65000000</v>
      </c>
      <c r="ILM69" s="61">
        <f t="shared" si="1639"/>
        <v>-65000000</v>
      </c>
      <c r="ILN69" s="61">
        <f t="shared" si="1639"/>
        <v>-65000000</v>
      </c>
      <c r="ILO69" s="61">
        <f t="shared" si="1639"/>
        <v>-65000000</v>
      </c>
      <c r="ILP69" s="61">
        <f t="shared" si="1639"/>
        <v>-65000000</v>
      </c>
      <c r="ILQ69" s="61">
        <f t="shared" si="1639"/>
        <v>-65000000</v>
      </c>
      <c r="ILR69" s="61">
        <f t="shared" si="1639"/>
        <v>-65000000</v>
      </c>
      <c r="ILS69" s="61">
        <f t="shared" si="1639"/>
        <v>-65000000</v>
      </c>
      <c r="ILT69" s="61">
        <f t="shared" si="1639"/>
        <v>-65000000</v>
      </c>
      <c r="ILU69" s="61">
        <f t="shared" si="1639"/>
        <v>-65000000</v>
      </c>
      <c r="ILV69" s="61">
        <f t="shared" si="1639"/>
        <v>-65000000</v>
      </c>
      <c r="ILW69" s="61">
        <f t="shared" si="1639"/>
        <v>-65000000</v>
      </c>
      <c r="ILX69" s="61">
        <f t="shared" si="1639"/>
        <v>-65000000</v>
      </c>
      <c r="ILY69" s="61">
        <f t="shared" si="1639"/>
        <v>-65000000</v>
      </c>
      <c r="ILZ69" s="61">
        <f t="shared" si="1639"/>
        <v>-65000000</v>
      </c>
      <c r="IMA69" s="61">
        <f t="shared" si="1639"/>
        <v>-65000000</v>
      </c>
      <c r="IMB69" s="61">
        <f t="shared" si="1639"/>
        <v>-65000000</v>
      </c>
      <c r="IMC69" s="61">
        <f t="shared" si="1639"/>
        <v>-65000000</v>
      </c>
      <c r="IMD69" s="61">
        <f t="shared" si="1639"/>
        <v>-65000000</v>
      </c>
      <c r="IME69" s="61">
        <f t="shared" si="1639"/>
        <v>-65000000</v>
      </c>
      <c r="IMF69" s="61">
        <f t="shared" si="1639"/>
        <v>-65000000</v>
      </c>
      <c r="IMG69" s="61">
        <f t="shared" si="1639"/>
        <v>-65000000</v>
      </c>
      <c r="IMH69" s="61">
        <f t="shared" si="1639"/>
        <v>-65000000</v>
      </c>
      <c r="IMI69" s="61">
        <f t="shared" ref="IMI69:IOT69" si="1640">IMI68-$EC$11-IMI11</f>
        <v>-65000000</v>
      </c>
      <c r="IMJ69" s="61">
        <f t="shared" si="1640"/>
        <v>-65000000</v>
      </c>
      <c r="IMK69" s="61">
        <f t="shared" si="1640"/>
        <v>-65000000</v>
      </c>
      <c r="IML69" s="61">
        <f t="shared" si="1640"/>
        <v>-65000000</v>
      </c>
      <c r="IMM69" s="61">
        <f t="shared" si="1640"/>
        <v>-65000000</v>
      </c>
      <c r="IMN69" s="61">
        <f t="shared" si="1640"/>
        <v>-65000000</v>
      </c>
      <c r="IMO69" s="61">
        <f t="shared" si="1640"/>
        <v>-65000000</v>
      </c>
      <c r="IMP69" s="61">
        <f t="shared" si="1640"/>
        <v>-65000000</v>
      </c>
      <c r="IMQ69" s="61">
        <f t="shared" si="1640"/>
        <v>-65000000</v>
      </c>
      <c r="IMR69" s="61">
        <f t="shared" si="1640"/>
        <v>-65000000</v>
      </c>
      <c r="IMS69" s="61">
        <f t="shared" si="1640"/>
        <v>-65000000</v>
      </c>
      <c r="IMT69" s="61">
        <f t="shared" si="1640"/>
        <v>-65000000</v>
      </c>
      <c r="IMU69" s="61">
        <f t="shared" si="1640"/>
        <v>-65000000</v>
      </c>
      <c r="IMV69" s="61">
        <f t="shared" si="1640"/>
        <v>-65000000</v>
      </c>
      <c r="IMW69" s="61">
        <f t="shared" si="1640"/>
        <v>-65000000</v>
      </c>
      <c r="IMX69" s="61">
        <f t="shared" si="1640"/>
        <v>-65000000</v>
      </c>
      <c r="IMY69" s="61">
        <f t="shared" si="1640"/>
        <v>-65000000</v>
      </c>
      <c r="IMZ69" s="61">
        <f t="shared" si="1640"/>
        <v>-65000000</v>
      </c>
      <c r="INA69" s="61">
        <f t="shared" si="1640"/>
        <v>-65000000</v>
      </c>
      <c r="INB69" s="61">
        <f t="shared" si="1640"/>
        <v>-65000000</v>
      </c>
      <c r="INC69" s="61">
        <f t="shared" si="1640"/>
        <v>-65000000</v>
      </c>
      <c r="IND69" s="61">
        <f t="shared" si="1640"/>
        <v>-65000000</v>
      </c>
      <c r="INE69" s="61">
        <f t="shared" si="1640"/>
        <v>-65000000</v>
      </c>
      <c r="INF69" s="61">
        <f t="shared" si="1640"/>
        <v>-65000000</v>
      </c>
      <c r="ING69" s="61">
        <f t="shared" si="1640"/>
        <v>-65000000</v>
      </c>
      <c r="INH69" s="61">
        <f t="shared" si="1640"/>
        <v>-65000000</v>
      </c>
      <c r="INI69" s="61">
        <f t="shared" si="1640"/>
        <v>-65000000</v>
      </c>
      <c r="INJ69" s="61">
        <f t="shared" si="1640"/>
        <v>-65000000</v>
      </c>
      <c r="INK69" s="61">
        <f t="shared" si="1640"/>
        <v>-65000000</v>
      </c>
      <c r="INL69" s="61">
        <f t="shared" si="1640"/>
        <v>-65000000</v>
      </c>
      <c r="INM69" s="61">
        <f t="shared" si="1640"/>
        <v>-65000000</v>
      </c>
      <c r="INN69" s="61">
        <f t="shared" si="1640"/>
        <v>-65000000</v>
      </c>
      <c r="INO69" s="61">
        <f t="shared" si="1640"/>
        <v>-65000000</v>
      </c>
      <c r="INP69" s="61">
        <f t="shared" si="1640"/>
        <v>-65000000</v>
      </c>
      <c r="INQ69" s="61">
        <f t="shared" si="1640"/>
        <v>-65000000</v>
      </c>
      <c r="INR69" s="61">
        <f t="shared" si="1640"/>
        <v>-65000000</v>
      </c>
      <c r="INS69" s="61">
        <f t="shared" si="1640"/>
        <v>-65000000</v>
      </c>
      <c r="INT69" s="61">
        <f t="shared" si="1640"/>
        <v>-65000000</v>
      </c>
      <c r="INU69" s="61">
        <f t="shared" si="1640"/>
        <v>-65000000</v>
      </c>
      <c r="INV69" s="61">
        <f t="shared" si="1640"/>
        <v>-65000000</v>
      </c>
      <c r="INW69" s="61">
        <f t="shared" si="1640"/>
        <v>-65000000</v>
      </c>
      <c r="INX69" s="61">
        <f t="shared" si="1640"/>
        <v>-65000000</v>
      </c>
      <c r="INY69" s="61">
        <f t="shared" si="1640"/>
        <v>-65000000</v>
      </c>
      <c r="INZ69" s="61">
        <f t="shared" si="1640"/>
        <v>-65000000</v>
      </c>
      <c r="IOA69" s="61">
        <f t="shared" si="1640"/>
        <v>-65000000</v>
      </c>
      <c r="IOB69" s="61">
        <f t="shared" si="1640"/>
        <v>-65000000</v>
      </c>
      <c r="IOC69" s="61">
        <f t="shared" si="1640"/>
        <v>-65000000</v>
      </c>
      <c r="IOD69" s="61">
        <f t="shared" si="1640"/>
        <v>-65000000</v>
      </c>
      <c r="IOE69" s="61">
        <f t="shared" si="1640"/>
        <v>-65000000</v>
      </c>
      <c r="IOF69" s="61">
        <f t="shared" si="1640"/>
        <v>-65000000</v>
      </c>
      <c r="IOG69" s="61">
        <f t="shared" si="1640"/>
        <v>-65000000</v>
      </c>
      <c r="IOH69" s="61">
        <f t="shared" si="1640"/>
        <v>-65000000</v>
      </c>
      <c r="IOI69" s="61">
        <f t="shared" si="1640"/>
        <v>-65000000</v>
      </c>
      <c r="IOJ69" s="61">
        <f t="shared" si="1640"/>
        <v>-65000000</v>
      </c>
      <c r="IOK69" s="61">
        <f t="shared" si="1640"/>
        <v>-65000000</v>
      </c>
      <c r="IOL69" s="61">
        <f t="shared" si="1640"/>
        <v>-65000000</v>
      </c>
      <c r="IOM69" s="61">
        <f t="shared" si="1640"/>
        <v>-65000000</v>
      </c>
      <c r="ION69" s="61">
        <f t="shared" si="1640"/>
        <v>-65000000</v>
      </c>
      <c r="IOO69" s="61">
        <f t="shared" si="1640"/>
        <v>-65000000</v>
      </c>
      <c r="IOP69" s="61">
        <f t="shared" si="1640"/>
        <v>-65000000</v>
      </c>
      <c r="IOQ69" s="61">
        <f t="shared" si="1640"/>
        <v>-65000000</v>
      </c>
      <c r="IOR69" s="61">
        <f t="shared" si="1640"/>
        <v>-65000000</v>
      </c>
      <c r="IOS69" s="61">
        <f t="shared" si="1640"/>
        <v>-65000000</v>
      </c>
      <c r="IOT69" s="61">
        <f t="shared" si="1640"/>
        <v>-65000000</v>
      </c>
      <c r="IOU69" s="61">
        <f t="shared" ref="IOU69:IRF69" si="1641">IOU68-$EC$11-IOU11</f>
        <v>-65000000</v>
      </c>
      <c r="IOV69" s="61">
        <f t="shared" si="1641"/>
        <v>-65000000</v>
      </c>
      <c r="IOW69" s="61">
        <f t="shared" si="1641"/>
        <v>-65000000</v>
      </c>
      <c r="IOX69" s="61">
        <f t="shared" si="1641"/>
        <v>-65000000</v>
      </c>
      <c r="IOY69" s="61">
        <f t="shared" si="1641"/>
        <v>-65000000</v>
      </c>
      <c r="IOZ69" s="61">
        <f t="shared" si="1641"/>
        <v>-65000000</v>
      </c>
      <c r="IPA69" s="61">
        <f t="shared" si="1641"/>
        <v>-65000000</v>
      </c>
      <c r="IPB69" s="61">
        <f t="shared" si="1641"/>
        <v>-65000000</v>
      </c>
      <c r="IPC69" s="61">
        <f t="shared" si="1641"/>
        <v>-65000000</v>
      </c>
      <c r="IPD69" s="61">
        <f t="shared" si="1641"/>
        <v>-65000000</v>
      </c>
      <c r="IPE69" s="61">
        <f t="shared" si="1641"/>
        <v>-65000000</v>
      </c>
      <c r="IPF69" s="61">
        <f t="shared" si="1641"/>
        <v>-65000000</v>
      </c>
      <c r="IPG69" s="61">
        <f t="shared" si="1641"/>
        <v>-65000000</v>
      </c>
      <c r="IPH69" s="61">
        <f t="shared" si="1641"/>
        <v>-65000000</v>
      </c>
      <c r="IPI69" s="61">
        <f t="shared" si="1641"/>
        <v>-65000000</v>
      </c>
      <c r="IPJ69" s="61">
        <f t="shared" si="1641"/>
        <v>-65000000</v>
      </c>
      <c r="IPK69" s="61">
        <f t="shared" si="1641"/>
        <v>-65000000</v>
      </c>
      <c r="IPL69" s="61">
        <f t="shared" si="1641"/>
        <v>-65000000</v>
      </c>
      <c r="IPM69" s="61">
        <f t="shared" si="1641"/>
        <v>-65000000</v>
      </c>
      <c r="IPN69" s="61">
        <f t="shared" si="1641"/>
        <v>-65000000</v>
      </c>
      <c r="IPO69" s="61">
        <f t="shared" si="1641"/>
        <v>-65000000</v>
      </c>
      <c r="IPP69" s="61">
        <f t="shared" si="1641"/>
        <v>-65000000</v>
      </c>
      <c r="IPQ69" s="61">
        <f t="shared" si="1641"/>
        <v>-65000000</v>
      </c>
      <c r="IPR69" s="61">
        <f t="shared" si="1641"/>
        <v>-65000000</v>
      </c>
      <c r="IPS69" s="61">
        <f t="shared" si="1641"/>
        <v>-65000000</v>
      </c>
      <c r="IPT69" s="61">
        <f t="shared" si="1641"/>
        <v>-65000000</v>
      </c>
      <c r="IPU69" s="61">
        <f t="shared" si="1641"/>
        <v>-65000000</v>
      </c>
      <c r="IPV69" s="61">
        <f t="shared" si="1641"/>
        <v>-65000000</v>
      </c>
      <c r="IPW69" s="61">
        <f t="shared" si="1641"/>
        <v>-65000000</v>
      </c>
      <c r="IPX69" s="61">
        <f t="shared" si="1641"/>
        <v>-65000000</v>
      </c>
      <c r="IPY69" s="61">
        <f t="shared" si="1641"/>
        <v>-65000000</v>
      </c>
      <c r="IPZ69" s="61">
        <f t="shared" si="1641"/>
        <v>-65000000</v>
      </c>
      <c r="IQA69" s="61">
        <f t="shared" si="1641"/>
        <v>-65000000</v>
      </c>
      <c r="IQB69" s="61">
        <f t="shared" si="1641"/>
        <v>-65000000</v>
      </c>
      <c r="IQC69" s="61">
        <f t="shared" si="1641"/>
        <v>-65000000</v>
      </c>
      <c r="IQD69" s="61">
        <f t="shared" si="1641"/>
        <v>-65000000</v>
      </c>
      <c r="IQE69" s="61">
        <f t="shared" si="1641"/>
        <v>-65000000</v>
      </c>
      <c r="IQF69" s="61">
        <f t="shared" si="1641"/>
        <v>-65000000</v>
      </c>
      <c r="IQG69" s="61">
        <f t="shared" si="1641"/>
        <v>-65000000</v>
      </c>
      <c r="IQH69" s="61">
        <f t="shared" si="1641"/>
        <v>-65000000</v>
      </c>
      <c r="IQI69" s="61">
        <f t="shared" si="1641"/>
        <v>-65000000</v>
      </c>
      <c r="IQJ69" s="61">
        <f t="shared" si="1641"/>
        <v>-65000000</v>
      </c>
      <c r="IQK69" s="61">
        <f t="shared" si="1641"/>
        <v>-65000000</v>
      </c>
      <c r="IQL69" s="61">
        <f t="shared" si="1641"/>
        <v>-65000000</v>
      </c>
      <c r="IQM69" s="61">
        <f t="shared" si="1641"/>
        <v>-65000000</v>
      </c>
      <c r="IQN69" s="61">
        <f t="shared" si="1641"/>
        <v>-65000000</v>
      </c>
      <c r="IQO69" s="61">
        <f t="shared" si="1641"/>
        <v>-65000000</v>
      </c>
      <c r="IQP69" s="61">
        <f t="shared" si="1641"/>
        <v>-65000000</v>
      </c>
      <c r="IQQ69" s="61">
        <f t="shared" si="1641"/>
        <v>-65000000</v>
      </c>
      <c r="IQR69" s="61">
        <f t="shared" si="1641"/>
        <v>-65000000</v>
      </c>
      <c r="IQS69" s="61">
        <f t="shared" si="1641"/>
        <v>-65000000</v>
      </c>
      <c r="IQT69" s="61">
        <f t="shared" si="1641"/>
        <v>-65000000</v>
      </c>
      <c r="IQU69" s="61">
        <f t="shared" si="1641"/>
        <v>-65000000</v>
      </c>
      <c r="IQV69" s="61">
        <f t="shared" si="1641"/>
        <v>-65000000</v>
      </c>
      <c r="IQW69" s="61">
        <f t="shared" si="1641"/>
        <v>-65000000</v>
      </c>
      <c r="IQX69" s="61">
        <f t="shared" si="1641"/>
        <v>-65000000</v>
      </c>
      <c r="IQY69" s="61">
        <f t="shared" si="1641"/>
        <v>-65000000</v>
      </c>
      <c r="IQZ69" s="61">
        <f t="shared" si="1641"/>
        <v>-65000000</v>
      </c>
      <c r="IRA69" s="61">
        <f t="shared" si="1641"/>
        <v>-65000000</v>
      </c>
      <c r="IRB69" s="61">
        <f t="shared" si="1641"/>
        <v>-65000000</v>
      </c>
      <c r="IRC69" s="61">
        <f t="shared" si="1641"/>
        <v>-65000000</v>
      </c>
      <c r="IRD69" s="61">
        <f t="shared" si="1641"/>
        <v>-65000000</v>
      </c>
      <c r="IRE69" s="61">
        <f t="shared" si="1641"/>
        <v>-65000000</v>
      </c>
      <c r="IRF69" s="61">
        <f t="shared" si="1641"/>
        <v>-65000000</v>
      </c>
      <c r="IRG69" s="61">
        <f t="shared" ref="IRG69:ITR69" si="1642">IRG68-$EC$11-IRG11</f>
        <v>-65000000</v>
      </c>
      <c r="IRH69" s="61">
        <f t="shared" si="1642"/>
        <v>-65000000</v>
      </c>
      <c r="IRI69" s="61">
        <f t="shared" si="1642"/>
        <v>-65000000</v>
      </c>
      <c r="IRJ69" s="61">
        <f t="shared" si="1642"/>
        <v>-65000000</v>
      </c>
      <c r="IRK69" s="61">
        <f t="shared" si="1642"/>
        <v>-65000000</v>
      </c>
      <c r="IRL69" s="61">
        <f t="shared" si="1642"/>
        <v>-65000000</v>
      </c>
      <c r="IRM69" s="61">
        <f t="shared" si="1642"/>
        <v>-65000000</v>
      </c>
      <c r="IRN69" s="61">
        <f t="shared" si="1642"/>
        <v>-65000000</v>
      </c>
      <c r="IRO69" s="61">
        <f t="shared" si="1642"/>
        <v>-65000000</v>
      </c>
      <c r="IRP69" s="61">
        <f t="shared" si="1642"/>
        <v>-65000000</v>
      </c>
      <c r="IRQ69" s="61">
        <f t="shared" si="1642"/>
        <v>-65000000</v>
      </c>
      <c r="IRR69" s="61">
        <f t="shared" si="1642"/>
        <v>-65000000</v>
      </c>
      <c r="IRS69" s="61">
        <f t="shared" si="1642"/>
        <v>-65000000</v>
      </c>
      <c r="IRT69" s="61">
        <f t="shared" si="1642"/>
        <v>-65000000</v>
      </c>
      <c r="IRU69" s="61">
        <f t="shared" si="1642"/>
        <v>-65000000</v>
      </c>
      <c r="IRV69" s="61">
        <f t="shared" si="1642"/>
        <v>-65000000</v>
      </c>
      <c r="IRW69" s="61">
        <f t="shared" si="1642"/>
        <v>-65000000</v>
      </c>
      <c r="IRX69" s="61">
        <f t="shared" si="1642"/>
        <v>-65000000</v>
      </c>
      <c r="IRY69" s="61">
        <f t="shared" si="1642"/>
        <v>-65000000</v>
      </c>
      <c r="IRZ69" s="61">
        <f t="shared" si="1642"/>
        <v>-65000000</v>
      </c>
      <c r="ISA69" s="61">
        <f t="shared" si="1642"/>
        <v>-65000000</v>
      </c>
      <c r="ISB69" s="61">
        <f t="shared" si="1642"/>
        <v>-65000000</v>
      </c>
      <c r="ISC69" s="61">
        <f t="shared" si="1642"/>
        <v>-65000000</v>
      </c>
      <c r="ISD69" s="61">
        <f t="shared" si="1642"/>
        <v>-65000000</v>
      </c>
      <c r="ISE69" s="61">
        <f t="shared" si="1642"/>
        <v>-65000000</v>
      </c>
      <c r="ISF69" s="61">
        <f t="shared" si="1642"/>
        <v>-65000000</v>
      </c>
      <c r="ISG69" s="61">
        <f t="shared" si="1642"/>
        <v>-65000000</v>
      </c>
      <c r="ISH69" s="61">
        <f t="shared" si="1642"/>
        <v>-65000000</v>
      </c>
      <c r="ISI69" s="61">
        <f t="shared" si="1642"/>
        <v>-65000000</v>
      </c>
      <c r="ISJ69" s="61">
        <f t="shared" si="1642"/>
        <v>-65000000</v>
      </c>
      <c r="ISK69" s="61">
        <f t="shared" si="1642"/>
        <v>-65000000</v>
      </c>
      <c r="ISL69" s="61">
        <f t="shared" si="1642"/>
        <v>-65000000</v>
      </c>
      <c r="ISM69" s="61">
        <f t="shared" si="1642"/>
        <v>-65000000</v>
      </c>
      <c r="ISN69" s="61">
        <f t="shared" si="1642"/>
        <v>-65000000</v>
      </c>
      <c r="ISO69" s="61">
        <f t="shared" si="1642"/>
        <v>-65000000</v>
      </c>
      <c r="ISP69" s="61">
        <f t="shared" si="1642"/>
        <v>-65000000</v>
      </c>
      <c r="ISQ69" s="61">
        <f t="shared" si="1642"/>
        <v>-65000000</v>
      </c>
      <c r="ISR69" s="61">
        <f t="shared" si="1642"/>
        <v>-65000000</v>
      </c>
      <c r="ISS69" s="61">
        <f t="shared" si="1642"/>
        <v>-65000000</v>
      </c>
      <c r="IST69" s="61">
        <f t="shared" si="1642"/>
        <v>-65000000</v>
      </c>
      <c r="ISU69" s="61">
        <f t="shared" si="1642"/>
        <v>-65000000</v>
      </c>
      <c r="ISV69" s="61">
        <f t="shared" si="1642"/>
        <v>-65000000</v>
      </c>
      <c r="ISW69" s="61">
        <f t="shared" si="1642"/>
        <v>-65000000</v>
      </c>
      <c r="ISX69" s="61">
        <f t="shared" si="1642"/>
        <v>-65000000</v>
      </c>
      <c r="ISY69" s="61">
        <f t="shared" si="1642"/>
        <v>-65000000</v>
      </c>
      <c r="ISZ69" s="61">
        <f t="shared" si="1642"/>
        <v>-65000000</v>
      </c>
      <c r="ITA69" s="61">
        <f t="shared" si="1642"/>
        <v>-65000000</v>
      </c>
      <c r="ITB69" s="61">
        <f t="shared" si="1642"/>
        <v>-65000000</v>
      </c>
      <c r="ITC69" s="61">
        <f t="shared" si="1642"/>
        <v>-65000000</v>
      </c>
      <c r="ITD69" s="61">
        <f t="shared" si="1642"/>
        <v>-65000000</v>
      </c>
      <c r="ITE69" s="61">
        <f t="shared" si="1642"/>
        <v>-65000000</v>
      </c>
      <c r="ITF69" s="61">
        <f t="shared" si="1642"/>
        <v>-65000000</v>
      </c>
      <c r="ITG69" s="61">
        <f t="shared" si="1642"/>
        <v>-65000000</v>
      </c>
      <c r="ITH69" s="61">
        <f t="shared" si="1642"/>
        <v>-65000000</v>
      </c>
      <c r="ITI69" s="61">
        <f t="shared" si="1642"/>
        <v>-65000000</v>
      </c>
      <c r="ITJ69" s="61">
        <f t="shared" si="1642"/>
        <v>-65000000</v>
      </c>
      <c r="ITK69" s="61">
        <f t="shared" si="1642"/>
        <v>-65000000</v>
      </c>
      <c r="ITL69" s="61">
        <f t="shared" si="1642"/>
        <v>-65000000</v>
      </c>
      <c r="ITM69" s="61">
        <f t="shared" si="1642"/>
        <v>-65000000</v>
      </c>
      <c r="ITN69" s="61">
        <f t="shared" si="1642"/>
        <v>-65000000</v>
      </c>
      <c r="ITO69" s="61">
        <f t="shared" si="1642"/>
        <v>-65000000</v>
      </c>
      <c r="ITP69" s="61">
        <f t="shared" si="1642"/>
        <v>-65000000</v>
      </c>
      <c r="ITQ69" s="61">
        <f t="shared" si="1642"/>
        <v>-65000000</v>
      </c>
      <c r="ITR69" s="61">
        <f t="shared" si="1642"/>
        <v>-65000000</v>
      </c>
      <c r="ITS69" s="61">
        <f t="shared" ref="ITS69:IWD69" si="1643">ITS68-$EC$11-ITS11</f>
        <v>-65000000</v>
      </c>
      <c r="ITT69" s="61">
        <f t="shared" si="1643"/>
        <v>-65000000</v>
      </c>
      <c r="ITU69" s="61">
        <f t="shared" si="1643"/>
        <v>-65000000</v>
      </c>
      <c r="ITV69" s="61">
        <f t="shared" si="1643"/>
        <v>-65000000</v>
      </c>
      <c r="ITW69" s="61">
        <f t="shared" si="1643"/>
        <v>-65000000</v>
      </c>
      <c r="ITX69" s="61">
        <f t="shared" si="1643"/>
        <v>-65000000</v>
      </c>
      <c r="ITY69" s="61">
        <f t="shared" si="1643"/>
        <v>-65000000</v>
      </c>
      <c r="ITZ69" s="61">
        <f t="shared" si="1643"/>
        <v>-65000000</v>
      </c>
      <c r="IUA69" s="61">
        <f t="shared" si="1643"/>
        <v>-65000000</v>
      </c>
      <c r="IUB69" s="61">
        <f t="shared" si="1643"/>
        <v>-65000000</v>
      </c>
      <c r="IUC69" s="61">
        <f t="shared" si="1643"/>
        <v>-65000000</v>
      </c>
      <c r="IUD69" s="61">
        <f t="shared" si="1643"/>
        <v>-65000000</v>
      </c>
      <c r="IUE69" s="61">
        <f t="shared" si="1643"/>
        <v>-65000000</v>
      </c>
      <c r="IUF69" s="61">
        <f t="shared" si="1643"/>
        <v>-65000000</v>
      </c>
      <c r="IUG69" s="61">
        <f t="shared" si="1643"/>
        <v>-65000000</v>
      </c>
      <c r="IUH69" s="61">
        <f t="shared" si="1643"/>
        <v>-65000000</v>
      </c>
      <c r="IUI69" s="61">
        <f t="shared" si="1643"/>
        <v>-65000000</v>
      </c>
      <c r="IUJ69" s="61">
        <f t="shared" si="1643"/>
        <v>-65000000</v>
      </c>
      <c r="IUK69" s="61">
        <f t="shared" si="1643"/>
        <v>-65000000</v>
      </c>
      <c r="IUL69" s="61">
        <f t="shared" si="1643"/>
        <v>-65000000</v>
      </c>
      <c r="IUM69" s="61">
        <f t="shared" si="1643"/>
        <v>-65000000</v>
      </c>
      <c r="IUN69" s="61">
        <f t="shared" si="1643"/>
        <v>-65000000</v>
      </c>
      <c r="IUO69" s="61">
        <f t="shared" si="1643"/>
        <v>-65000000</v>
      </c>
      <c r="IUP69" s="61">
        <f t="shared" si="1643"/>
        <v>-65000000</v>
      </c>
      <c r="IUQ69" s="61">
        <f t="shared" si="1643"/>
        <v>-65000000</v>
      </c>
      <c r="IUR69" s="61">
        <f t="shared" si="1643"/>
        <v>-65000000</v>
      </c>
      <c r="IUS69" s="61">
        <f t="shared" si="1643"/>
        <v>-65000000</v>
      </c>
      <c r="IUT69" s="61">
        <f t="shared" si="1643"/>
        <v>-65000000</v>
      </c>
      <c r="IUU69" s="61">
        <f t="shared" si="1643"/>
        <v>-65000000</v>
      </c>
      <c r="IUV69" s="61">
        <f t="shared" si="1643"/>
        <v>-65000000</v>
      </c>
      <c r="IUW69" s="61">
        <f t="shared" si="1643"/>
        <v>-65000000</v>
      </c>
      <c r="IUX69" s="61">
        <f t="shared" si="1643"/>
        <v>-65000000</v>
      </c>
      <c r="IUY69" s="61">
        <f t="shared" si="1643"/>
        <v>-65000000</v>
      </c>
      <c r="IUZ69" s="61">
        <f t="shared" si="1643"/>
        <v>-65000000</v>
      </c>
      <c r="IVA69" s="61">
        <f t="shared" si="1643"/>
        <v>-65000000</v>
      </c>
      <c r="IVB69" s="61">
        <f t="shared" si="1643"/>
        <v>-65000000</v>
      </c>
      <c r="IVC69" s="61">
        <f t="shared" si="1643"/>
        <v>-65000000</v>
      </c>
      <c r="IVD69" s="61">
        <f t="shared" si="1643"/>
        <v>-65000000</v>
      </c>
      <c r="IVE69" s="61">
        <f t="shared" si="1643"/>
        <v>-65000000</v>
      </c>
      <c r="IVF69" s="61">
        <f t="shared" si="1643"/>
        <v>-65000000</v>
      </c>
      <c r="IVG69" s="61">
        <f t="shared" si="1643"/>
        <v>-65000000</v>
      </c>
      <c r="IVH69" s="61">
        <f t="shared" si="1643"/>
        <v>-65000000</v>
      </c>
      <c r="IVI69" s="61">
        <f t="shared" si="1643"/>
        <v>-65000000</v>
      </c>
      <c r="IVJ69" s="61">
        <f t="shared" si="1643"/>
        <v>-65000000</v>
      </c>
      <c r="IVK69" s="61">
        <f t="shared" si="1643"/>
        <v>-65000000</v>
      </c>
      <c r="IVL69" s="61">
        <f t="shared" si="1643"/>
        <v>-65000000</v>
      </c>
      <c r="IVM69" s="61">
        <f t="shared" si="1643"/>
        <v>-65000000</v>
      </c>
      <c r="IVN69" s="61">
        <f t="shared" si="1643"/>
        <v>-65000000</v>
      </c>
      <c r="IVO69" s="61">
        <f t="shared" si="1643"/>
        <v>-65000000</v>
      </c>
      <c r="IVP69" s="61">
        <f t="shared" si="1643"/>
        <v>-65000000</v>
      </c>
      <c r="IVQ69" s="61">
        <f t="shared" si="1643"/>
        <v>-65000000</v>
      </c>
      <c r="IVR69" s="61">
        <f t="shared" si="1643"/>
        <v>-65000000</v>
      </c>
      <c r="IVS69" s="61">
        <f t="shared" si="1643"/>
        <v>-65000000</v>
      </c>
      <c r="IVT69" s="61">
        <f t="shared" si="1643"/>
        <v>-65000000</v>
      </c>
      <c r="IVU69" s="61">
        <f t="shared" si="1643"/>
        <v>-65000000</v>
      </c>
      <c r="IVV69" s="61">
        <f t="shared" si="1643"/>
        <v>-65000000</v>
      </c>
      <c r="IVW69" s="61">
        <f t="shared" si="1643"/>
        <v>-65000000</v>
      </c>
      <c r="IVX69" s="61">
        <f t="shared" si="1643"/>
        <v>-65000000</v>
      </c>
      <c r="IVY69" s="61">
        <f t="shared" si="1643"/>
        <v>-65000000</v>
      </c>
      <c r="IVZ69" s="61">
        <f t="shared" si="1643"/>
        <v>-65000000</v>
      </c>
      <c r="IWA69" s="61">
        <f t="shared" si="1643"/>
        <v>-65000000</v>
      </c>
      <c r="IWB69" s="61">
        <f t="shared" si="1643"/>
        <v>-65000000</v>
      </c>
      <c r="IWC69" s="61">
        <f t="shared" si="1643"/>
        <v>-65000000</v>
      </c>
      <c r="IWD69" s="61">
        <f t="shared" si="1643"/>
        <v>-65000000</v>
      </c>
      <c r="IWE69" s="61">
        <f t="shared" ref="IWE69:IYP69" si="1644">IWE68-$EC$11-IWE11</f>
        <v>-65000000</v>
      </c>
      <c r="IWF69" s="61">
        <f t="shared" si="1644"/>
        <v>-65000000</v>
      </c>
      <c r="IWG69" s="61">
        <f t="shared" si="1644"/>
        <v>-65000000</v>
      </c>
      <c r="IWH69" s="61">
        <f t="shared" si="1644"/>
        <v>-65000000</v>
      </c>
      <c r="IWI69" s="61">
        <f t="shared" si="1644"/>
        <v>-65000000</v>
      </c>
      <c r="IWJ69" s="61">
        <f t="shared" si="1644"/>
        <v>-65000000</v>
      </c>
      <c r="IWK69" s="61">
        <f t="shared" si="1644"/>
        <v>-65000000</v>
      </c>
      <c r="IWL69" s="61">
        <f t="shared" si="1644"/>
        <v>-65000000</v>
      </c>
      <c r="IWM69" s="61">
        <f t="shared" si="1644"/>
        <v>-65000000</v>
      </c>
      <c r="IWN69" s="61">
        <f t="shared" si="1644"/>
        <v>-65000000</v>
      </c>
      <c r="IWO69" s="61">
        <f t="shared" si="1644"/>
        <v>-65000000</v>
      </c>
      <c r="IWP69" s="61">
        <f t="shared" si="1644"/>
        <v>-65000000</v>
      </c>
      <c r="IWQ69" s="61">
        <f t="shared" si="1644"/>
        <v>-65000000</v>
      </c>
      <c r="IWR69" s="61">
        <f t="shared" si="1644"/>
        <v>-65000000</v>
      </c>
      <c r="IWS69" s="61">
        <f t="shared" si="1644"/>
        <v>-65000000</v>
      </c>
      <c r="IWT69" s="61">
        <f t="shared" si="1644"/>
        <v>-65000000</v>
      </c>
      <c r="IWU69" s="61">
        <f t="shared" si="1644"/>
        <v>-65000000</v>
      </c>
      <c r="IWV69" s="61">
        <f t="shared" si="1644"/>
        <v>-65000000</v>
      </c>
      <c r="IWW69" s="61">
        <f t="shared" si="1644"/>
        <v>-65000000</v>
      </c>
      <c r="IWX69" s="61">
        <f t="shared" si="1644"/>
        <v>-65000000</v>
      </c>
      <c r="IWY69" s="61">
        <f t="shared" si="1644"/>
        <v>-65000000</v>
      </c>
      <c r="IWZ69" s="61">
        <f t="shared" si="1644"/>
        <v>-65000000</v>
      </c>
      <c r="IXA69" s="61">
        <f t="shared" si="1644"/>
        <v>-65000000</v>
      </c>
      <c r="IXB69" s="61">
        <f t="shared" si="1644"/>
        <v>-65000000</v>
      </c>
      <c r="IXC69" s="61">
        <f t="shared" si="1644"/>
        <v>-65000000</v>
      </c>
      <c r="IXD69" s="61">
        <f t="shared" si="1644"/>
        <v>-65000000</v>
      </c>
      <c r="IXE69" s="61">
        <f t="shared" si="1644"/>
        <v>-65000000</v>
      </c>
      <c r="IXF69" s="61">
        <f t="shared" si="1644"/>
        <v>-65000000</v>
      </c>
      <c r="IXG69" s="61">
        <f t="shared" si="1644"/>
        <v>-65000000</v>
      </c>
      <c r="IXH69" s="61">
        <f t="shared" si="1644"/>
        <v>-65000000</v>
      </c>
      <c r="IXI69" s="61">
        <f t="shared" si="1644"/>
        <v>-65000000</v>
      </c>
      <c r="IXJ69" s="61">
        <f t="shared" si="1644"/>
        <v>-65000000</v>
      </c>
      <c r="IXK69" s="61">
        <f t="shared" si="1644"/>
        <v>-65000000</v>
      </c>
      <c r="IXL69" s="61">
        <f t="shared" si="1644"/>
        <v>-65000000</v>
      </c>
      <c r="IXM69" s="61">
        <f t="shared" si="1644"/>
        <v>-65000000</v>
      </c>
      <c r="IXN69" s="61">
        <f t="shared" si="1644"/>
        <v>-65000000</v>
      </c>
      <c r="IXO69" s="61">
        <f t="shared" si="1644"/>
        <v>-65000000</v>
      </c>
      <c r="IXP69" s="61">
        <f t="shared" si="1644"/>
        <v>-65000000</v>
      </c>
      <c r="IXQ69" s="61">
        <f t="shared" si="1644"/>
        <v>-65000000</v>
      </c>
      <c r="IXR69" s="61">
        <f t="shared" si="1644"/>
        <v>-65000000</v>
      </c>
      <c r="IXS69" s="61">
        <f t="shared" si="1644"/>
        <v>-65000000</v>
      </c>
      <c r="IXT69" s="61">
        <f t="shared" si="1644"/>
        <v>-65000000</v>
      </c>
      <c r="IXU69" s="61">
        <f t="shared" si="1644"/>
        <v>-65000000</v>
      </c>
      <c r="IXV69" s="61">
        <f t="shared" si="1644"/>
        <v>-65000000</v>
      </c>
      <c r="IXW69" s="61">
        <f t="shared" si="1644"/>
        <v>-65000000</v>
      </c>
      <c r="IXX69" s="61">
        <f t="shared" si="1644"/>
        <v>-65000000</v>
      </c>
      <c r="IXY69" s="61">
        <f t="shared" si="1644"/>
        <v>-65000000</v>
      </c>
      <c r="IXZ69" s="61">
        <f t="shared" si="1644"/>
        <v>-65000000</v>
      </c>
      <c r="IYA69" s="61">
        <f t="shared" si="1644"/>
        <v>-65000000</v>
      </c>
      <c r="IYB69" s="61">
        <f t="shared" si="1644"/>
        <v>-65000000</v>
      </c>
      <c r="IYC69" s="61">
        <f t="shared" si="1644"/>
        <v>-65000000</v>
      </c>
      <c r="IYD69" s="61">
        <f t="shared" si="1644"/>
        <v>-65000000</v>
      </c>
      <c r="IYE69" s="61">
        <f t="shared" si="1644"/>
        <v>-65000000</v>
      </c>
      <c r="IYF69" s="61">
        <f t="shared" si="1644"/>
        <v>-65000000</v>
      </c>
      <c r="IYG69" s="61">
        <f t="shared" si="1644"/>
        <v>-65000000</v>
      </c>
      <c r="IYH69" s="61">
        <f t="shared" si="1644"/>
        <v>-65000000</v>
      </c>
      <c r="IYI69" s="61">
        <f t="shared" si="1644"/>
        <v>-65000000</v>
      </c>
      <c r="IYJ69" s="61">
        <f t="shared" si="1644"/>
        <v>-65000000</v>
      </c>
      <c r="IYK69" s="61">
        <f t="shared" si="1644"/>
        <v>-65000000</v>
      </c>
      <c r="IYL69" s="61">
        <f t="shared" si="1644"/>
        <v>-65000000</v>
      </c>
      <c r="IYM69" s="61">
        <f t="shared" si="1644"/>
        <v>-65000000</v>
      </c>
      <c r="IYN69" s="61">
        <f t="shared" si="1644"/>
        <v>-65000000</v>
      </c>
      <c r="IYO69" s="61">
        <f t="shared" si="1644"/>
        <v>-65000000</v>
      </c>
      <c r="IYP69" s="61">
        <f t="shared" si="1644"/>
        <v>-65000000</v>
      </c>
      <c r="IYQ69" s="61">
        <f t="shared" ref="IYQ69:JBB69" si="1645">IYQ68-$EC$11-IYQ11</f>
        <v>-65000000</v>
      </c>
      <c r="IYR69" s="61">
        <f t="shared" si="1645"/>
        <v>-65000000</v>
      </c>
      <c r="IYS69" s="61">
        <f t="shared" si="1645"/>
        <v>-65000000</v>
      </c>
      <c r="IYT69" s="61">
        <f t="shared" si="1645"/>
        <v>-65000000</v>
      </c>
      <c r="IYU69" s="61">
        <f t="shared" si="1645"/>
        <v>-65000000</v>
      </c>
      <c r="IYV69" s="61">
        <f t="shared" si="1645"/>
        <v>-65000000</v>
      </c>
      <c r="IYW69" s="61">
        <f t="shared" si="1645"/>
        <v>-65000000</v>
      </c>
      <c r="IYX69" s="61">
        <f t="shared" si="1645"/>
        <v>-65000000</v>
      </c>
      <c r="IYY69" s="61">
        <f t="shared" si="1645"/>
        <v>-65000000</v>
      </c>
      <c r="IYZ69" s="61">
        <f t="shared" si="1645"/>
        <v>-65000000</v>
      </c>
      <c r="IZA69" s="61">
        <f t="shared" si="1645"/>
        <v>-65000000</v>
      </c>
      <c r="IZB69" s="61">
        <f t="shared" si="1645"/>
        <v>-65000000</v>
      </c>
      <c r="IZC69" s="61">
        <f t="shared" si="1645"/>
        <v>-65000000</v>
      </c>
      <c r="IZD69" s="61">
        <f t="shared" si="1645"/>
        <v>-65000000</v>
      </c>
      <c r="IZE69" s="61">
        <f t="shared" si="1645"/>
        <v>-65000000</v>
      </c>
      <c r="IZF69" s="61">
        <f t="shared" si="1645"/>
        <v>-65000000</v>
      </c>
      <c r="IZG69" s="61">
        <f t="shared" si="1645"/>
        <v>-65000000</v>
      </c>
      <c r="IZH69" s="61">
        <f t="shared" si="1645"/>
        <v>-65000000</v>
      </c>
      <c r="IZI69" s="61">
        <f t="shared" si="1645"/>
        <v>-65000000</v>
      </c>
      <c r="IZJ69" s="61">
        <f t="shared" si="1645"/>
        <v>-65000000</v>
      </c>
      <c r="IZK69" s="61">
        <f t="shared" si="1645"/>
        <v>-65000000</v>
      </c>
      <c r="IZL69" s="61">
        <f t="shared" si="1645"/>
        <v>-65000000</v>
      </c>
      <c r="IZM69" s="61">
        <f t="shared" si="1645"/>
        <v>-65000000</v>
      </c>
      <c r="IZN69" s="61">
        <f t="shared" si="1645"/>
        <v>-65000000</v>
      </c>
      <c r="IZO69" s="61">
        <f t="shared" si="1645"/>
        <v>-65000000</v>
      </c>
      <c r="IZP69" s="61">
        <f t="shared" si="1645"/>
        <v>-65000000</v>
      </c>
      <c r="IZQ69" s="61">
        <f t="shared" si="1645"/>
        <v>-65000000</v>
      </c>
      <c r="IZR69" s="61">
        <f t="shared" si="1645"/>
        <v>-65000000</v>
      </c>
      <c r="IZS69" s="61">
        <f t="shared" si="1645"/>
        <v>-65000000</v>
      </c>
      <c r="IZT69" s="61">
        <f t="shared" si="1645"/>
        <v>-65000000</v>
      </c>
      <c r="IZU69" s="61">
        <f t="shared" si="1645"/>
        <v>-65000000</v>
      </c>
      <c r="IZV69" s="61">
        <f t="shared" si="1645"/>
        <v>-65000000</v>
      </c>
      <c r="IZW69" s="61">
        <f t="shared" si="1645"/>
        <v>-65000000</v>
      </c>
      <c r="IZX69" s="61">
        <f t="shared" si="1645"/>
        <v>-65000000</v>
      </c>
      <c r="IZY69" s="61">
        <f t="shared" si="1645"/>
        <v>-65000000</v>
      </c>
      <c r="IZZ69" s="61">
        <f t="shared" si="1645"/>
        <v>-65000000</v>
      </c>
      <c r="JAA69" s="61">
        <f t="shared" si="1645"/>
        <v>-65000000</v>
      </c>
      <c r="JAB69" s="61">
        <f t="shared" si="1645"/>
        <v>-65000000</v>
      </c>
      <c r="JAC69" s="61">
        <f t="shared" si="1645"/>
        <v>-65000000</v>
      </c>
      <c r="JAD69" s="61">
        <f t="shared" si="1645"/>
        <v>-65000000</v>
      </c>
      <c r="JAE69" s="61">
        <f t="shared" si="1645"/>
        <v>-65000000</v>
      </c>
      <c r="JAF69" s="61">
        <f t="shared" si="1645"/>
        <v>-65000000</v>
      </c>
      <c r="JAG69" s="61">
        <f t="shared" si="1645"/>
        <v>-65000000</v>
      </c>
      <c r="JAH69" s="61">
        <f t="shared" si="1645"/>
        <v>-65000000</v>
      </c>
      <c r="JAI69" s="61">
        <f t="shared" si="1645"/>
        <v>-65000000</v>
      </c>
      <c r="JAJ69" s="61">
        <f t="shared" si="1645"/>
        <v>-65000000</v>
      </c>
      <c r="JAK69" s="61">
        <f t="shared" si="1645"/>
        <v>-65000000</v>
      </c>
      <c r="JAL69" s="61">
        <f t="shared" si="1645"/>
        <v>-65000000</v>
      </c>
      <c r="JAM69" s="61">
        <f t="shared" si="1645"/>
        <v>-65000000</v>
      </c>
      <c r="JAN69" s="61">
        <f t="shared" si="1645"/>
        <v>-65000000</v>
      </c>
      <c r="JAO69" s="61">
        <f t="shared" si="1645"/>
        <v>-65000000</v>
      </c>
      <c r="JAP69" s="61">
        <f t="shared" si="1645"/>
        <v>-65000000</v>
      </c>
      <c r="JAQ69" s="61">
        <f t="shared" si="1645"/>
        <v>-65000000</v>
      </c>
      <c r="JAR69" s="61">
        <f t="shared" si="1645"/>
        <v>-65000000</v>
      </c>
      <c r="JAS69" s="61">
        <f t="shared" si="1645"/>
        <v>-65000000</v>
      </c>
      <c r="JAT69" s="61">
        <f t="shared" si="1645"/>
        <v>-65000000</v>
      </c>
      <c r="JAU69" s="61">
        <f t="shared" si="1645"/>
        <v>-65000000</v>
      </c>
      <c r="JAV69" s="61">
        <f t="shared" si="1645"/>
        <v>-65000000</v>
      </c>
      <c r="JAW69" s="61">
        <f t="shared" si="1645"/>
        <v>-65000000</v>
      </c>
      <c r="JAX69" s="61">
        <f t="shared" si="1645"/>
        <v>-65000000</v>
      </c>
      <c r="JAY69" s="61">
        <f t="shared" si="1645"/>
        <v>-65000000</v>
      </c>
      <c r="JAZ69" s="61">
        <f t="shared" si="1645"/>
        <v>-65000000</v>
      </c>
      <c r="JBA69" s="61">
        <f t="shared" si="1645"/>
        <v>-65000000</v>
      </c>
      <c r="JBB69" s="61">
        <f t="shared" si="1645"/>
        <v>-65000000</v>
      </c>
      <c r="JBC69" s="61">
        <f t="shared" ref="JBC69:JDN69" si="1646">JBC68-$EC$11-JBC11</f>
        <v>-65000000</v>
      </c>
      <c r="JBD69" s="61">
        <f t="shared" si="1646"/>
        <v>-65000000</v>
      </c>
      <c r="JBE69" s="61">
        <f t="shared" si="1646"/>
        <v>-65000000</v>
      </c>
      <c r="JBF69" s="61">
        <f t="shared" si="1646"/>
        <v>-65000000</v>
      </c>
      <c r="JBG69" s="61">
        <f t="shared" si="1646"/>
        <v>-65000000</v>
      </c>
      <c r="JBH69" s="61">
        <f t="shared" si="1646"/>
        <v>-65000000</v>
      </c>
      <c r="JBI69" s="61">
        <f t="shared" si="1646"/>
        <v>-65000000</v>
      </c>
      <c r="JBJ69" s="61">
        <f t="shared" si="1646"/>
        <v>-65000000</v>
      </c>
      <c r="JBK69" s="61">
        <f t="shared" si="1646"/>
        <v>-65000000</v>
      </c>
      <c r="JBL69" s="61">
        <f t="shared" si="1646"/>
        <v>-65000000</v>
      </c>
      <c r="JBM69" s="61">
        <f t="shared" si="1646"/>
        <v>-65000000</v>
      </c>
      <c r="JBN69" s="61">
        <f t="shared" si="1646"/>
        <v>-65000000</v>
      </c>
      <c r="JBO69" s="61">
        <f t="shared" si="1646"/>
        <v>-65000000</v>
      </c>
      <c r="JBP69" s="61">
        <f t="shared" si="1646"/>
        <v>-65000000</v>
      </c>
      <c r="JBQ69" s="61">
        <f t="shared" si="1646"/>
        <v>-65000000</v>
      </c>
      <c r="JBR69" s="61">
        <f t="shared" si="1646"/>
        <v>-65000000</v>
      </c>
      <c r="JBS69" s="61">
        <f t="shared" si="1646"/>
        <v>-65000000</v>
      </c>
      <c r="JBT69" s="61">
        <f t="shared" si="1646"/>
        <v>-65000000</v>
      </c>
      <c r="JBU69" s="61">
        <f t="shared" si="1646"/>
        <v>-65000000</v>
      </c>
      <c r="JBV69" s="61">
        <f t="shared" si="1646"/>
        <v>-65000000</v>
      </c>
      <c r="JBW69" s="61">
        <f t="shared" si="1646"/>
        <v>-65000000</v>
      </c>
      <c r="JBX69" s="61">
        <f t="shared" si="1646"/>
        <v>-65000000</v>
      </c>
      <c r="JBY69" s="61">
        <f t="shared" si="1646"/>
        <v>-65000000</v>
      </c>
      <c r="JBZ69" s="61">
        <f t="shared" si="1646"/>
        <v>-65000000</v>
      </c>
      <c r="JCA69" s="61">
        <f t="shared" si="1646"/>
        <v>-65000000</v>
      </c>
      <c r="JCB69" s="61">
        <f t="shared" si="1646"/>
        <v>-65000000</v>
      </c>
      <c r="JCC69" s="61">
        <f t="shared" si="1646"/>
        <v>-65000000</v>
      </c>
      <c r="JCD69" s="61">
        <f t="shared" si="1646"/>
        <v>-65000000</v>
      </c>
      <c r="JCE69" s="61">
        <f t="shared" si="1646"/>
        <v>-65000000</v>
      </c>
      <c r="JCF69" s="61">
        <f t="shared" si="1646"/>
        <v>-65000000</v>
      </c>
      <c r="JCG69" s="61">
        <f t="shared" si="1646"/>
        <v>-65000000</v>
      </c>
      <c r="JCH69" s="61">
        <f t="shared" si="1646"/>
        <v>-65000000</v>
      </c>
      <c r="JCI69" s="61">
        <f t="shared" si="1646"/>
        <v>-65000000</v>
      </c>
      <c r="JCJ69" s="61">
        <f t="shared" si="1646"/>
        <v>-65000000</v>
      </c>
      <c r="JCK69" s="61">
        <f t="shared" si="1646"/>
        <v>-65000000</v>
      </c>
      <c r="JCL69" s="61">
        <f t="shared" si="1646"/>
        <v>-65000000</v>
      </c>
      <c r="JCM69" s="61">
        <f t="shared" si="1646"/>
        <v>-65000000</v>
      </c>
      <c r="JCN69" s="61">
        <f t="shared" si="1646"/>
        <v>-65000000</v>
      </c>
      <c r="JCO69" s="61">
        <f t="shared" si="1646"/>
        <v>-65000000</v>
      </c>
      <c r="JCP69" s="61">
        <f t="shared" si="1646"/>
        <v>-65000000</v>
      </c>
      <c r="JCQ69" s="61">
        <f t="shared" si="1646"/>
        <v>-65000000</v>
      </c>
      <c r="JCR69" s="61">
        <f t="shared" si="1646"/>
        <v>-65000000</v>
      </c>
      <c r="JCS69" s="61">
        <f t="shared" si="1646"/>
        <v>-65000000</v>
      </c>
      <c r="JCT69" s="61">
        <f t="shared" si="1646"/>
        <v>-65000000</v>
      </c>
      <c r="JCU69" s="61">
        <f t="shared" si="1646"/>
        <v>-65000000</v>
      </c>
      <c r="JCV69" s="61">
        <f t="shared" si="1646"/>
        <v>-65000000</v>
      </c>
      <c r="JCW69" s="61">
        <f t="shared" si="1646"/>
        <v>-65000000</v>
      </c>
      <c r="JCX69" s="61">
        <f t="shared" si="1646"/>
        <v>-65000000</v>
      </c>
      <c r="JCY69" s="61">
        <f t="shared" si="1646"/>
        <v>-65000000</v>
      </c>
      <c r="JCZ69" s="61">
        <f t="shared" si="1646"/>
        <v>-65000000</v>
      </c>
      <c r="JDA69" s="61">
        <f t="shared" si="1646"/>
        <v>-65000000</v>
      </c>
      <c r="JDB69" s="61">
        <f t="shared" si="1646"/>
        <v>-65000000</v>
      </c>
      <c r="JDC69" s="61">
        <f t="shared" si="1646"/>
        <v>-65000000</v>
      </c>
      <c r="JDD69" s="61">
        <f t="shared" si="1646"/>
        <v>-65000000</v>
      </c>
      <c r="JDE69" s="61">
        <f t="shared" si="1646"/>
        <v>-65000000</v>
      </c>
      <c r="JDF69" s="61">
        <f t="shared" si="1646"/>
        <v>-65000000</v>
      </c>
      <c r="JDG69" s="61">
        <f t="shared" si="1646"/>
        <v>-65000000</v>
      </c>
      <c r="JDH69" s="61">
        <f t="shared" si="1646"/>
        <v>-65000000</v>
      </c>
      <c r="JDI69" s="61">
        <f t="shared" si="1646"/>
        <v>-65000000</v>
      </c>
      <c r="JDJ69" s="61">
        <f t="shared" si="1646"/>
        <v>-65000000</v>
      </c>
      <c r="JDK69" s="61">
        <f t="shared" si="1646"/>
        <v>-65000000</v>
      </c>
      <c r="JDL69" s="61">
        <f t="shared" si="1646"/>
        <v>-65000000</v>
      </c>
      <c r="JDM69" s="61">
        <f t="shared" si="1646"/>
        <v>-65000000</v>
      </c>
      <c r="JDN69" s="61">
        <f t="shared" si="1646"/>
        <v>-65000000</v>
      </c>
      <c r="JDO69" s="61">
        <f t="shared" ref="JDO69:JFZ69" si="1647">JDO68-$EC$11-JDO11</f>
        <v>-65000000</v>
      </c>
      <c r="JDP69" s="61">
        <f t="shared" si="1647"/>
        <v>-65000000</v>
      </c>
      <c r="JDQ69" s="61">
        <f t="shared" si="1647"/>
        <v>-65000000</v>
      </c>
      <c r="JDR69" s="61">
        <f t="shared" si="1647"/>
        <v>-65000000</v>
      </c>
      <c r="JDS69" s="61">
        <f t="shared" si="1647"/>
        <v>-65000000</v>
      </c>
      <c r="JDT69" s="61">
        <f t="shared" si="1647"/>
        <v>-65000000</v>
      </c>
      <c r="JDU69" s="61">
        <f t="shared" si="1647"/>
        <v>-65000000</v>
      </c>
      <c r="JDV69" s="61">
        <f t="shared" si="1647"/>
        <v>-65000000</v>
      </c>
      <c r="JDW69" s="61">
        <f t="shared" si="1647"/>
        <v>-65000000</v>
      </c>
      <c r="JDX69" s="61">
        <f t="shared" si="1647"/>
        <v>-65000000</v>
      </c>
      <c r="JDY69" s="61">
        <f t="shared" si="1647"/>
        <v>-65000000</v>
      </c>
      <c r="JDZ69" s="61">
        <f t="shared" si="1647"/>
        <v>-65000000</v>
      </c>
      <c r="JEA69" s="61">
        <f t="shared" si="1647"/>
        <v>-65000000</v>
      </c>
      <c r="JEB69" s="61">
        <f t="shared" si="1647"/>
        <v>-65000000</v>
      </c>
      <c r="JEC69" s="61">
        <f t="shared" si="1647"/>
        <v>-65000000</v>
      </c>
      <c r="JED69" s="61">
        <f t="shared" si="1647"/>
        <v>-65000000</v>
      </c>
      <c r="JEE69" s="61">
        <f t="shared" si="1647"/>
        <v>-65000000</v>
      </c>
      <c r="JEF69" s="61">
        <f t="shared" si="1647"/>
        <v>-65000000</v>
      </c>
      <c r="JEG69" s="61">
        <f t="shared" si="1647"/>
        <v>-65000000</v>
      </c>
      <c r="JEH69" s="61">
        <f t="shared" si="1647"/>
        <v>-65000000</v>
      </c>
      <c r="JEI69" s="61">
        <f t="shared" si="1647"/>
        <v>-65000000</v>
      </c>
      <c r="JEJ69" s="61">
        <f t="shared" si="1647"/>
        <v>-65000000</v>
      </c>
      <c r="JEK69" s="61">
        <f t="shared" si="1647"/>
        <v>-65000000</v>
      </c>
      <c r="JEL69" s="61">
        <f t="shared" si="1647"/>
        <v>-65000000</v>
      </c>
      <c r="JEM69" s="61">
        <f t="shared" si="1647"/>
        <v>-65000000</v>
      </c>
      <c r="JEN69" s="61">
        <f t="shared" si="1647"/>
        <v>-65000000</v>
      </c>
      <c r="JEO69" s="61">
        <f t="shared" si="1647"/>
        <v>-65000000</v>
      </c>
      <c r="JEP69" s="61">
        <f t="shared" si="1647"/>
        <v>-65000000</v>
      </c>
      <c r="JEQ69" s="61">
        <f t="shared" si="1647"/>
        <v>-65000000</v>
      </c>
      <c r="JER69" s="61">
        <f t="shared" si="1647"/>
        <v>-65000000</v>
      </c>
      <c r="JES69" s="61">
        <f t="shared" si="1647"/>
        <v>-65000000</v>
      </c>
      <c r="JET69" s="61">
        <f t="shared" si="1647"/>
        <v>-65000000</v>
      </c>
      <c r="JEU69" s="61">
        <f t="shared" si="1647"/>
        <v>-65000000</v>
      </c>
      <c r="JEV69" s="61">
        <f t="shared" si="1647"/>
        <v>-65000000</v>
      </c>
      <c r="JEW69" s="61">
        <f t="shared" si="1647"/>
        <v>-65000000</v>
      </c>
      <c r="JEX69" s="61">
        <f t="shared" si="1647"/>
        <v>-65000000</v>
      </c>
      <c r="JEY69" s="61">
        <f t="shared" si="1647"/>
        <v>-65000000</v>
      </c>
      <c r="JEZ69" s="61">
        <f t="shared" si="1647"/>
        <v>-65000000</v>
      </c>
      <c r="JFA69" s="61">
        <f t="shared" si="1647"/>
        <v>-65000000</v>
      </c>
      <c r="JFB69" s="61">
        <f t="shared" si="1647"/>
        <v>-65000000</v>
      </c>
      <c r="JFC69" s="61">
        <f t="shared" si="1647"/>
        <v>-65000000</v>
      </c>
      <c r="JFD69" s="61">
        <f t="shared" si="1647"/>
        <v>-65000000</v>
      </c>
      <c r="JFE69" s="61">
        <f t="shared" si="1647"/>
        <v>-65000000</v>
      </c>
      <c r="JFF69" s="61">
        <f t="shared" si="1647"/>
        <v>-65000000</v>
      </c>
      <c r="JFG69" s="61">
        <f t="shared" si="1647"/>
        <v>-65000000</v>
      </c>
      <c r="JFH69" s="61">
        <f t="shared" si="1647"/>
        <v>-65000000</v>
      </c>
      <c r="JFI69" s="61">
        <f t="shared" si="1647"/>
        <v>-65000000</v>
      </c>
      <c r="JFJ69" s="61">
        <f t="shared" si="1647"/>
        <v>-65000000</v>
      </c>
      <c r="JFK69" s="61">
        <f t="shared" si="1647"/>
        <v>-65000000</v>
      </c>
      <c r="JFL69" s="61">
        <f t="shared" si="1647"/>
        <v>-65000000</v>
      </c>
      <c r="JFM69" s="61">
        <f t="shared" si="1647"/>
        <v>-65000000</v>
      </c>
      <c r="JFN69" s="61">
        <f t="shared" si="1647"/>
        <v>-65000000</v>
      </c>
      <c r="JFO69" s="61">
        <f t="shared" si="1647"/>
        <v>-65000000</v>
      </c>
      <c r="JFP69" s="61">
        <f t="shared" si="1647"/>
        <v>-65000000</v>
      </c>
      <c r="JFQ69" s="61">
        <f t="shared" si="1647"/>
        <v>-65000000</v>
      </c>
      <c r="JFR69" s="61">
        <f t="shared" si="1647"/>
        <v>-65000000</v>
      </c>
      <c r="JFS69" s="61">
        <f t="shared" si="1647"/>
        <v>-65000000</v>
      </c>
      <c r="JFT69" s="61">
        <f t="shared" si="1647"/>
        <v>-65000000</v>
      </c>
      <c r="JFU69" s="61">
        <f t="shared" si="1647"/>
        <v>-65000000</v>
      </c>
      <c r="JFV69" s="61">
        <f t="shared" si="1647"/>
        <v>-65000000</v>
      </c>
      <c r="JFW69" s="61">
        <f t="shared" si="1647"/>
        <v>-65000000</v>
      </c>
      <c r="JFX69" s="61">
        <f t="shared" si="1647"/>
        <v>-65000000</v>
      </c>
      <c r="JFY69" s="61">
        <f t="shared" si="1647"/>
        <v>-65000000</v>
      </c>
      <c r="JFZ69" s="61">
        <f t="shared" si="1647"/>
        <v>-65000000</v>
      </c>
      <c r="JGA69" s="61">
        <f t="shared" ref="JGA69:JIL69" si="1648">JGA68-$EC$11-JGA11</f>
        <v>-65000000</v>
      </c>
      <c r="JGB69" s="61">
        <f t="shared" si="1648"/>
        <v>-65000000</v>
      </c>
      <c r="JGC69" s="61">
        <f t="shared" si="1648"/>
        <v>-65000000</v>
      </c>
      <c r="JGD69" s="61">
        <f t="shared" si="1648"/>
        <v>-65000000</v>
      </c>
      <c r="JGE69" s="61">
        <f t="shared" si="1648"/>
        <v>-65000000</v>
      </c>
      <c r="JGF69" s="61">
        <f t="shared" si="1648"/>
        <v>-65000000</v>
      </c>
      <c r="JGG69" s="61">
        <f t="shared" si="1648"/>
        <v>-65000000</v>
      </c>
      <c r="JGH69" s="61">
        <f t="shared" si="1648"/>
        <v>-65000000</v>
      </c>
      <c r="JGI69" s="61">
        <f t="shared" si="1648"/>
        <v>-65000000</v>
      </c>
      <c r="JGJ69" s="61">
        <f t="shared" si="1648"/>
        <v>-65000000</v>
      </c>
      <c r="JGK69" s="61">
        <f t="shared" si="1648"/>
        <v>-65000000</v>
      </c>
      <c r="JGL69" s="61">
        <f t="shared" si="1648"/>
        <v>-65000000</v>
      </c>
      <c r="JGM69" s="61">
        <f t="shared" si="1648"/>
        <v>-65000000</v>
      </c>
      <c r="JGN69" s="61">
        <f t="shared" si="1648"/>
        <v>-65000000</v>
      </c>
      <c r="JGO69" s="61">
        <f t="shared" si="1648"/>
        <v>-65000000</v>
      </c>
      <c r="JGP69" s="61">
        <f t="shared" si="1648"/>
        <v>-65000000</v>
      </c>
      <c r="JGQ69" s="61">
        <f t="shared" si="1648"/>
        <v>-65000000</v>
      </c>
      <c r="JGR69" s="61">
        <f t="shared" si="1648"/>
        <v>-65000000</v>
      </c>
      <c r="JGS69" s="61">
        <f t="shared" si="1648"/>
        <v>-65000000</v>
      </c>
      <c r="JGT69" s="61">
        <f t="shared" si="1648"/>
        <v>-65000000</v>
      </c>
      <c r="JGU69" s="61">
        <f t="shared" si="1648"/>
        <v>-65000000</v>
      </c>
      <c r="JGV69" s="61">
        <f t="shared" si="1648"/>
        <v>-65000000</v>
      </c>
      <c r="JGW69" s="61">
        <f t="shared" si="1648"/>
        <v>-65000000</v>
      </c>
      <c r="JGX69" s="61">
        <f t="shared" si="1648"/>
        <v>-65000000</v>
      </c>
      <c r="JGY69" s="61">
        <f t="shared" si="1648"/>
        <v>-65000000</v>
      </c>
      <c r="JGZ69" s="61">
        <f t="shared" si="1648"/>
        <v>-65000000</v>
      </c>
      <c r="JHA69" s="61">
        <f t="shared" si="1648"/>
        <v>-65000000</v>
      </c>
      <c r="JHB69" s="61">
        <f t="shared" si="1648"/>
        <v>-65000000</v>
      </c>
      <c r="JHC69" s="61">
        <f t="shared" si="1648"/>
        <v>-65000000</v>
      </c>
      <c r="JHD69" s="61">
        <f t="shared" si="1648"/>
        <v>-65000000</v>
      </c>
      <c r="JHE69" s="61">
        <f t="shared" si="1648"/>
        <v>-65000000</v>
      </c>
      <c r="JHF69" s="61">
        <f t="shared" si="1648"/>
        <v>-65000000</v>
      </c>
      <c r="JHG69" s="61">
        <f t="shared" si="1648"/>
        <v>-65000000</v>
      </c>
      <c r="JHH69" s="61">
        <f t="shared" si="1648"/>
        <v>-65000000</v>
      </c>
      <c r="JHI69" s="61">
        <f t="shared" si="1648"/>
        <v>-65000000</v>
      </c>
      <c r="JHJ69" s="61">
        <f t="shared" si="1648"/>
        <v>-65000000</v>
      </c>
      <c r="JHK69" s="61">
        <f t="shared" si="1648"/>
        <v>-65000000</v>
      </c>
      <c r="JHL69" s="61">
        <f t="shared" si="1648"/>
        <v>-65000000</v>
      </c>
      <c r="JHM69" s="61">
        <f t="shared" si="1648"/>
        <v>-65000000</v>
      </c>
      <c r="JHN69" s="61">
        <f t="shared" si="1648"/>
        <v>-65000000</v>
      </c>
      <c r="JHO69" s="61">
        <f t="shared" si="1648"/>
        <v>-65000000</v>
      </c>
      <c r="JHP69" s="61">
        <f t="shared" si="1648"/>
        <v>-65000000</v>
      </c>
      <c r="JHQ69" s="61">
        <f t="shared" si="1648"/>
        <v>-65000000</v>
      </c>
      <c r="JHR69" s="61">
        <f t="shared" si="1648"/>
        <v>-65000000</v>
      </c>
      <c r="JHS69" s="61">
        <f t="shared" si="1648"/>
        <v>-65000000</v>
      </c>
      <c r="JHT69" s="61">
        <f t="shared" si="1648"/>
        <v>-65000000</v>
      </c>
      <c r="JHU69" s="61">
        <f t="shared" si="1648"/>
        <v>-65000000</v>
      </c>
      <c r="JHV69" s="61">
        <f t="shared" si="1648"/>
        <v>-65000000</v>
      </c>
      <c r="JHW69" s="61">
        <f t="shared" si="1648"/>
        <v>-65000000</v>
      </c>
      <c r="JHX69" s="61">
        <f t="shared" si="1648"/>
        <v>-65000000</v>
      </c>
      <c r="JHY69" s="61">
        <f t="shared" si="1648"/>
        <v>-65000000</v>
      </c>
      <c r="JHZ69" s="61">
        <f t="shared" si="1648"/>
        <v>-65000000</v>
      </c>
      <c r="JIA69" s="61">
        <f t="shared" si="1648"/>
        <v>-65000000</v>
      </c>
      <c r="JIB69" s="61">
        <f t="shared" si="1648"/>
        <v>-65000000</v>
      </c>
      <c r="JIC69" s="61">
        <f t="shared" si="1648"/>
        <v>-65000000</v>
      </c>
      <c r="JID69" s="61">
        <f t="shared" si="1648"/>
        <v>-65000000</v>
      </c>
      <c r="JIE69" s="61">
        <f t="shared" si="1648"/>
        <v>-65000000</v>
      </c>
      <c r="JIF69" s="61">
        <f t="shared" si="1648"/>
        <v>-65000000</v>
      </c>
      <c r="JIG69" s="61">
        <f t="shared" si="1648"/>
        <v>-65000000</v>
      </c>
      <c r="JIH69" s="61">
        <f t="shared" si="1648"/>
        <v>-65000000</v>
      </c>
      <c r="JII69" s="61">
        <f t="shared" si="1648"/>
        <v>-65000000</v>
      </c>
      <c r="JIJ69" s="61">
        <f t="shared" si="1648"/>
        <v>-65000000</v>
      </c>
      <c r="JIK69" s="61">
        <f t="shared" si="1648"/>
        <v>-65000000</v>
      </c>
      <c r="JIL69" s="61">
        <f t="shared" si="1648"/>
        <v>-65000000</v>
      </c>
      <c r="JIM69" s="61">
        <f t="shared" ref="JIM69:JKX69" si="1649">JIM68-$EC$11-JIM11</f>
        <v>-65000000</v>
      </c>
      <c r="JIN69" s="61">
        <f t="shared" si="1649"/>
        <v>-65000000</v>
      </c>
      <c r="JIO69" s="61">
        <f t="shared" si="1649"/>
        <v>-65000000</v>
      </c>
      <c r="JIP69" s="61">
        <f t="shared" si="1649"/>
        <v>-65000000</v>
      </c>
      <c r="JIQ69" s="61">
        <f t="shared" si="1649"/>
        <v>-65000000</v>
      </c>
      <c r="JIR69" s="61">
        <f t="shared" si="1649"/>
        <v>-65000000</v>
      </c>
      <c r="JIS69" s="61">
        <f t="shared" si="1649"/>
        <v>-65000000</v>
      </c>
      <c r="JIT69" s="61">
        <f t="shared" si="1649"/>
        <v>-65000000</v>
      </c>
      <c r="JIU69" s="61">
        <f t="shared" si="1649"/>
        <v>-65000000</v>
      </c>
      <c r="JIV69" s="61">
        <f t="shared" si="1649"/>
        <v>-65000000</v>
      </c>
      <c r="JIW69" s="61">
        <f t="shared" si="1649"/>
        <v>-65000000</v>
      </c>
      <c r="JIX69" s="61">
        <f t="shared" si="1649"/>
        <v>-65000000</v>
      </c>
      <c r="JIY69" s="61">
        <f t="shared" si="1649"/>
        <v>-65000000</v>
      </c>
      <c r="JIZ69" s="61">
        <f t="shared" si="1649"/>
        <v>-65000000</v>
      </c>
      <c r="JJA69" s="61">
        <f t="shared" si="1649"/>
        <v>-65000000</v>
      </c>
      <c r="JJB69" s="61">
        <f t="shared" si="1649"/>
        <v>-65000000</v>
      </c>
      <c r="JJC69" s="61">
        <f t="shared" si="1649"/>
        <v>-65000000</v>
      </c>
      <c r="JJD69" s="61">
        <f t="shared" si="1649"/>
        <v>-65000000</v>
      </c>
      <c r="JJE69" s="61">
        <f t="shared" si="1649"/>
        <v>-65000000</v>
      </c>
      <c r="JJF69" s="61">
        <f t="shared" si="1649"/>
        <v>-65000000</v>
      </c>
      <c r="JJG69" s="61">
        <f t="shared" si="1649"/>
        <v>-65000000</v>
      </c>
      <c r="JJH69" s="61">
        <f t="shared" si="1649"/>
        <v>-65000000</v>
      </c>
      <c r="JJI69" s="61">
        <f t="shared" si="1649"/>
        <v>-65000000</v>
      </c>
      <c r="JJJ69" s="61">
        <f t="shared" si="1649"/>
        <v>-65000000</v>
      </c>
      <c r="JJK69" s="61">
        <f t="shared" si="1649"/>
        <v>-65000000</v>
      </c>
      <c r="JJL69" s="61">
        <f t="shared" si="1649"/>
        <v>-65000000</v>
      </c>
      <c r="JJM69" s="61">
        <f t="shared" si="1649"/>
        <v>-65000000</v>
      </c>
      <c r="JJN69" s="61">
        <f t="shared" si="1649"/>
        <v>-65000000</v>
      </c>
      <c r="JJO69" s="61">
        <f t="shared" si="1649"/>
        <v>-65000000</v>
      </c>
      <c r="JJP69" s="61">
        <f t="shared" si="1649"/>
        <v>-65000000</v>
      </c>
      <c r="JJQ69" s="61">
        <f t="shared" si="1649"/>
        <v>-65000000</v>
      </c>
      <c r="JJR69" s="61">
        <f t="shared" si="1649"/>
        <v>-65000000</v>
      </c>
      <c r="JJS69" s="61">
        <f t="shared" si="1649"/>
        <v>-65000000</v>
      </c>
      <c r="JJT69" s="61">
        <f t="shared" si="1649"/>
        <v>-65000000</v>
      </c>
      <c r="JJU69" s="61">
        <f t="shared" si="1649"/>
        <v>-65000000</v>
      </c>
      <c r="JJV69" s="61">
        <f t="shared" si="1649"/>
        <v>-65000000</v>
      </c>
      <c r="JJW69" s="61">
        <f t="shared" si="1649"/>
        <v>-65000000</v>
      </c>
      <c r="JJX69" s="61">
        <f t="shared" si="1649"/>
        <v>-65000000</v>
      </c>
      <c r="JJY69" s="61">
        <f t="shared" si="1649"/>
        <v>-65000000</v>
      </c>
      <c r="JJZ69" s="61">
        <f t="shared" si="1649"/>
        <v>-65000000</v>
      </c>
      <c r="JKA69" s="61">
        <f t="shared" si="1649"/>
        <v>-65000000</v>
      </c>
      <c r="JKB69" s="61">
        <f t="shared" si="1649"/>
        <v>-65000000</v>
      </c>
      <c r="JKC69" s="61">
        <f t="shared" si="1649"/>
        <v>-65000000</v>
      </c>
      <c r="JKD69" s="61">
        <f t="shared" si="1649"/>
        <v>-65000000</v>
      </c>
      <c r="JKE69" s="61">
        <f t="shared" si="1649"/>
        <v>-65000000</v>
      </c>
      <c r="JKF69" s="61">
        <f t="shared" si="1649"/>
        <v>-65000000</v>
      </c>
      <c r="JKG69" s="61">
        <f t="shared" si="1649"/>
        <v>-65000000</v>
      </c>
      <c r="JKH69" s="61">
        <f t="shared" si="1649"/>
        <v>-65000000</v>
      </c>
      <c r="JKI69" s="61">
        <f t="shared" si="1649"/>
        <v>-65000000</v>
      </c>
      <c r="JKJ69" s="61">
        <f t="shared" si="1649"/>
        <v>-65000000</v>
      </c>
      <c r="JKK69" s="61">
        <f t="shared" si="1649"/>
        <v>-65000000</v>
      </c>
      <c r="JKL69" s="61">
        <f t="shared" si="1649"/>
        <v>-65000000</v>
      </c>
      <c r="JKM69" s="61">
        <f t="shared" si="1649"/>
        <v>-65000000</v>
      </c>
      <c r="JKN69" s="61">
        <f t="shared" si="1649"/>
        <v>-65000000</v>
      </c>
      <c r="JKO69" s="61">
        <f t="shared" si="1649"/>
        <v>-65000000</v>
      </c>
      <c r="JKP69" s="61">
        <f t="shared" si="1649"/>
        <v>-65000000</v>
      </c>
      <c r="JKQ69" s="61">
        <f t="shared" si="1649"/>
        <v>-65000000</v>
      </c>
      <c r="JKR69" s="61">
        <f t="shared" si="1649"/>
        <v>-65000000</v>
      </c>
      <c r="JKS69" s="61">
        <f t="shared" si="1649"/>
        <v>-65000000</v>
      </c>
      <c r="JKT69" s="61">
        <f t="shared" si="1649"/>
        <v>-65000000</v>
      </c>
      <c r="JKU69" s="61">
        <f t="shared" si="1649"/>
        <v>-65000000</v>
      </c>
      <c r="JKV69" s="61">
        <f t="shared" si="1649"/>
        <v>-65000000</v>
      </c>
      <c r="JKW69" s="61">
        <f t="shared" si="1649"/>
        <v>-65000000</v>
      </c>
      <c r="JKX69" s="61">
        <f t="shared" si="1649"/>
        <v>-65000000</v>
      </c>
      <c r="JKY69" s="61">
        <f t="shared" ref="JKY69:JNJ69" si="1650">JKY68-$EC$11-JKY11</f>
        <v>-65000000</v>
      </c>
      <c r="JKZ69" s="61">
        <f t="shared" si="1650"/>
        <v>-65000000</v>
      </c>
      <c r="JLA69" s="61">
        <f t="shared" si="1650"/>
        <v>-65000000</v>
      </c>
      <c r="JLB69" s="61">
        <f t="shared" si="1650"/>
        <v>-65000000</v>
      </c>
      <c r="JLC69" s="61">
        <f t="shared" si="1650"/>
        <v>-65000000</v>
      </c>
      <c r="JLD69" s="61">
        <f t="shared" si="1650"/>
        <v>-65000000</v>
      </c>
      <c r="JLE69" s="61">
        <f t="shared" si="1650"/>
        <v>-65000000</v>
      </c>
      <c r="JLF69" s="61">
        <f t="shared" si="1650"/>
        <v>-65000000</v>
      </c>
      <c r="JLG69" s="61">
        <f t="shared" si="1650"/>
        <v>-65000000</v>
      </c>
      <c r="JLH69" s="61">
        <f t="shared" si="1650"/>
        <v>-65000000</v>
      </c>
      <c r="JLI69" s="61">
        <f t="shared" si="1650"/>
        <v>-65000000</v>
      </c>
      <c r="JLJ69" s="61">
        <f t="shared" si="1650"/>
        <v>-65000000</v>
      </c>
      <c r="JLK69" s="61">
        <f t="shared" si="1650"/>
        <v>-65000000</v>
      </c>
      <c r="JLL69" s="61">
        <f t="shared" si="1650"/>
        <v>-65000000</v>
      </c>
      <c r="JLM69" s="61">
        <f t="shared" si="1650"/>
        <v>-65000000</v>
      </c>
      <c r="JLN69" s="61">
        <f t="shared" si="1650"/>
        <v>-65000000</v>
      </c>
      <c r="JLO69" s="61">
        <f t="shared" si="1650"/>
        <v>-65000000</v>
      </c>
      <c r="JLP69" s="61">
        <f t="shared" si="1650"/>
        <v>-65000000</v>
      </c>
      <c r="JLQ69" s="61">
        <f t="shared" si="1650"/>
        <v>-65000000</v>
      </c>
      <c r="JLR69" s="61">
        <f t="shared" si="1650"/>
        <v>-65000000</v>
      </c>
      <c r="JLS69" s="61">
        <f t="shared" si="1650"/>
        <v>-65000000</v>
      </c>
      <c r="JLT69" s="61">
        <f t="shared" si="1650"/>
        <v>-65000000</v>
      </c>
      <c r="JLU69" s="61">
        <f t="shared" si="1650"/>
        <v>-65000000</v>
      </c>
      <c r="JLV69" s="61">
        <f t="shared" si="1650"/>
        <v>-65000000</v>
      </c>
      <c r="JLW69" s="61">
        <f t="shared" si="1650"/>
        <v>-65000000</v>
      </c>
      <c r="JLX69" s="61">
        <f t="shared" si="1650"/>
        <v>-65000000</v>
      </c>
      <c r="JLY69" s="61">
        <f t="shared" si="1650"/>
        <v>-65000000</v>
      </c>
      <c r="JLZ69" s="61">
        <f t="shared" si="1650"/>
        <v>-65000000</v>
      </c>
      <c r="JMA69" s="61">
        <f t="shared" si="1650"/>
        <v>-65000000</v>
      </c>
      <c r="JMB69" s="61">
        <f t="shared" si="1650"/>
        <v>-65000000</v>
      </c>
      <c r="JMC69" s="61">
        <f t="shared" si="1650"/>
        <v>-65000000</v>
      </c>
      <c r="JMD69" s="61">
        <f t="shared" si="1650"/>
        <v>-65000000</v>
      </c>
      <c r="JME69" s="61">
        <f t="shared" si="1650"/>
        <v>-65000000</v>
      </c>
      <c r="JMF69" s="61">
        <f t="shared" si="1650"/>
        <v>-65000000</v>
      </c>
      <c r="JMG69" s="61">
        <f t="shared" si="1650"/>
        <v>-65000000</v>
      </c>
      <c r="JMH69" s="61">
        <f t="shared" si="1650"/>
        <v>-65000000</v>
      </c>
      <c r="JMI69" s="61">
        <f t="shared" si="1650"/>
        <v>-65000000</v>
      </c>
      <c r="JMJ69" s="61">
        <f t="shared" si="1650"/>
        <v>-65000000</v>
      </c>
      <c r="JMK69" s="61">
        <f t="shared" si="1650"/>
        <v>-65000000</v>
      </c>
      <c r="JML69" s="61">
        <f t="shared" si="1650"/>
        <v>-65000000</v>
      </c>
      <c r="JMM69" s="61">
        <f t="shared" si="1650"/>
        <v>-65000000</v>
      </c>
      <c r="JMN69" s="61">
        <f t="shared" si="1650"/>
        <v>-65000000</v>
      </c>
      <c r="JMO69" s="61">
        <f t="shared" si="1650"/>
        <v>-65000000</v>
      </c>
      <c r="JMP69" s="61">
        <f t="shared" si="1650"/>
        <v>-65000000</v>
      </c>
      <c r="JMQ69" s="61">
        <f t="shared" si="1650"/>
        <v>-65000000</v>
      </c>
      <c r="JMR69" s="61">
        <f t="shared" si="1650"/>
        <v>-65000000</v>
      </c>
      <c r="JMS69" s="61">
        <f t="shared" si="1650"/>
        <v>-65000000</v>
      </c>
      <c r="JMT69" s="61">
        <f t="shared" si="1650"/>
        <v>-65000000</v>
      </c>
      <c r="JMU69" s="61">
        <f t="shared" si="1650"/>
        <v>-65000000</v>
      </c>
      <c r="JMV69" s="61">
        <f t="shared" si="1650"/>
        <v>-65000000</v>
      </c>
      <c r="JMW69" s="61">
        <f t="shared" si="1650"/>
        <v>-65000000</v>
      </c>
      <c r="JMX69" s="61">
        <f t="shared" si="1650"/>
        <v>-65000000</v>
      </c>
      <c r="JMY69" s="61">
        <f t="shared" si="1650"/>
        <v>-65000000</v>
      </c>
      <c r="JMZ69" s="61">
        <f t="shared" si="1650"/>
        <v>-65000000</v>
      </c>
      <c r="JNA69" s="61">
        <f t="shared" si="1650"/>
        <v>-65000000</v>
      </c>
      <c r="JNB69" s="61">
        <f t="shared" si="1650"/>
        <v>-65000000</v>
      </c>
      <c r="JNC69" s="61">
        <f t="shared" si="1650"/>
        <v>-65000000</v>
      </c>
      <c r="JND69" s="61">
        <f t="shared" si="1650"/>
        <v>-65000000</v>
      </c>
      <c r="JNE69" s="61">
        <f t="shared" si="1650"/>
        <v>-65000000</v>
      </c>
      <c r="JNF69" s="61">
        <f t="shared" si="1650"/>
        <v>-65000000</v>
      </c>
      <c r="JNG69" s="61">
        <f t="shared" si="1650"/>
        <v>-65000000</v>
      </c>
      <c r="JNH69" s="61">
        <f t="shared" si="1650"/>
        <v>-65000000</v>
      </c>
      <c r="JNI69" s="61">
        <f t="shared" si="1650"/>
        <v>-65000000</v>
      </c>
      <c r="JNJ69" s="61">
        <f t="shared" si="1650"/>
        <v>-65000000</v>
      </c>
      <c r="JNK69" s="61">
        <f t="shared" ref="JNK69:JPV69" si="1651">JNK68-$EC$11-JNK11</f>
        <v>-65000000</v>
      </c>
      <c r="JNL69" s="61">
        <f t="shared" si="1651"/>
        <v>-65000000</v>
      </c>
      <c r="JNM69" s="61">
        <f t="shared" si="1651"/>
        <v>-65000000</v>
      </c>
      <c r="JNN69" s="61">
        <f t="shared" si="1651"/>
        <v>-65000000</v>
      </c>
      <c r="JNO69" s="61">
        <f t="shared" si="1651"/>
        <v>-65000000</v>
      </c>
      <c r="JNP69" s="61">
        <f t="shared" si="1651"/>
        <v>-65000000</v>
      </c>
      <c r="JNQ69" s="61">
        <f t="shared" si="1651"/>
        <v>-65000000</v>
      </c>
      <c r="JNR69" s="61">
        <f t="shared" si="1651"/>
        <v>-65000000</v>
      </c>
      <c r="JNS69" s="61">
        <f t="shared" si="1651"/>
        <v>-65000000</v>
      </c>
      <c r="JNT69" s="61">
        <f t="shared" si="1651"/>
        <v>-65000000</v>
      </c>
      <c r="JNU69" s="61">
        <f t="shared" si="1651"/>
        <v>-65000000</v>
      </c>
      <c r="JNV69" s="61">
        <f t="shared" si="1651"/>
        <v>-65000000</v>
      </c>
      <c r="JNW69" s="61">
        <f t="shared" si="1651"/>
        <v>-65000000</v>
      </c>
      <c r="JNX69" s="61">
        <f t="shared" si="1651"/>
        <v>-65000000</v>
      </c>
      <c r="JNY69" s="61">
        <f t="shared" si="1651"/>
        <v>-65000000</v>
      </c>
      <c r="JNZ69" s="61">
        <f t="shared" si="1651"/>
        <v>-65000000</v>
      </c>
      <c r="JOA69" s="61">
        <f t="shared" si="1651"/>
        <v>-65000000</v>
      </c>
      <c r="JOB69" s="61">
        <f t="shared" si="1651"/>
        <v>-65000000</v>
      </c>
      <c r="JOC69" s="61">
        <f t="shared" si="1651"/>
        <v>-65000000</v>
      </c>
      <c r="JOD69" s="61">
        <f t="shared" si="1651"/>
        <v>-65000000</v>
      </c>
      <c r="JOE69" s="61">
        <f t="shared" si="1651"/>
        <v>-65000000</v>
      </c>
      <c r="JOF69" s="61">
        <f t="shared" si="1651"/>
        <v>-65000000</v>
      </c>
      <c r="JOG69" s="61">
        <f t="shared" si="1651"/>
        <v>-65000000</v>
      </c>
      <c r="JOH69" s="61">
        <f t="shared" si="1651"/>
        <v>-65000000</v>
      </c>
      <c r="JOI69" s="61">
        <f t="shared" si="1651"/>
        <v>-65000000</v>
      </c>
      <c r="JOJ69" s="61">
        <f t="shared" si="1651"/>
        <v>-65000000</v>
      </c>
      <c r="JOK69" s="61">
        <f t="shared" si="1651"/>
        <v>-65000000</v>
      </c>
      <c r="JOL69" s="61">
        <f t="shared" si="1651"/>
        <v>-65000000</v>
      </c>
      <c r="JOM69" s="61">
        <f t="shared" si="1651"/>
        <v>-65000000</v>
      </c>
      <c r="JON69" s="61">
        <f t="shared" si="1651"/>
        <v>-65000000</v>
      </c>
      <c r="JOO69" s="61">
        <f t="shared" si="1651"/>
        <v>-65000000</v>
      </c>
      <c r="JOP69" s="61">
        <f t="shared" si="1651"/>
        <v>-65000000</v>
      </c>
      <c r="JOQ69" s="61">
        <f t="shared" si="1651"/>
        <v>-65000000</v>
      </c>
      <c r="JOR69" s="61">
        <f t="shared" si="1651"/>
        <v>-65000000</v>
      </c>
      <c r="JOS69" s="61">
        <f t="shared" si="1651"/>
        <v>-65000000</v>
      </c>
      <c r="JOT69" s="61">
        <f t="shared" si="1651"/>
        <v>-65000000</v>
      </c>
      <c r="JOU69" s="61">
        <f t="shared" si="1651"/>
        <v>-65000000</v>
      </c>
      <c r="JOV69" s="61">
        <f t="shared" si="1651"/>
        <v>-65000000</v>
      </c>
      <c r="JOW69" s="61">
        <f t="shared" si="1651"/>
        <v>-65000000</v>
      </c>
      <c r="JOX69" s="61">
        <f t="shared" si="1651"/>
        <v>-65000000</v>
      </c>
      <c r="JOY69" s="61">
        <f t="shared" si="1651"/>
        <v>-65000000</v>
      </c>
      <c r="JOZ69" s="61">
        <f t="shared" si="1651"/>
        <v>-65000000</v>
      </c>
      <c r="JPA69" s="61">
        <f t="shared" si="1651"/>
        <v>-65000000</v>
      </c>
      <c r="JPB69" s="61">
        <f t="shared" si="1651"/>
        <v>-65000000</v>
      </c>
      <c r="JPC69" s="61">
        <f t="shared" si="1651"/>
        <v>-65000000</v>
      </c>
      <c r="JPD69" s="61">
        <f t="shared" si="1651"/>
        <v>-65000000</v>
      </c>
      <c r="JPE69" s="61">
        <f t="shared" si="1651"/>
        <v>-65000000</v>
      </c>
      <c r="JPF69" s="61">
        <f t="shared" si="1651"/>
        <v>-65000000</v>
      </c>
      <c r="JPG69" s="61">
        <f t="shared" si="1651"/>
        <v>-65000000</v>
      </c>
      <c r="JPH69" s="61">
        <f t="shared" si="1651"/>
        <v>-65000000</v>
      </c>
      <c r="JPI69" s="61">
        <f t="shared" si="1651"/>
        <v>-65000000</v>
      </c>
      <c r="JPJ69" s="61">
        <f t="shared" si="1651"/>
        <v>-65000000</v>
      </c>
      <c r="JPK69" s="61">
        <f t="shared" si="1651"/>
        <v>-65000000</v>
      </c>
      <c r="JPL69" s="61">
        <f t="shared" si="1651"/>
        <v>-65000000</v>
      </c>
      <c r="JPM69" s="61">
        <f t="shared" si="1651"/>
        <v>-65000000</v>
      </c>
      <c r="JPN69" s="61">
        <f t="shared" si="1651"/>
        <v>-65000000</v>
      </c>
      <c r="JPO69" s="61">
        <f t="shared" si="1651"/>
        <v>-65000000</v>
      </c>
      <c r="JPP69" s="61">
        <f t="shared" si="1651"/>
        <v>-65000000</v>
      </c>
      <c r="JPQ69" s="61">
        <f t="shared" si="1651"/>
        <v>-65000000</v>
      </c>
      <c r="JPR69" s="61">
        <f t="shared" si="1651"/>
        <v>-65000000</v>
      </c>
      <c r="JPS69" s="61">
        <f t="shared" si="1651"/>
        <v>-65000000</v>
      </c>
      <c r="JPT69" s="61">
        <f t="shared" si="1651"/>
        <v>-65000000</v>
      </c>
      <c r="JPU69" s="61">
        <f t="shared" si="1651"/>
        <v>-65000000</v>
      </c>
      <c r="JPV69" s="61">
        <f t="shared" si="1651"/>
        <v>-65000000</v>
      </c>
      <c r="JPW69" s="61">
        <f t="shared" ref="JPW69:JSH69" si="1652">JPW68-$EC$11-JPW11</f>
        <v>-65000000</v>
      </c>
      <c r="JPX69" s="61">
        <f t="shared" si="1652"/>
        <v>-65000000</v>
      </c>
      <c r="JPY69" s="61">
        <f t="shared" si="1652"/>
        <v>-65000000</v>
      </c>
      <c r="JPZ69" s="61">
        <f t="shared" si="1652"/>
        <v>-65000000</v>
      </c>
      <c r="JQA69" s="61">
        <f t="shared" si="1652"/>
        <v>-65000000</v>
      </c>
      <c r="JQB69" s="61">
        <f t="shared" si="1652"/>
        <v>-65000000</v>
      </c>
      <c r="JQC69" s="61">
        <f t="shared" si="1652"/>
        <v>-65000000</v>
      </c>
      <c r="JQD69" s="61">
        <f t="shared" si="1652"/>
        <v>-65000000</v>
      </c>
      <c r="JQE69" s="61">
        <f t="shared" si="1652"/>
        <v>-65000000</v>
      </c>
      <c r="JQF69" s="61">
        <f t="shared" si="1652"/>
        <v>-65000000</v>
      </c>
      <c r="JQG69" s="61">
        <f t="shared" si="1652"/>
        <v>-65000000</v>
      </c>
      <c r="JQH69" s="61">
        <f t="shared" si="1652"/>
        <v>-65000000</v>
      </c>
      <c r="JQI69" s="61">
        <f t="shared" si="1652"/>
        <v>-65000000</v>
      </c>
      <c r="JQJ69" s="61">
        <f t="shared" si="1652"/>
        <v>-65000000</v>
      </c>
      <c r="JQK69" s="61">
        <f t="shared" si="1652"/>
        <v>-65000000</v>
      </c>
      <c r="JQL69" s="61">
        <f t="shared" si="1652"/>
        <v>-65000000</v>
      </c>
      <c r="JQM69" s="61">
        <f t="shared" si="1652"/>
        <v>-65000000</v>
      </c>
      <c r="JQN69" s="61">
        <f t="shared" si="1652"/>
        <v>-65000000</v>
      </c>
      <c r="JQO69" s="61">
        <f t="shared" si="1652"/>
        <v>-65000000</v>
      </c>
      <c r="JQP69" s="61">
        <f t="shared" si="1652"/>
        <v>-65000000</v>
      </c>
      <c r="JQQ69" s="61">
        <f t="shared" si="1652"/>
        <v>-65000000</v>
      </c>
      <c r="JQR69" s="61">
        <f t="shared" si="1652"/>
        <v>-65000000</v>
      </c>
      <c r="JQS69" s="61">
        <f t="shared" si="1652"/>
        <v>-65000000</v>
      </c>
      <c r="JQT69" s="61">
        <f t="shared" si="1652"/>
        <v>-65000000</v>
      </c>
      <c r="JQU69" s="61">
        <f t="shared" si="1652"/>
        <v>-65000000</v>
      </c>
      <c r="JQV69" s="61">
        <f t="shared" si="1652"/>
        <v>-65000000</v>
      </c>
      <c r="JQW69" s="61">
        <f t="shared" si="1652"/>
        <v>-65000000</v>
      </c>
      <c r="JQX69" s="61">
        <f t="shared" si="1652"/>
        <v>-65000000</v>
      </c>
      <c r="JQY69" s="61">
        <f t="shared" si="1652"/>
        <v>-65000000</v>
      </c>
      <c r="JQZ69" s="61">
        <f t="shared" si="1652"/>
        <v>-65000000</v>
      </c>
      <c r="JRA69" s="61">
        <f t="shared" si="1652"/>
        <v>-65000000</v>
      </c>
      <c r="JRB69" s="61">
        <f t="shared" si="1652"/>
        <v>-65000000</v>
      </c>
      <c r="JRC69" s="61">
        <f t="shared" si="1652"/>
        <v>-65000000</v>
      </c>
      <c r="JRD69" s="61">
        <f t="shared" si="1652"/>
        <v>-65000000</v>
      </c>
      <c r="JRE69" s="61">
        <f t="shared" si="1652"/>
        <v>-65000000</v>
      </c>
      <c r="JRF69" s="61">
        <f t="shared" si="1652"/>
        <v>-65000000</v>
      </c>
      <c r="JRG69" s="61">
        <f t="shared" si="1652"/>
        <v>-65000000</v>
      </c>
      <c r="JRH69" s="61">
        <f t="shared" si="1652"/>
        <v>-65000000</v>
      </c>
      <c r="JRI69" s="61">
        <f t="shared" si="1652"/>
        <v>-65000000</v>
      </c>
      <c r="JRJ69" s="61">
        <f t="shared" si="1652"/>
        <v>-65000000</v>
      </c>
      <c r="JRK69" s="61">
        <f t="shared" si="1652"/>
        <v>-65000000</v>
      </c>
      <c r="JRL69" s="61">
        <f t="shared" si="1652"/>
        <v>-65000000</v>
      </c>
      <c r="JRM69" s="61">
        <f t="shared" si="1652"/>
        <v>-65000000</v>
      </c>
      <c r="JRN69" s="61">
        <f t="shared" si="1652"/>
        <v>-65000000</v>
      </c>
      <c r="JRO69" s="61">
        <f t="shared" si="1652"/>
        <v>-65000000</v>
      </c>
      <c r="JRP69" s="61">
        <f t="shared" si="1652"/>
        <v>-65000000</v>
      </c>
      <c r="JRQ69" s="61">
        <f t="shared" si="1652"/>
        <v>-65000000</v>
      </c>
      <c r="JRR69" s="61">
        <f t="shared" si="1652"/>
        <v>-65000000</v>
      </c>
      <c r="JRS69" s="61">
        <f t="shared" si="1652"/>
        <v>-65000000</v>
      </c>
      <c r="JRT69" s="61">
        <f t="shared" si="1652"/>
        <v>-65000000</v>
      </c>
      <c r="JRU69" s="61">
        <f t="shared" si="1652"/>
        <v>-65000000</v>
      </c>
      <c r="JRV69" s="61">
        <f t="shared" si="1652"/>
        <v>-65000000</v>
      </c>
      <c r="JRW69" s="61">
        <f t="shared" si="1652"/>
        <v>-65000000</v>
      </c>
      <c r="JRX69" s="61">
        <f t="shared" si="1652"/>
        <v>-65000000</v>
      </c>
      <c r="JRY69" s="61">
        <f t="shared" si="1652"/>
        <v>-65000000</v>
      </c>
      <c r="JRZ69" s="61">
        <f t="shared" si="1652"/>
        <v>-65000000</v>
      </c>
      <c r="JSA69" s="61">
        <f t="shared" si="1652"/>
        <v>-65000000</v>
      </c>
      <c r="JSB69" s="61">
        <f t="shared" si="1652"/>
        <v>-65000000</v>
      </c>
      <c r="JSC69" s="61">
        <f t="shared" si="1652"/>
        <v>-65000000</v>
      </c>
      <c r="JSD69" s="61">
        <f t="shared" si="1652"/>
        <v>-65000000</v>
      </c>
      <c r="JSE69" s="61">
        <f t="shared" si="1652"/>
        <v>-65000000</v>
      </c>
      <c r="JSF69" s="61">
        <f t="shared" si="1652"/>
        <v>-65000000</v>
      </c>
      <c r="JSG69" s="61">
        <f t="shared" si="1652"/>
        <v>-65000000</v>
      </c>
      <c r="JSH69" s="61">
        <f t="shared" si="1652"/>
        <v>-65000000</v>
      </c>
      <c r="JSI69" s="61">
        <f t="shared" ref="JSI69:JUT69" si="1653">JSI68-$EC$11-JSI11</f>
        <v>-65000000</v>
      </c>
      <c r="JSJ69" s="61">
        <f t="shared" si="1653"/>
        <v>-65000000</v>
      </c>
      <c r="JSK69" s="61">
        <f t="shared" si="1653"/>
        <v>-65000000</v>
      </c>
      <c r="JSL69" s="61">
        <f t="shared" si="1653"/>
        <v>-65000000</v>
      </c>
      <c r="JSM69" s="61">
        <f t="shared" si="1653"/>
        <v>-65000000</v>
      </c>
      <c r="JSN69" s="61">
        <f t="shared" si="1653"/>
        <v>-65000000</v>
      </c>
      <c r="JSO69" s="61">
        <f t="shared" si="1653"/>
        <v>-65000000</v>
      </c>
      <c r="JSP69" s="61">
        <f t="shared" si="1653"/>
        <v>-65000000</v>
      </c>
      <c r="JSQ69" s="61">
        <f t="shared" si="1653"/>
        <v>-65000000</v>
      </c>
      <c r="JSR69" s="61">
        <f t="shared" si="1653"/>
        <v>-65000000</v>
      </c>
      <c r="JSS69" s="61">
        <f t="shared" si="1653"/>
        <v>-65000000</v>
      </c>
      <c r="JST69" s="61">
        <f t="shared" si="1653"/>
        <v>-65000000</v>
      </c>
      <c r="JSU69" s="61">
        <f t="shared" si="1653"/>
        <v>-65000000</v>
      </c>
      <c r="JSV69" s="61">
        <f t="shared" si="1653"/>
        <v>-65000000</v>
      </c>
      <c r="JSW69" s="61">
        <f t="shared" si="1653"/>
        <v>-65000000</v>
      </c>
      <c r="JSX69" s="61">
        <f t="shared" si="1653"/>
        <v>-65000000</v>
      </c>
      <c r="JSY69" s="61">
        <f t="shared" si="1653"/>
        <v>-65000000</v>
      </c>
      <c r="JSZ69" s="61">
        <f t="shared" si="1653"/>
        <v>-65000000</v>
      </c>
      <c r="JTA69" s="61">
        <f t="shared" si="1653"/>
        <v>-65000000</v>
      </c>
      <c r="JTB69" s="61">
        <f t="shared" si="1653"/>
        <v>-65000000</v>
      </c>
      <c r="JTC69" s="61">
        <f t="shared" si="1653"/>
        <v>-65000000</v>
      </c>
      <c r="JTD69" s="61">
        <f t="shared" si="1653"/>
        <v>-65000000</v>
      </c>
      <c r="JTE69" s="61">
        <f t="shared" si="1653"/>
        <v>-65000000</v>
      </c>
      <c r="JTF69" s="61">
        <f t="shared" si="1653"/>
        <v>-65000000</v>
      </c>
      <c r="JTG69" s="61">
        <f t="shared" si="1653"/>
        <v>-65000000</v>
      </c>
      <c r="JTH69" s="61">
        <f t="shared" si="1653"/>
        <v>-65000000</v>
      </c>
      <c r="JTI69" s="61">
        <f t="shared" si="1653"/>
        <v>-65000000</v>
      </c>
      <c r="JTJ69" s="61">
        <f t="shared" si="1653"/>
        <v>-65000000</v>
      </c>
      <c r="JTK69" s="61">
        <f t="shared" si="1653"/>
        <v>-65000000</v>
      </c>
      <c r="JTL69" s="61">
        <f t="shared" si="1653"/>
        <v>-65000000</v>
      </c>
      <c r="JTM69" s="61">
        <f t="shared" si="1653"/>
        <v>-65000000</v>
      </c>
      <c r="JTN69" s="61">
        <f t="shared" si="1653"/>
        <v>-65000000</v>
      </c>
      <c r="JTO69" s="61">
        <f t="shared" si="1653"/>
        <v>-65000000</v>
      </c>
      <c r="JTP69" s="61">
        <f t="shared" si="1653"/>
        <v>-65000000</v>
      </c>
      <c r="JTQ69" s="61">
        <f t="shared" si="1653"/>
        <v>-65000000</v>
      </c>
      <c r="JTR69" s="61">
        <f t="shared" si="1653"/>
        <v>-65000000</v>
      </c>
      <c r="JTS69" s="61">
        <f t="shared" si="1653"/>
        <v>-65000000</v>
      </c>
      <c r="JTT69" s="61">
        <f t="shared" si="1653"/>
        <v>-65000000</v>
      </c>
      <c r="JTU69" s="61">
        <f t="shared" si="1653"/>
        <v>-65000000</v>
      </c>
      <c r="JTV69" s="61">
        <f t="shared" si="1653"/>
        <v>-65000000</v>
      </c>
      <c r="JTW69" s="61">
        <f t="shared" si="1653"/>
        <v>-65000000</v>
      </c>
      <c r="JTX69" s="61">
        <f t="shared" si="1653"/>
        <v>-65000000</v>
      </c>
      <c r="JTY69" s="61">
        <f t="shared" si="1653"/>
        <v>-65000000</v>
      </c>
      <c r="JTZ69" s="61">
        <f t="shared" si="1653"/>
        <v>-65000000</v>
      </c>
      <c r="JUA69" s="61">
        <f t="shared" si="1653"/>
        <v>-65000000</v>
      </c>
      <c r="JUB69" s="61">
        <f t="shared" si="1653"/>
        <v>-65000000</v>
      </c>
      <c r="JUC69" s="61">
        <f t="shared" si="1653"/>
        <v>-65000000</v>
      </c>
      <c r="JUD69" s="61">
        <f t="shared" si="1653"/>
        <v>-65000000</v>
      </c>
      <c r="JUE69" s="61">
        <f t="shared" si="1653"/>
        <v>-65000000</v>
      </c>
      <c r="JUF69" s="61">
        <f t="shared" si="1653"/>
        <v>-65000000</v>
      </c>
      <c r="JUG69" s="61">
        <f t="shared" si="1653"/>
        <v>-65000000</v>
      </c>
      <c r="JUH69" s="61">
        <f t="shared" si="1653"/>
        <v>-65000000</v>
      </c>
      <c r="JUI69" s="61">
        <f t="shared" si="1653"/>
        <v>-65000000</v>
      </c>
      <c r="JUJ69" s="61">
        <f t="shared" si="1653"/>
        <v>-65000000</v>
      </c>
      <c r="JUK69" s="61">
        <f t="shared" si="1653"/>
        <v>-65000000</v>
      </c>
      <c r="JUL69" s="61">
        <f t="shared" si="1653"/>
        <v>-65000000</v>
      </c>
      <c r="JUM69" s="61">
        <f t="shared" si="1653"/>
        <v>-65000000</v>
      </c>
      <c r="JUN69" s="61">
        <f t="shared" si="1653"/>
        <v>-65000000</v>
      </c>
      <c r="JUO69" s="61">
        <f t="shared" si="1653"/>
        <v>-65000000</v>
      </c>
      <c r="JUP69" s="61">
        <f t="shared" si="1653"/>
        <v>-65000000</v>
      </c>
      <c r="JUQ69" s="61">
        <f t="shared" si="1653"/>
        <v>-65000000</v>
      </c>
      <c r="JUR69" s="61">
        <f t="shared" si="1653"/>
        <v>-65000000</v>
      </c>
      <c r="JUS69" s="61">
        <f t="shared" si="1653"/>
        <v>-65000000</v>
      </c>
      <c r="JUT69" s="61">
        <f t="shared" si="1653"/>
        <v>-65000000</v>
      </c>
      <c r="JUU69" s="61">
        <f t="shared" ref="JUU69:JXF69" si="1654">JUU68-$EC$11-JUU11</f>
        <v>-65000000</v>
      </c>
      <c r="JUV69" s="61">
        <f t="shared" si="1654"/>
        <v>-65000000</v>
      </c>
      <c r="JUW69" s="61">
        <f t="shared" si="1654"/>
        <v>-65000000</v>
      </c>
      <c r="JUX69" s="61">
        <f t="shared" si="1654"/>
        <v>-65000000</v>
      </c>
      <c r="JUY69" s="61">
        <f t="shared" si="1654"/>
        <v>-65000000</v>
      </c>
      <c r="JUZ69" s="61">
        <f t="shared" si="1654"/>
        <v>-65000000</v>
      </c>
      <c r="JVA69" s="61">
        <f t="shared" si="1654"/>
        <v>-65000000</v>
      </c>
      <c r="JVB69" s="61">
        <f t="shared" si="1654"/>
        <v>-65000000</v>
      </c>
      <c r="JVC69" s="61">
        <f t="shared" si="1654"/>
        <v>-65000000</v>
      </c>
      <c r="JVD69" s="61">
        <f t="shared" si="1654"/>
        <v>-65000000</v>
      </c>
      <c r="JVE69" s="61">
        <f t="shared" si="1654"/>
        <v>-65000000</v>
      </c>
      <c r="JVF69" s="61">
        <f t="shared" si="1654"/>
        <v>-65000000</v>
      </c>
      <c r="JVG69" s="61">
        <f t="shared" si="1654"/>
        <v>-65000000</v>
      </c>
      <c r="JVH69" s="61">
        <f t="shared" si="1654"/>
        <v>-65000000</v>
      </c>
      <c r="JVI69" s="61">
        <f t="shared" si="1654"/>
        <v>-65000000</v>
      </c>
      <c r="JVJ69" s="61">
        <f t="shared" si="1654"/>
        <v>-65000000</v>
      </c>
      <c r="JVK69" s="61">
        <f t="shared" si="1654"/>
        <v>-65000000</v>
      </c>
      <c r="JVL69" s="61">
        <f t="shared" si="1654"/>
        <v>-65000000</v>
      </c>
      <c r="JVM69" s="61">
        <f t="shared" si="1654"/>
        <v>-65000000</v>
      </c>
      <c r="JVN69" s="61">
        <f t="shared" si="1654"/>
        <v>-65000000</v>
      </c>
      <c r="JVO69" s="61">
        <f t="shared" si="1654"/>
        <v>-65000000</v>
      </c>
      <c r="JVP69" s="61">
        <f t="shared" si="1654"/>
        <v>-65000000</v>
      </c>
      <c r="JVQ69" s="61">
        <f t="shared" si="1654"/>
        <v>-65000000</v>
      </c>
      <c r="JVR69" s="61">
        <f t="shared" si="1654"/>
        <v>-65000000</v>
      </c>
      <c r="JVS69" s="61">
        <f t="shared" si="1654"/>
        <v>-65000000</v>
      </c>
      <c r="JVT69" s="61">
        <f t="shared" si="1654"/>
        <v>-65000000</v>
      </c>
      <c r="JVU69" s="61">
        <f t="shared" si="1654"/>
        <v>-65000000</v>
      </c>
      <c r="JVV69" s="61">
        <f t="shared" si="1654"/>
        <v>-65000000</v>
      </c>
      <c r="JVW69" s="61">
        <f t="shared" si="1654"/>
        <v>-65000000</v>
      </c>
      <c r="JVX69" s="61">
        <f t="shared" si="1654"/>
        <v>-65000000</v>
      </c>
      <c r="JVY69" s="61">
        <f t="shared" si="1654"/>
        <v>-65000000</v>
      </c>
      <c r="JVZ69" s="61">
        <f t="shared" si="1654"/>
        <v>-65000000</v>
      </c>
      <c r="JWA69" s="61">
        <f t="shared" si="1654"/>
        <v>-65000000</v>
      </c>
      <c r="JWB69" s="61">
        <f t="shared" si="1654"/>
        <v>-65000000</v>
      </c>
      <c r="JWC69" s="61">
        <f t="shared" si="1654"/>
        <v>-65000000</v>
      </c>
      <c r="JWD69" s="61">
        <f t="shared" si="1654"/>
        <v>-65000000</v>
      </c>
      <c r="JWE69" s="61">
        <f t="shared" si="1654"/>
        <v>-65000000</v>
      </c>
      <c r="JWF69" s="61">
        <f t="shared" si="1654"/>
        <v>-65000000</v>
      </c>
      <c r="JWG69" s="61">
        <f t="shared" si="1654"/>
        <v>-65000000</v>
      </c>
      <c r="JWH69" s="61">
        <f t="shared" si="1654"/>
        <v>-65000000</v>
      </c>
      <c r="JWI69" s="61">
        <f t="shared" si="1654"/>
        <v>-65000000</v>
      </c>
      <c r="JWJ69" s="61">
        <f t="shared" si="1654"/>
        <v>-65000000</v>
      </c>
      <c r="JWK69" s="61">
        <f t="shared" si="1654"/>
        <v>-65000000</v>
      </c>
      <c r="JWL69" s="61">
        <f t="shared" si="1654"/>
        <v>-65000000</v>
      </c>
      <c r="JWM69" s="61">
        <f t="shared" si="1654"/>
        <v>-65000000</v>
      </c>
      <c r="JWN69" s="61">
        <f t="shared" si="1654"/>
        <v>-65000000</v>
      </c>
      <c r="JWO69" s="61">
        <f t="shared" si="1654"/>
        <v>-65000000</v>
      </c>
      <c r="JWP69" s="61">
        <f t="shared" si="1654"/>
        <v>-65000000</v>
      </c>
      <c r="JWQ69" s="61">
        <f t="shared" si="1654"/>
        <v>-65000000</v>
      </c>
      <c r="JWR69" s="61">
        <f t="shared" si="1654"/>
        <v>-65000000</v>
      </c>
      <c r="JWS69" s="61">
        <f t="shared" si="1654"/>
        <v>-65000000</v>
      </c>
      <c r="JWT69" s="61">
        <f t="shared" si="1654"/>
        <v>-65000000</v>
      </c>
      <c r="JWU69" s="61">
        <f t="shared" si="1654"/>
        <v>-65000000</v>
      </c>
      <c r="JWV69" s="61">
        <f t="shared" si="1654"/>
        <v>-65000000</v>
      </c>
      <c r="JWW69" s="61">
        <f t="shared" si="1654"/>
        <v>-65000000</v>
      </c>
      <c r="JWX69" s="61">
        <f t="shared" si="1654"/>
        <v>-65000000</v>
      </c>
      <c r="JWY69" s="61">
        <f t="shared" si="1654"/>
        <v>-65000000</v>
      </c>
      <c r="JWZ69" s="61">
        <f t="shared" si="1654"/>
        <v>-65000000</v>
      </c>
      <c r="JXA69" s="61">
        <f t="shared" si="1654"/>
        <v>-65000000</v>
      </c>
      <c r="JXB69" s="61">
        <f t="shared" si="1654"/>
        <v>-65000000</v>
      </c>
      <c r="JXC69" s="61">
        <f t="shared" si="1654"/>
        <v>-65000000</v>
      </c>
      <c r="JXD69" s="61">
        <f t="shared" si="1654"/>
        <v>-65000000</v>
      </c>
      <c r="JXE69" s="61">
        <f t="shared" si="1654"/>
        <v>-65000000</v>
      </c>
      <c r="JXF69" s="61">
        <f t="shared" si="1654"/>
        <v>-65000000</v>
      </c>
      <c r="JXG69" s="61">
        <f t="shared" ref="JXG69:JZR69" si="1655">JXG68-$EC$11-JXG11</f>
        <v>-65000000</v>
      </c>
      <c r="JXH69" s="61">
        <f t="shared" si="1655"/>
        <v>-65000000</v>
      </c>
      <c r="JXI69" s="61">
        <f t="shared" si="1655"/>
        <v>-65000000</v>
      </c>
      <c r="JXJ69" s="61">
        <f t="shared" si="1655"/>
        <v>-65000000</v>
      </c>
      <c r="JXK69" s="61">
        <f t="shared" si="1655"/>
        <v>-65000000</v>
      </c>
      <c r="JXL69" s="61">
        <f t="shared" si="1655"/>
        <v>-65000000</v>
      </c>
      <c r="JXM69" s="61">
        <f t="shared" si="1655"/>
        <v>-65000000</v>
      </c>
      <c r="JXN69" s="61">
        <f t="shared" si="1655"/>
        <v>-65000000</v>
      </c>
      <c r="JXO69" s="61">
        <f t="shared" si="1655"/>
        <v>-65000000</v>
      </c>
      <c r="JXP69" s="61">
        <f t="shared" si="1655"/>
        <v>-65000000</v>
      </c>
      <c r="JXQ69" s="61">
        <f t="shared" si="1655"/>
        <v>-65000000</v>
      </c>
      <c r="JXR69" s="61">
        <f t="shared" si="1655"/>
        <v>-65000000</v>
      </c>
      <c r="JXS69" s="61">
        <f t="shared" si="1655"/>
        <v>-65000000</v>
      </c>
      <c r="JXT69" s="61">
        <f t="shared" si="1655"/>
        <v>-65000000</v>
      </c>
      <c r="JXU69" s="61">
        <f t="shared" si="1655"/>
        <v>-65000000</v>
      </c>
      <c r="JXV69" s="61">
        <f t="shared" si="1655"/>
        <v>-65000000</v>
      </c>
      <c r="JXW69" s="61">
        <f t="shared" si="1655"/>
        <v>-65000000</v>
      </c>
      <c r="JXX69" s="61">
        <f t="shared" si="1655"/>
        <v>-65000000</v>
      </c>
      <c r="JXY69" s="61">
        <f t="shared" si="1655"/>
        <v>-65000000</v>
      </c>
      <c r="JXZ69" s="61">
        <f t="shared" si="1655"/>
        <v>-65000000</v>
      </c>
      <c r="JYA69" s="61">
        <f t="shared" si="1655"/>
        <v>-65000000</v>
      </c>
      <c r="JYB69" s="61">
        <f t="shared" si="1655"/>
        <v>-65000000</v>
      </c>
      <c r="JYC69" s="61">
        <f t="shared" si="1655"/>
        <v>-65000000</v>
      </c>
      <c r="JYD69" s="61">
        <f t="shared" si="1655"/>
        <v>-65000000</v>
      </c>
      <c r="JYE69" s="61">
        <f t="shared" si="1655"/>
        <v>-65000000</v>
      </c>
      <c r="JYF69" s="61">
        <f t="shared" si="1655"/>
        <v>-65000000</v>
      </c>
      <c r="JYG69" s="61">
        <f t="shared" si="1655"/>
        <v>-65000000</v>
      </c>
      <c r="JYH69" s="61">
        <f t="shared" si="1655"/>
        <v>-65000000</v>
      </c>
      <c r="JYI69" s="61">
        <f t="shared" si="1655"/>
        <v>-65000000</v>
      </c>
      <c r="JYJ69" s="61">
        <f t="shared" si="1655"/>
        <v>-65000000</v>
      </c>
      <c r="JYK69" s="61">
        <f t="shared" si="1655"/>
        <v>-65000000</v>
      </c>
      <c r="JYL69" s="61">
        <f t="shared" si="1655"/>
        <v>-65000000</v>
      </c>
      <c r="JYM69" s="61">
        <f t="shared" si="1655"/>
        <v>-65000000</v>
      </c>
      <c r="JYN69" s="61">
        <f t="shared" si="1655"/>
        <v>-65000000</v>
      </c>
      <c r="JYO69" s="61">
        <f t="shared" si="1655"/>
        <v>-65000000</v>
      </c>
      <c r="JYP69" s="61">
        <f t="shared" si="1655"/>
        <v>-65000000</v>
      </c>
      <c r="JYQ69" s="61">
        <f t="shared" si="1655"/>
        <v>-65000000</v>
      </c>
      <c r="JYR69" s="61">
        <f t="shared" si="1655"/>
        <v>-65000000</v>
      </c>
      <c r="JYS69" s="61">
        <f t="shared" si="1655"/>
        <v>-65000000</v>
      </c>
      <c r="JYT69" s="61">
        <f t="shared" si="1655"/>
        <v>-65000000</v>
      </c>
      <c r="JYU69" s="61">
        <f t="shared" si="1655"/>
        <v>-65000000</v>
      </c>
      <c r="JYV69" s="61">
        <f t="shared" si="1655"/>
        <v>-65000000</v>
      </c>
      <c r="JYW69" s="61">
        <f t="shared" si="1655"/>
        <v>-65000000</v>
      </c>
      <c r="JYX69" s="61">
        <f t="shared" si="1655"/>
        <v>-65000000</v>
      </c>
      <c r="JYY69" s="61">
        <f t="shared" si="1655"/>
        <v>-65000000</v>
      </c>
      <c r="JYZ69" s="61">
        <f t="shared" si="1655"/>
        <v>-65000000</v>
      </c>
      <c r="JZA69" s="61">
        <f t="shared" si="1655"/>
        <v>-65000000</v>
      </c>
      <c r="JZB69" s="61">
        <f t="shared" si="1655"/>
        <v>-65000000</v>
      </c>
      <c r="JZC69" s="61">
        <f t="shared" si="1655"/>
        <v>-65000000</v>
      </c>
      <c r="JZD69" s="61">
        <f t="shared" si="1655"/>
        <v>-65000000</v>
      </c>
      <c r="JZE69" s="61">
        <f t="shared" si="1655"/>
        <v>-65000000</v>
      </c>
      <c r="JZF69" s="61">
        <f t="shared" si="1655"/>
        <v>-65000000</v>
      </c>
      <c r="JZG69" s="61">
        <f t="shared" si="1655"/>
        <v>-65000000</v>
      </c>
      <c r="JZH69" s="61">
        <f t="shared" si="1655"/>
        <v>-65000000</v>
      </c>
      <c r="JZI69" s="61">
        <f t="shared" si="1655"/>
        <v>-65000000</v>
      </c>
      <c r="JZJ69" s="61">
        <f t="shared" si="1655"/>
        <v>-65000000</v>
      </c>
      <c r="JZK69" s="61">
        <f t="shared" si="1655"/>
        <v>-65000000</v>
      </c>
      <c r="JZL69" s="61">
        <f t="shared" si="1655"/>
        <v>-65000000</v>
      </c>
      <c r="JZM69" s="61">
        <f t="shared" si="1655"/>
        <v>-65000000</v>
      </c>
      <c r="JZN69" s="61">
        <f t="shared" si="1655"/>
        <v>-65000000</v>
      </c>
      <c r="JZO69" s="61">
        <f t="shared" si="1655"/>
        <v>-65000000</v>
      </c>
      <c r="JZP69" s="61">
        <f t="shared" si="1655"/>
        <v>-65000000</v>
      </c>
      <c r="JZQ69" s="61">
        <f t="shared" si="1655"/>
        <v>-65000000</v>
      </c>
      <c r="JZR69" s="61">
        <f t="shared" si="1655"/>
        <v>-65000000</v>
      </c>
      <c r="JZS69" s="61">
        <f t="shared" ref="JZS69:KCD69" si="1656">JZS68-$EC$11-JZS11</f>
        <v>-65000000</v>
      </c>
      <c r="JZT69" s="61">
        <f t="shared" si="1656"/>
        <v>-65000000</v>
      </c>
      <c r="JZU69" s="61">
        <f t="shared" si="1656"/>
        <v>-65000000</v>
      </c>
      <c r="JZV69" s="61">
        <f t="shared" si="1656"/>
        <v>-65000000</v>
      </c>
      <c r="JZW69" s="61">
        <f t="shared" si="1656"/>
        <v>-65000000</v>
      </c>
      <c r="JZX69" s="61">
        <f t="shared" si="1656"/>
        <v>-65000000</v>
      </c>
      <c r="JZY69" s="61">
        <f t="shared" si="1656"/>
        <v>-65000000</v>
      </c>
      <c r="JZZ69" s="61">
        <f t="shared" si="1656"/>
        <v>-65000000</v>
      </c>
      <c r="KAA69" s="61">
        <f t="shared" si="1656"/>
        <v>-65000000</v>
      </c>
      <c r="KAB69" s="61">
        <f t="shared" si="1656"/>
        <v>-65000000</v>
      </c>
      <c r="KAC69" s="61">
        <f t="shared" si="1656"/>
        <v>-65000000</v>
      </c>
      <c r="KAD69" s="61">
        <f t="shared" si="1656"/>
        <v>-65000000</v>
      </c>
      <c r="KAE69" s="61">
        <f t="shared" si="1656"/>
        <v>-65000000</v>
      </c>
      <c r="KAF69" s="61">
        <f t="shared" si="1656"/>
        <v>-65000000</v>
      </c>
      <c r="KAG69" s="61">
        <f t="shared" si="1656"/>
        <v>-65000000</v>
      </c>
      <c r="KAH69" s="61">
        <f t="shared" si="1656"/>
        <v>-65000000</v>
      </c>
      <c r="KAI69" s="61">
        <f t="shared" si="1656"/>
        <v>-65000000</v>
      </c>
      <c r="KAJ69" s="61">
        <f t="shared" si="1656"/>
        <v>-65000000</v>
      </c>
      <c r="KAK69" s="61">
        <f t="shared" si="1656"/>
        <v>-65000000</v>
      </c>
      <c r="KAL69" s="61">
        <f t="shared" si="1656"/>
        <v>-65000000</v>
      </c>
      <c r="KAM69" s="61">
        <f t="shared" si="1656"/>
        <v>-65000000</v>
      </c>
      <c r="KAN69" s="61">
        <f t="shared" si="1656"/>
        <v>-65000000</v>
      </c>
      <c r="KAO69" s="61">
        <f t="shared" si="1656"/>
        <v>-65000000</v>
      </c>
      <c r="KAP69" s="61">
        <f t="shared" si="1656"/>
        <v>-65000000</v>
      </c>
      <c r="KAQ69" s="61">
        <f t="shared" si="1656"/>
        <v>-65000000</v>
      </c>
      <c r="KAR69" s="61">
        <f t="shared" si="1656"/>
        <v>-65000000</v>
      </c>
      <c r="KAS69" s="61">
        <f t="shared" si="1656"/>
        <v>-65000000</v>
      </c>
      <c r="KAT69" s="61">
        <f t="shared" si="1656"/>
        <v>-65000000</v>
      </c>
      <c r="KAU69" s="61">
        <f t="shared" si="1656"/>
        <v>-65000000</v>
      </c>
      <c r="KAV69" s="61">
        <f t="shared" si="1656"/>
        <v>-65000000</v>
      </c>
      <c r="KAW69" s="61">
        <f t="shared" si="1656"/>
        <v>-65000000</v>
      </c>
      <c r="KAX69" s="61">
        <f t="shared" si="1656"/>
        <v>-65000000</v>
      </c>
      <c r="KAY69" s="61">
        <f t="shared" si="1656"/>
        <v>-65000000</v>
      </c>
      <c r="KAZ69" s="61">
        <f t="shared" si="1656"/>
        <v>-65000000</v>
      </c>
      <c r="KBA69" s="61">
        <f t="shared" si="1656"/>
        <v>-65000000</v>
      </c>
      <c r="KBB69" s="61">
        <f t="shared" si="1656"/>
        <v>-65000000</v>
      </c>
      <c r="KBC69" s="61">
        <f t="shared" si="1656"/>
        <v>-65000000</v>
      </c>
      <c r="KBD69" s="61">
        <f t="shared" si="1656"/>
        <v>-65000000</v>
      </c>
      <c r="KBE69" s="61">
        <f t="shared" si="1656"/>
        <v>-65000000</v>
      </c>
      <c r="KBF69" s="61">
        <f t="shared" si="1656"/>
        <v>-65000000</v>
      </c>
      <c r="KBG69" s="61">
        <f t="shared" si="1656"/>
        <v>-65000000</v>
      </c>
      <c r="KBH69" s="61">
        <f t="shared" si="1656"/>
        <v>-65000000</v>
      </c>
      <c r="KBI69" s="61">
        <f t="shared" si="1656"/>
        <v>-65000000</v>
      </c>
      <c r="KBJ69" s="61">
        <f t="shared" si="1656"/>
        <v>-65000000</v>
      </c>
      <c r="KBK69" s="61">
        <f t="shared" si="1656"/>
        <v>-65000000</v>
      </c>
      <c r="KBL69" s="61">
        <f t="shared" si="1656"/>
        <v>-65000000</v>
      </c>
      <c r="KBM69" s="61">
        <f t="shared" si="1656"/>
        <v>-65000000</v>
      </c>
      <c r="KBN69" s="61">
        <f t="shared" si="1656"/>
        <v>-65000000</v>
      </c>
      <c r="KBO69" s="61">
        <f t="shared" si="1656"/>
        <v>-65000000</v>
      </c>
      <c r="KBP69" s="61">
        <f t="shared" si="1656"/>
        <v>-65000000</v>
      </c>
      <c r="KBQ69" s="61">
        <f t="shared" si="1656"/>
        <v>-65000000</v>
      </c>
      <c r="KBR69" s="61">
        <f t="shared" si="1656"/>
        <v>-65000000</v>
      </c>
      <c r="KBS69" s="61">
        <f t="shared" si="1656"/>
        <v>-65000000</v>
      </c>
      <c r="KBT69" s="61">
        <f t="shared" si="1656"/>
        <v>-65000000</v>
      </c>
      <c r="KBU69" s="61">
        <f t="shared" si="1656"/>
        <v>-65000000</v>
      </c>
      <c r="KBV69" s="61">
        <f t="shared" si="1656"/>
        <v>-65000000</v>
      </c>
      <c r="KBW69" s="61">
        <f t="shared" si="1656"/>
        <v>-65000000</v>
      </c>
      <c r="KBX69" s="61">
        <f t="shared" si="1656"/>
        <v>-65000000</v>
      </c>
      <c r="KBY69" s="61">
        <f t="shared" si="1656"/>
        <v>-65000000</v>
      </c>
      <c r="KBZ69" s="61">
        <f t="shared" si="1656"/>
        <v>-65000000</v>
      </c>
      <c r="KCA69" s="61">
        <f t="shared" si="1656"/>
        <v>-65000000</v>
      </c>
      <c r="KCB69" s="61">
        <f t="shared" si="1656"/>
        <v>-65000000</v>
      </c>
      <c r="KCC69" s="61">
        <f t="shared" si="1656"/>
        <v>-65000000</v>
      </c>
      <c r="KCD69" s="61">
        <f t="shared" si="1656"/>
        <v>-65000000</v>
      </c>
      <c r="KCE69" s="61">
        <f t="shared" ref="KCE69:KEP69" si="1657">KCE68-$EC$11-KCE11</f>
        <v>-65000000</v>
      </c>
      <c r="KCF69" s="61">
        <f t="shared" si="1657"/>
        <v>-65000000</v>
      </c>
      <c r="KCG69" s="61">
        <f t="shared" si="1657"/>
        <v>-65000000</v>
      </c>
      <c r="KCH69" s="61">
        <f t="shared" si="1657"/>
        <v>-65000000</v>
      </c>
      <c r="KCI69" s="61">
        <f t="shared" si="1657"/>
        <v>-65000000</v>
      </c>
      <c r="KCJ69" s="61">
        <f t="shared" si="1657"/>
        <v>-65000000</v>
      </c>
      <c r="KCK69" s="61">
        <f t="shared" si="1657"/>
        <v>-65000000</v>
      </c>
      <c r="KCL69" s="61">
        <f t="shared" si="1657"/>
        <v>-65000000</v>
      </c>
      <c r="KCM69" s="61">
        <f t="shared" si="1657"/>
        <v>-65000000</v>
      </c>
      <c r="KCN69" s="61">
        <f t="shared" si="1657"/>
        <v>-65000000</v>
      </c>
      <c r="KCO69" s="61">
        <f t="shared" si="1657"/>
        <v>-65000000</v>
      </c>
      <c r="KCP69" s="61">
        <f t="shared" si="1657"/>
        <v>-65000000</v>
      </c>
      <c r="KCQ69" s="61">
        <f t="shared" si="1657"/>
        <v>-65000000</v>
      </c>
      <c r="KCR69" s="61">
        <f t="shared" si="1657"/>
        <v>-65000000</v>
      </c>
      <c r="KCS69" s="61">
        <f t="shared" si="1657"/>
        <v>-65000000</v>
      </c>
      <c r="KCT69" s="61">
        <f t="shared" si="1657"/>
        <v>-65000000</v>
      </c>
      <c r="KCU69" s="61">
        <f t="shared" si="1657"/>
        <v>-65000000</v>
      </c>
      <c r="KCV69" s="61">
        <f t="shared" si="1657"/>
        <v>-65000000</v>
      </c>
      <c r="KCW69" s="61">
        <f t="shared" si="1657"/>
        <v>-65000000</v>
      </c>
      <c r="KCX69" s="61">
        <f t="shared" si="1657"/>
        <v>-65000000</v>
      </c>
      <c r="KCY69" s="61">
        <f t="shared" si="1657"/>
        <v>-65000000</v>
      </c>
      <c r="KCZ69" s="61">
        <f t="shared" si="1657"/>
        <v>-65000000</v>
      </c>
      <c r="KDA69" s="61">
        <f t="shared" si="1657"/>
        <v>-65000000</v>
      </c>
      <c r="KDB69" s="61">
        <f t="shared" si="1657"/>
        <v>-65000000</v>
      </c>
      <c r="KDC69" s="61">
        <f t="shared" si="1657"/>
        <v>-65000000</v>
      </c>
      <c r="KDD69" s="61">
        <f t="shared" si="1657"/>
        <v>-65000000</v>
      </c>
      <c r="KDE69" s="61">
        <f t="shared" si="1657"/>
        <v>-65000000</v>
      </c>
      <c r="KDF69" s="61">
        <f t="shared" si="1657"/>
        <v>-65000000</v>
      </c>
      <c r="KDG69" s="61">
        <f t="shared" si="1657"/>
        <v>-65000000</v>
      </c>
      <c r="KDH69" s="61">
        <f t="shared" si="1657"/>
        <v>-65000000</v>
      </c>
      <c r="KDI69" s="61">
        <f t="shared" si="1657"/>
        <v>-65000000</v>
      </c>
      <c r="KDJ69" s="61">
        <f t="shared" si="1657"/>
        <v>-65000000</v>
      </c>
      <c r="KDK69" s="61">
        <f t="shared" si="1657"/>
        <v>-65000000</v>
      </c>
      <c r="KDL69" s="61">
        <f t="shared" si="1657"/>
        <v>-65000000</v>
      </c>
      <c r="KDM69" s="61">
        <f t="shared" si="1657"/>
        <v>-65000000</v>
      </c>
      <c r="KDN69" s="61">
        <f t="shared" si="1657"/>
        <v>-65000000</v>
      </c>
      <c r="KDO69" s="61">
        <f t="shared" si="1657"/>
        <v>-65000000</v>
      </c>
      <c r="KDP69" s="61">
        <f t="shared" si="1657"/>
        <v>-65000000</v>
      </c>
      <c r="KDQ69" s="61">
        <f t="shared" si="1657"/>
        <v>-65000000</v>
      </c>
      <c r="KDR69" s="61">
        <f t="shared" si="1657"/>
        <v>-65000000</v>
      </c>
      <c r="KDS69" s="61">
        <f t="shared" si="1657"/>
        <v>-65000000</v>
      </c>
      <c r="KDT69" s="61">
        <f t="shared" si="1657"/>
        <v>-65000000</v>
      </c>
      <c r="KDU69" s="61">
        <f t="shared" si="1657"/>
        <v>-65000000</v>
      </c>
      <c r="KDV69" s="61">
        <f t="shared" si="1657"/>
        <v>-65000000</v>
      </c>
      <c r="KDW69" s="61">
        <f t="shared" si="1657"/>
        <v>-65000000</v>
      </c>
      <c r="KDX69" s="61">
        <f t="shared" si="1657"/>
        <v>-65000000</v>
      </c>
      <c r="KDY69" s="61">
        <f t="shared" si="1657"/>
        <v>-65000000</v>
      </c>
      <c r="KDZ69" s="61">
        <f t="shared" si="1657"/>
        <v>-65000000</v>
      </c>
      <c r="KEA69" s="61">
        <f t="shared" si="1657"/>
        <v>-65000000</v>
      </c>
      <c r="KEB69" s="61">
        <f t="shared" si="1657"/>
        <v>-65000000</v>
      </c>
      <c r="KEC69" s="61">
        <f t="shared" si="1657"/>
        <v>-65000000</v>
      </c>
      <c r="KED69" s="61">
        <f t="shared" si="1657"/>
        <v>-65000000</v>
      </c>
      <c r="KEE69" s="61">
        <f t="shared" si="1657"/>
        <v>-65000000</v>
      </c>
      <c r="KEF69" s="61">
        <f t="shared" si="1657"/>
        <v>-65000000</v>
      </c>
      <c r="KEG69" s="61">
        <f t="shared" si="1657"/>
        <v>-65000000</v>
      </c>
      <c r="KEH69" s="61">
        <f t="shared" si="1657"/>
        <v>-65000000</v>
      </c>
      <c r="KEI69" s="61">
        <f t="shared" si="1657"/>
        <v>-65000000</v>
      </c>
      <c r="KEJ69" s="61">
        <f t="shared" si="1657"/>
        <v>-65000000</v>
      </c>
      <c r="KEK69" s="61">
        <f t="shared" si="1657"/>
        <v>-65000000</v>
      </c>
      <c r="KEL69" s="61">
        <f t="shared" si="1657"/>
        <v>-65000000</v>
      </c>
      <c r="KEM69" s="61">
        <f t="shared" si="1657"/>
        <v>-65000000</v>
      </c>
      <c r="KEN69" s="61">
        <f t="shared" si="1657"/>
        <v>-65000000</v>
      </c>
      <c r="KEO69" s="61">
        <f t="shared" si="1657"/>
        <v>-65000000</v>
      </c>
      <c r="KEP69" s="61">
        <f t="shared" si="1657"/>
        <v>-65000000</v>
      </c>
      <c r="KEQ69" s="61">
        <f t="shared" ref="KEQ69:KHB69" si="1658">KEQ68-$EC$11-KEQ11</f>
        <v>-65000000</v>
      </c>
      <c r="KER69" s="61">
        <f t="shared" si="1658"/>
        <v>-65000000</v>
      </c>
      <c r="KES69" s="61">
        <f t="shared" si="1658"/>
        <v>-65000000</v>
      </c>
      <c r="KET69" s="61">
        <f t="shared" si="1658"/>
        <v>-65000000</v>
      </c>
      <c r="KEU69" s="61">
        <f t="shared" si="1658"/>
        <v>-65000000</v>
      </c>
      <c r="KEV69" s="61">
        <f t="shared" si="1658"/>
        <v>-65000000</v>
      </c>
      <c r="KEW69" s="61">
        <f t="shared" si="1658"/>
        <v>-65000000</v>
      </c>
      <c r="KEX69" s="61">
        <f t="shared" si="1658"/>
        <v>-65000000</v>
      </c>
      <c r="KEY69" s="61">
        <f t="shared" si="1658"/>
        <v>-65000000</v>
      </c>
      <c r="KEZ69" s="61">
        <f t="shared" si="1658"/>
        <v>-65000000</v>
      </c>
      <c r="KFA69" s="61">
        <f t="shared" si="1658"/>
        <v>-65000000</v>
      </c>
      <c r="KFB69" s="61">
        <f t="shared" si="1658"/>
        <v>-65000000</v>
      </c>
      <c r="KFC69" s="61">
        <f t="shared" si="1658"/>
        <v>-65000000</v>
      </c>
      <c r="KFD69" s="61">
        <f t="shared" si="1658"/>
        <v>-65000000</v>
      </c>
      <c r="KFE69" s="61">
        <f t="shared" si="1658"/>
        <v>-65000000</v>
      </c>
      <c r="KFF69" s="61">
        <f t="shared" si="1658"/>
        <v>-65000000</v>
      </c>
      <c r="KFG69" s="61">
        <f t="shared" si="1658"/>
        <v>-65000000</v>
      </c>
      <c r="KFH69" s="61">
        <f t="shared" si="1658"/>
        <v>-65000000</v>
      </c>
      <c r="KFI69" s="61">
        <f t="shared" si="1658"/>
        <v>-65000000</v>
      </c>
      <c r="KFJ69" s="61">
        <f t="shared" si="1658"/>
        <v>-65000000</v>
      </c>
      <c r="KFK69" s="61">
        <f t="shared" si="1658"/>
        <v>-65000000</v>
      </c>
      <c r="KFL69" s="61">
        <f t="shared" si="1658"/>
        <v>-65000000</v>
      </c>
      <c r="KFM69" s="61">
        <f t="shared" si="1658"/>
        <v>-65000000</v>
      </c>
      <c r="KFN69" s="61">
        <f t="shared" si="1658"/>
        <v>-65000000</v>
      </c>
      <c r="KFO69" s="61">
        <f t="shared" si="1658"/>
        <v>-65000000</v>
      </c>
      <c r="KFP69" s="61">
        <f t="shared" si="1658"/>
        <v>-65000000</v>
      </c>
      <c r="KFQ69" s="61">
        <f t="shared" si="1658"/>
        <v>-65000000</v>
      </c>
      <c r="KFR69" s="61">
        <f t="shared" si="1658"/>
        <v>-65000000</v>
      </c>
      <c r="KFS69" s="61">
        <f t="shared" si="1658"/>
        <v>-65000000</v>
      </c>
      <c r="KFT69" s="61">
        <f t="shared" si="1658"/>
        <v>-65000000</v>
      </c>
      <c r="KFU69" s="61">
        <f t="shared" si="1658"/>
        <v>-65000000</v>
      </c>
      <c r="KFV69" s="61">
        <f t="shared" si="1658"/>
        <v>-65000000</v>
      </c>
      <c r="KFW69" s="61">
        <f t="shared" si="1658"/>
        <v>-65000000</v>
      </c>
      <c r="KFX69" s="61">
        <f t="shared" si="1658"/>
        <v>-65000000</v>
      </c>
      <c r="KFY69" s="61">
        <f t="shared" si="1658"/>
        <v>-65000000</v>
      </c>
      <c r="KFZ69" s="61">
        <f t="shared" si="1658"/>
        <v>-65000000</v>
      </c>
      <c r="KGA69" s="61">
        <f t="shared" si="1658"/>
        <v>-65000000</v>
      </c>
      <c r="KGB69" s="61">
        <f t="shared" si="1658"/>
        <v>-65000000</v>
      </c>
      <c r="KGC69" s="61">
        <f t="shared" si="1658"/>
        <v>-65000000</v>
      </c>
      <c r="KGD69" s="61">
        <f t="shared" si="1658"/>
        <v>-65000000</v>
      </c>
      <c r="KGE69" s="61">
        <f t="shared" si="1658"/>
        <v>-65000000</v>
      </c>
      <c r="KGF69" s="61">
        <f t="shared" si="1658"/>
        <v>-65000000</v>
      </c>
      <c r="KGG69" s="61">
        <f t="shared" si="1658"/>
        <v>-65000000</v>
      </c>
      <c r="KGH69" s="61">
        <f t="shared" si="1658"/>
        <v>-65000000</v>
      </c>
      <c r="KGI69" s="61">
        <f t="shared" si="1658"/>
        <v>-65000000</v>
      </c>
      <c r="KGJ69" s="61">
        <f t="shared" si="1658"/>
        <v>-65000000</v>
      </c>
      <c r="KGK69" s="61">
        <f t="shared" si="1658"/>
        <v>-65000000</v>
      </c>
      <c r="KGL69" s="61">
        <f t="shared" si="1658"/>
        <v>-65000000</v>
      </c>
      <c r="KGM69" s="61">
        <f t="shared" si="1658"/>
        <v>-65000000</v>
      </c>
      <c r="KGN69" s="61">
        <f t="shared" si="1658"/>
        <v>-65000000</v>
      </c>
      <c r="KGO69" s="61">
        <f t="shared" si="1658"/>
        <v>-65000000</v>
      </c>
      <c r="KGP69" s="61">
        <f t="shared" si="1658"/>
        <v>-65000000</v>
      </c>
      <c r="KGQ69" s="61">
        <f t="shared" si="1658"/>
        <v>-65000000</v>
      </c>
      <c r="KGR69" s="61">
        <f t="shared" si="1658"/>
        <v>-65000000</v>
      </c>
      <c r="KGS69" s="61">
        <f t="shared" si="1658"/>
        <v>-65000000</v>
      </c>
      <c r="KGT69" s="61">
        <f t="shared" si="1658"/>
        <v>-65000000</v>
      </c>
      <c r="KGU69" s="61">
        <f t="shared" si="1658"/>
        <v>-65000000</v>
      </c>
      <c r="KGV69" s="61">
        <f t="shared" si="1658"/>
        <v>-65000000</v>
      </c>
      <c r="KGW69" s="61">
        <f t="shared" si="1658"/>
        <v>-65000000</v>
      </c>
      <c r="KGX69" s="61">
        <f t="shared" si="1658"/>
        <v>-65000000</v>
      </c>
      <c r="KGY69" s="61">
        <f t="shared" si="1658"/>
        <v>-65000000</v>
      </c>
      <c r="KGZ69" s="61">
        <f t="shared" si="1658"/>
        <v>-65000000</v>
      </c>
      <c r="KHA69" s="61">
        <f t="shared" si="1658"/>
        <v>-65000000</v>
      </c>
      <c r="KHB69" s="61">
        <f t="shared" si="1658"/>
        <v>-65000000</v>
      </c>
      <c r="KHC69" s="61">
        <f t="shared" ref="KHC69:KJN69" si="1659">KHC68-$EC$11-KHC11</f>
        <v>-65000000</v>
      </c>
      <c r="KHD69" s="61">
        <f t="shared" si="1659"/>
        <v>-65000000</v>
      </c>
      <c r="KHE69" s="61">
        <f t="shared" si="1659"/>
        <v>-65000000</v>
      </c>
      <c r="KHF69" s="61">
        <f t="shared" si="1659"/>
        <v>-65000000</v>
      </c>
      <c r="KHG69" s="61">
        <f t="shared" si="1659"/>
        <v>-65000000</v>
      </c>
      <c r="KHH69" s="61">
        <f t="shared" si="1659"/>
        <v>-65000000</v>
      </c>
      <c r="KHI69" s="61">
        <f t="shared" si="1659"/>
        <v>-65000000</v>
      </c>
      <c r="KHJ69" s="61">
        <f t="shared" si="1659"/>
        <v>-65000000</v>
      </c>
      <c r="KHK69" s="61">
        <f t="shared" si="1659"/>
        <v>-65000000</v>
      </c>
      <c r="KHL69" s="61">
        <f t="shared" si="1659"/>
        <v>-65000000</v>
      </c>
      <c r="KHM69" s="61">
        <f t="shared" si="1659"/>
        <v>-65000000</v>
      </c>
      <c r="KHN69" s="61">
        <f t="shared" si="1659"/>
        <v>-65000000</v>
      </c>
      <c r="KHO69" s="61">
        <f t="shared" si="1659"/>
        <v>-65000000</v>
      </c>
      <c r="KHP69" s="61">
        <f t="shared" si="1659"/>
        <v>-65000000</v>
      </c>
      <c r="KHQ69" s="61">
        <f t="shared" si="1659"/>
        <v>-65000000</v>
      </c>
      <c r="KHR69" s="61">
        <f t="shared" si="1659"/>
        <v>-65000000</v>
      </c>
      <c r="KHS69" s="61">
        <f t="shared" si="1659"/>
        <v>-65000000</v>
      </c>
      <c r="KHT69" s="61">
        <f t="shared" si="1659"/>
        <v>-65000000</v>
      </c>
      <c r="KHU69" s="61">
        <f t="shared" si="1659"/>
        <v>-65000000</v>
      </c>
      <c r="KHV69" s="61">
        <f t="shared" si="1659"/>
        <v>-65000000</v>
      </c>
      <c r="KHW69" s="61">
        <f t="shared" si="1659"/>
        <v>-65000000</v>
      </c>
      <c r="KHX69" s="61">
        <f t="shared" si="1659"/>
        <v>-65000000</v>
      </c>
      <c r="KHY69" s="61">
        <f t="shared" si="1659"/>
        <v>-65000000</v>
      </c>
      <c r="KHZ69" s="61">
        <f t="shared" si="1659"/>
        <v>-65000000</v>
      </c>
      <c r="KIA69" s="61">
        <f t="shared" si="1659"/>
        <v>-65000000</v>
      </c>
      <c r="KIB69" s="61">
        <f t="shared" si="1659"/>
        <v>-65000000</v>
      </c>
      <c r="KIC69" s="61">
        <f t="shared" si="1659"/>
        <v>-65000000</v>
      </c>
      <c r="KID69" s="61">
        <f t="shared" si="1659"/>
        <v>-65000000</v>
      </c>
      <c r="KIE69" s="61">
        <f t="shared" si="1659"/>
        <v>-65000000</v>
      </c>
      <c r="KIF69" s="61">
        <f t="shared" si="1659"/>
        <v>-65000000</v>
      </c>
      <c r="KIG69" s="61">
        <f t="shared" si="1659"/>
        <v>-65000000</v>
      </c>
      <c r="KIH69" s="61">
        <f t="shared" si="1659"/>
        <v>-65000000</v>
      </c>
      <c r="KII69" s="61">
        <f t="shared" si="1659"/>
        <v>-65000000</v>
      </c>
      <c r="KIJ69" s="61">
        <f t="shared" si="1659"/>
        <v>-65000000</v>
      </c>
      <c r="KIK69" s="61">
        <f t="shared" si="1659"/>
        <v>-65000000</v>
      </c>
      <c r="KIL69" s="61">
        <f t="shared" si="1659"/>
        <v>-65000000</v>
      </c>
      <c r="KIM69" s="61">
        <f t="shared" si="1659"/>
        <v>-65000000</v>
      </c>
      <c r="KIN69" s="61">
        <f t="shared" si="1659"/>
        <v>-65000000</v>
      </c>
      <c r="KIO69" s="61">
        <f t="shared" si="1659"/>
        <v>-65000000</v>
      </c>
      <c r="KIP69" s="61">
        <f t="shared" si="1659"/>
        <v>-65000000</v>
      </c>
      <c r="KIQ69" s="61">
        <f t="shared" si="1659"/>
        <v>-65000000</v>
      </c>
      <c r="KIR69" s="61">
        <f t="shared" si="1659"/>
        <v>-65000000</v>
      </c>
      <c r="KIS69" s="61">
        <f t="shared" si="1659"/>
        <v>-65000000</v>
      </c>
      <c r="KIT69" s="61">
        <f t="shared" si="1659"/>
        <v>-65000000</v>
      </c>
      <c r="KIU69" s="61">
        <f t="shared" si="1659"/>
        <v>-65000000</v>
      </c>
      <c r="KIV69" s="61">
        <f t="shared" si="1659"/>
        <v>-65000000</v>
      </c>
      <c r="KIW69" s="61">
        <f t="shared" si="1659"/>
        <v>-65000000</v>
      </c>
      <c r="KIX69" s="61">
        <f t="shared" si="1659"/>
        <v>-65000000</v>
      </c>
      <c r="KIY69" s="61">
        <f t="shared" si="1659"/>
        <v>-65000000</v>
      </c>
      <c r="KIZ69" s="61">
        <f t="shared" si="1659"/>
        <v>-65000000</v>
      </c>
      <c r="KJA69" s="61">
        <f t="shared" si="1659"/>
        <v>-65000000</v>
      </c>
      <c r="KJB69" s="61">
        <f t="shared" si="1659"/>
        <v>-65000000</v>
      </c>
      <c r="KJC69" s="61">
        <f t="shared" si="1659"/>
        <v>-65000000</v>
      </c>
      <c r="KJD69" s="61">
        <f t="shared" si="1659"/>
        <v>-65000000</v>
      </c>
      <c r="KJE69" s="61">
        <f t="shared" si="1659"/>
        <v>-65000000</v>
      </c>
      <c r="KJF69" s="61">
        <f t="shared" si="1659"/>
        <v>-65000000</v>
      </c>
      <c r="KJG69" s="61">
        <f t="shared" si="1659"/>
        <v>-65000000</v>
      </c>
      <c r="KJH69" s="61">
        <f t="shared" si="1659"/>
        <v>-65000000</v>
      </c>
      <c r="KJI69" s="61">
        <f t="shared" si="1659"/>
        <v>-65000000</v>
      </c>
      <c r="KJJ69" s="61">
        <f t="shared" si="1659"/>
        <v>-65000000</v>
      </c>
      <c r="KJK69" s="61">
        <f t="shared" si="1659"/>
        <v>-65000000</v>
      </c>
      <c r="KJL69" s="61">
        <f t="shared" si="1659"/>
        <v>-65000000</v>
      </c>
      <c r="KJM69" s="61">
        <f t="shared" si="1659"/>
        <v>-65000000</v>
      </c>
      <c r="KJN69" s="61">
        <f t="shared" si="1659"/>
        <v>-65000000</v>
      </c>
      <c r="KJO69" s="61">
        <f t="shared" ref="KJO69:KLZ69" si="1660">KJO68-$EC$11-KJO11</f>
        <v>-65000000</v>
      </c>
      <c r="KJP69" s="61">
        <f t="shared" si="1660"/>
        <v>-65000000</v>
      </c>
      <c r="KJQ69" s="61">
        <f t="shared" si="1660"/>
        <v>-65000000</v>
      </c>
      <c r="KJR69" s="61">
        <f t="shared" si="1660"/>
        <v>-65000000</v>
      </c>
      <c r="KJS69" s="61">
        <f t="shared" si="1660"/>
        <v>-65000000</v>
      </c>
      <c r="KJT69" s="61">
        <f t="shared" si="1660"/>
        <v>-65000000</v>
      </c>
      <c r="KJU69" s="61">
        <f t="shared" si="1660"/>
        <v>-65000000</v>
      </c>
      <c r="KJV69" s="61">
        <f t="shared" si="1660"/>
        <v>-65000000</v>
      </c>
      <c r="KJW69" s="61">
        <f t="shared" si="1660"/>
        <v>-65000000</v>
      </c>
      <c r="KJX69" s="61">
        <f t="shared" si="1660"/>
        <v>-65000000</v>
      </c>
      <c r="KJY69" s="61">
        <f t="shared" si="1660"/>
        <v>-65000000</v>
      </c>
      <c r="KJZ69" s="61">
        <f t="shared" si="1660"/>
        <v>-65000000</v>
      </c>
      <c r="KKA69" s="61">
        <f t="shared" si="1660"/>
        <v>-65000000</v>
      </c>
      <c r="KKB69" s="61">
        <f t="shared" si="1660"/>
        <v>-65000000</v>
      </c>
      <c r="KKC69" s="61">
        <f t="shared" si="1660"/>
        <v>-65000000</v>
      </c>
      <c r="KKD69" s="61">
        <f t="shared" si="1660"/>
        <v>-65000000</v>
      </c>
      <c r="KKE69" s="61">
        <f t="shared" si="1660"/>
        <v>-65000000</v>
      </c>
      <c r="KKF69" s="61">
        <f t="shared" si="1660"/>
        <v>-65000000</v>
      </c>
      <c r="KKG69" s="61">
        <f t="shared" si="1660"/>
        <v>-65000000</v>
      </c>
      <c r="KKH69" s="61">
        <f t="shared" si="1660"/>
        <v>-65000000</v>
      </c>
      <c r="KKI69" s="61">
        <f t="shared" si="1660"/>
        <v>-65000000</v>
      </c>
      <c r="KKJ69" s="61">
        <f t="shared" si="1660"/>
        <v>-65000000</v>
      </c>
      <c r="KKK69" s="61">
        <f t="shared" si="1660"/>
        <v>-65000000</v>
      </c>
      <c r="KKL69" s="61">
        <f t="shared" si="1660"/>
        <v>-65000000</v>
      </c>
      <c r="KKM69" s="61">
        <f t="shared" si="1660"/>
        <v>-65000000</v>
      </c>
      <c r="KKN69" s="61">
        <f t="shared" si="1660"/>
        <v>-65000000</v>
      </c>
      <c r="KKO69" s="61">
        <f t="shared" si="1660"/>
        <v>-65000000</v>
      </c>
      <c r="KKP69" s="61">
        <f t="shared" si="1660"/>
        <v>-65000000</v>
      </c>
      <c r="KKQ69" s="61">
        <f t="shared" si="1660"/>
        <v>-65000000</v>
      </c>
      <c r="KKR69" s="61">
        <f t="shared" si="1660"/>
        <v>-65000000</v>
      </c>
      <c r="KKS69" s="61">
        <f t="shared" si="1660"/>
        <v>-65000000</v>
      </c>
      <c r="KKT69" s="61">
        <f t="shared" si="1660"/>
        <v>-65000000</v>
      </c>
      <c r="KKU69" s="61">
        <f t="shared" si="1660"/>
        <v>-65000000</v>
      </c>
      <c r="KKV69" s="61">
        <f t="shared" si="1660"/>
        <v>-65000000</v>
      </c>
      <c r="KKW69" s="61">
        <f t="shared" si="1660"/>
        <v>-65000000</v>
      </c>
      <c r="KKX69" s="61">
        <f t="shared" si="1660"/>
        <v>-65000000</v>
      </c>
      <c r="KKY69" s="61">
        <f t="shared" si="1660"/>
        <v>-65000000</v>
      </c>
      <c r="KKZ69" s="61">
        <f t="shared" si="1660"/>
        <v>-65000000</v>
      </c>
      <c r="KLA69" s="61">
        <f t="shared" si="1660"/>
        <v>-65000000</v>
      </c>
      <c r="KLB69" s="61">
        <f t="shared" si="1660"/>
        <v>-65000000</v>
      </c>
      <c r="KLC69" s="61">
        <f t="shared" si="1660"/>
        <v>-65000000</v>
      </c>
      <c r="KLD69" s="61">
        <f t="shared" si="1660"/>
        <v>-65000000</v>
      </c>
      <c r="KLE69" s="61">
        <f t="shared" si="1660"/>
        <v>-65000000</v>
      </c>
      <c r="KLF69" s="61">
        <f t="shared" si="1660"/>
        <v>-65000000</v>
      </c>
      <c r="KLG69" s="61">
        <f t="shared" si="1660"/>
        <v>-65000000</v>
      </c>
      <c r="KLH69" s="61">
        <f t="shared" si="1660"/>
        <v>-65000000</v>
      </c>
      <c r="KLI69" s="61">
        <f t="shared" si="1660"/>
        <v>-65000000</v>
      </c>
      <c r="KLJ69" s="61">
        <f t="shared" si="1660"/>
        <v>-65000000</v>
      </c>
      <c r="KLK69" s="61">
        <f t="shared" si="1660"/>
        <v>-65000000</v>
      </c>
      <c r="KLL69" s="61">
        <f t="shared" si="1660"/>
        <v>-65000000</v>
      </c>
      <c r="KLM69" s="61">
        <f t="shared" si="1660"/>
        <v>-65000000</v>
      </c>
      <c r="KLN69" s="61">
        <f t="shared" si="1660"/>
        <v>-65000000</v>
      </c>
      <c r="KLO69" s="61">
        <f t="shared" si="1660"/>
        <v>-65000000</v>
      </c>
      <c r="KLP69" s="61">
        <f t="shared" si="1660"/>
        <v>-65000000</v>
      </c>
      <c r="KLQ69" s="61">
        <f t="shared" si="1660"/>
        <v>-65000000</v>
      </c>
      <c r="KLR69" s="61">
        <f t="shared" si="1660"/>
        <v>-65000000</v>
      </c>
      <c r="KLS69" s="61">
        <f t="shared" si="1660"/>
        <v>-65000000</v>
      </c>
      <c r="KLT69" s="61">
        <f t="shared" si="1660"/>
        <v>-65000000</v>
      </c>
      <c r="KLU69" s="61">
        <f t="shared" si="1660"/>
        <v>-65000000</v>
      </c>
      <c r="KLV69" s="61">
        <f t="shared" si="1660"/>
        <v>-65000000</v>
      </c>
      <c r="KLW69" s="61">
        <f t="shared" si="1660"/>
        <v>-65000000</v>
      </c>
      <c r="KLX69" s="61">
        <f t="shared" si="1660"/>
        <v>-65000000</v>
      </c>
      <c r="KLY69" s="61">
        <f t="shared" si="1660"/>
        <v>-65000000</v>
      </c>
      <c r="KLZ69" s="61">
        <f t="shared" si="1660"/>
        <v>-65000000</v>
      </c>
      <c r="KMA69" s="61">
        <f t="shared" ref="KMA69:KOL69" si="1661">KMA68-$EC$11-KMA11</f>
        <v>-65000000</v>
      </c>
      <c r="KMB69" s="61">
        <f t="shared" si="1661"/>
        <v>-65000000</v>
      </c>
      <c r="KMC69" s="61">
        <f t="shared" si="1661"/>
        <v>-65000000</v>
      </c>
      <c r="KMD69" s="61">
        <f t="shared" si="1661"/>
        <v>-65000000</v>
      </c>
      <c r="KME69" s="61">
        <f t="shared" si="1661"/>
        <v>-65000000</v>
      </c>
      <c r="KMF69" s="61">
        <f t="shared" si="1661"/>
        <v>-65000000</v>
      </c>
      <c r="KMG69" s="61">
        <f t="shared" si="1661"/>
        <v>-65000000</v>
      </c>
      <c r="KMH69" s="61">
        <f t="shared" si="1661"/>
        <v>-65000000</v>
      </c>
      <c r="KMI69" s="61">
        <f t="shared" si="1661"/>
        <v>-65000000</v>
      </c>
      <c r="KMJ69" s="61">
        <f t="shared" si="1661"/>
        <v>-65000000</v>
      </c>
      <c r="KMK69" s="61">
        <f t="shared" si="1661"/>
        <v>-65000000</v>
      </c>
      <c r="KML69" s="61">
        <f t="shared" si="1661"/>
        <v>-65000000</v>
      </c>
      <c r="KMM69" s="61">
        <f t="shared" si="1661"/>
        <v>-65000000</v>
      </c>
      <c r="KMN69" s="61">
        <f t="shared" si="1661"/>
        <v>-65000000</v>
      </c>
      <c r="KMO69" s="61">
        <f t="shared" si="1661"/>
        <v>-65000000</v>
      </c>
      <c r="KMP69" s="61">
        <f t="shared" si="1661"/>
        <v>-65000000</v>
      </c>
      <c r="KMQ69" s="61">
        <f t="shared" si="1661"/>
        <v>-65000000</v>
      </c>
      <c r="KMR69" s="61">
        <f t="shared" si="1661"/>
        <v>-65000000</v>
      </c>
      <c r="KMS69" s="61">
        <f t="shared" si="1661"/>
        <v>-65000000</v>
      </c>
      <c r="KMT69" s="61">
        <f t="shared" si="1661"/>
        <v>-65000000</v>
      </c>
      <c r="KMU69" s="61">
        <f t="shared" si="1661"/>
        <v>-65000000</v>
      </c>
      <c r="KMV69" s="61">
        <f t="shared" si="1661"/>
        <v>-65000000</v>
      </c>
      <c r="KMW69" s="61">
        <f t="shared" si="1661"/>
        <v>-65000000</v>
      </c>
      <c r="KMX69" s="61">
        <f t="shared" si="1661"/>
        <v>-65000000</v>
      </c>
      <c r="KMY69" s="61">
        <f t="shared" si="1661"/>
        <v>-65000000</v>
      </c>
      <c r="KMZ69" s="61">
        <f t="shared" si="1661"/>
        <v>-65000000</v>
      </c>
      <c r="KNA69" s="61">
        <f t="shared" si="1661"/>
        <v>-65000000</v>
      </c>
      <c r="KNB69" s="61">
        <f t="shared" si="1661"/>
        <v>-65000000</v>
      </c>
      <c r="KNC69" s="61">
        <f t="shared" si="1661"/>
        <v>-65000000</v>
      </c>
      <c r="KND69" s="61">
        <f t="shared" si="1661"/>
        <v>-65000000</v>
      </c>
      <c r="KNE69" s="61">
        <f t="shared" si="1661"/>
        <v>-65000000</v>
      </c>
      <c r="KNF69" s="61">
        <f t="shared" si="1661"/>
        <v>-65000000</v>
      </c>
      <c r="KNG69" s="61">
        <f t="shared" si="1661"/>
        <v>-65000000</v>
      </c>
      <c r="KNH69" s="61">
        <f t="shared" si="1661"/>
        <v>-65000000</v>
      </c>
      <c r="KNI69" s="61">
        <f t="shared" si="1661"/>
        <v>-65000000</v>
      </c>
      <c r="KNJ69" s="61">
        <f t="shared" si="1661"/>
        <v>-65000000</v>
      </c>
      <c r="KNK69" s="61">
        <f t="shared" si="1661"/>
        <v>-65000000</v>
      </c>
      <c r="KNL69" s="61">
        <f t="shared" si="1661"/>
        <v>-65000000</v>
      </c>
      <c r="KNM69" s="61">
        <f t="shared" si="1661"/>
        <v>-65000000</v>
      </c>
      <c r="KNN69" s="61">
        <f t="shared" si="1661"/>
        <v>-65000000</v>
      </c>
      <c r="KNO69" s="61">
        <f t="shared" si="1661"/>
        <v>-65000000</v>
      </c>
      <c r="KNP69" s="61">
        <f t="shared" si="1661"/>
        <v>-65000000</v>
      </c>
      <c r="KNQ69" s="61">
        <f t="shared" si="1661"/>
        <v>-65000000</v>
      </c>
      <c r="KNR69" s="61">
        <f t="shared" si="1661"/>
        <v>-65000000</v>
      </c>
      <c r="KNS69" s="61">
        <f t="shared" si="1661"/>
        <v>-65000000</v>
      </c>
      <c r="KNT69" s="61">
        <f t="shared" si="1661"/>
        <v>-65000000</v>
      </c>
      <c r="KNU69" s="61">
        <f t="shared" si="1661"/>
        <v>-65000000</v>
      </c>
      <c r="KNV69" s="61">
        <f t="shared" si="1661"/>
        <v>-65000000</v>
      </c>
      <c r="KNW69" s="61">
        <f t="shared" si="1661"/>
        <v>-65000000</v>
      </c>
      <c r="KNX69" s="61">
        <f t="shared" si="1661"/>
        <v>-65000000</v>
      </c>
      <c r="KNY69" s="61">
        <f t="shared" si="1661"/>
        <v>-65000000</v>
      </c>
      <c r="KNZ69" s="61">
        <f t="shared" si="1661"/>
        <v>-65000000</v>
      </c>
      <c r="KOA69" s="61">
        <f t="shared" si="1661"/>
        <v>-65000000</v>
      </c>
      <c r="KOB69" s="61">
        <f t="shared" si="1661"/>
        <v>-65000000</v>
      </c>
      <c r="KOC69" s="61">
        <f t="shared" si="1661"/>
        <v>-65000000</v>
      </c>
      <c r="KOD69" s="61">
        <f t="shared" si="1661"/>
        <v>-65000000</v>
      </c>
      <c r="KOE69" s="61">
        <f t="shared" si="1661"/>
        <v>-65000000</v>
      </c>
      <c r="KOF69" s="61">
        <f t="shared" si="1661"/>
        <v>-65000000</v>
      </c>
      <c r="KOG69" s="61">
        <f t="shared" si="1661"/>
        <v>-65000000</v>
      </c>
      <c r="KOH69" s="61">
        <f t="shared" si="1661"/>
        <v>-65000000</v>
      </c>
      <c r="KOI69" s="61">
        <f t="shared" si="1661"/>
        <v>-65000000</v>
      </c>
      <c r="KOJ69" s="61">
        <f t="shared" si="1661"/>
        <v>-65000000</v>
      </c>
      <c r="KOK69" s="61">
        <f t="shared" si="1661"/>
        <v>-65000000</v>
      </c>
      <c r="KOL69" s="61">
        <f t="shared" si="1661"/>
        <v>-65000000</v>
      </c>
      <c r="KOM69" s="61">
        <f t="shared" ref="KOM69:KQX69" si="1662">KOM68-$EC$11-KOM11</f>
        <v>-65000000</v>
      </c>
      <c r="KON69" s="61">
        <f t="shared" si="1662"/>
        <v>-65000000</v>
      </c>
      <c r="KOO69" s="61">
        <f t="shared" si="1662"/>
        <v>-65000000</v>
      </c>
      <c r="KOP69" s="61">
        <f t="shared" si="1662"/>
        <v>-65000000</v>
      </c>
      <c r="KOQ69" s="61">
        <f t="shared" si="1662"/>
        <v>-65000000</v>
      </c>
      <c r="KOR69" s="61">
        <f t="shared" si="1662"/>
        <v>-65000000</v>
      </c>
      <c r="KOS69" s="61">
        <f t="shared" si="1662"/>
        <v>-65000000</v>
      </c>
      <c r="KOT69" s="61">
        <f t="shared" si="1662"/>
        <v>-65000000</v>
      </c>
      <c r="KOU69" s="61">
        <f t="shared" si="1662"/>
        <v>-65000000</v>
      </c>
      <c r="KOV69" s="61">
        <f t="shared" si="1662"/>
        <v>-65000000</v>
      </c>
      <c r="KOW69" s="61">
        <f t="shared" si="1662"/>
        <v>-65000000</v>
      </c>
      <c r="KOX69" s="61">
        <f t="shared" si="1662"/>
        <v>-65000000</v>
      </c>
      <c r="KOY69" s="61">
        <f t="shared" si="1662"/>
        <v>-65000000</v>
      </c>
      <c r="KOZ69" s="61">
        <f t="shared" si="1662"/>
        <v>-65000000</v>
      </c>
      <c r="KPA69" s="61">
        <f t="shared" si="1662"/>
        <v>-65000000</v>
      </c>
      <c r="KPB69" s="61">
        <f t="shared" si="1662"/>
        <v>-65000000</v>
      </c>
      <c r="KPC69" s="61">
        <f t="shared" si="1662"/>
        <v>-65000000</v>
      </c>
      <c r="KPD69" s="61">
        <f t="shared" si="1662"/>
        <v>-65000000</v>
      </c>
      <c r="KPE69" s="61">
        <f t="shared" si="1662"/>
        <v>-65000000</v>
      </c>
      <c r="KPF69" s="61">
        <f t="shared" si="1662"/>
        <v>-65000000</v>
      </c>
      <c r="KPG69" s="61">
        <f t="shared" si="1662"/>
        <v>-65000000</v>
      </c>
      <c r="KPH69" s="61">
        <f t="shared" si="1662"/>
        <v>-65000000</v>
      </c>
      <c r="KPI69" s="61">
        <f t="shared" si="1662"/>
        <v>-65000000</v>
      </c>
      <c r="KPJ69" s="61">
        <f t="shared" si="1662"/>
        <v>-65000000</v>
      </c>
      <c r="KPK69" s="61">
        <f t="shared" si="1662"/>
        <v>-65000000</v>
      </c>
      <c r="KPL69" s="61">
        <f t="shared" si="1662"/>
        <v>-65000000</v>
      </c>
      <c r="KPM69" s="61">
        <f t="shared" si="1662"/>
        <v>-65000000</v>
      </c>
      <c r="KPN69" s="61">
        <f t="shared" si="1662"/>
        <v>-65000000</v>
      </c>
      <c r="KPO69" s="61">
        <f t="shared" si="1662"/>
        <v>-65000000</v>
      </c>
      <c r="KPP69" s="61">
        <f t="shared" si="1662"/>
        <v>-65000000</v>
      </c>
      <c r="KPQ69" s="61">
        <f t="shared" si="1662"/>
        <v>-65000000</v>
      </c>
      <c r="KPR69" s="61">
        <f t="shared" si="1662"/>
        <v>-65000000</v>
      </c>
      <c r="KPS69" s="61">
        <f t="shared" si="1662"/>
        <v>-65000000</v>
      </c>
      <c r="KPT69" s="61">
        <f t="shared" si="1662"/>
        <v>-65000000</v>
      </c>
      <c r="KPU69" s="61">
        <f t="shared" si="1662"/>
        <v>-65000000</v>
      </c>
      <c r="KPV69" s="61">
        <f t="shared" si="1662"/>
        <v>-65000000</v>
      </c>
      <c r="KPW69" s="61">
        <f t="shared" si="1662"/>
        <v>-65000000</v>
      </c>
      <c r="KPX69" s="61">
        <f t="shared" si="1662"/>
        <v>-65000000</v>
      </c>
      <c r="KPY69" s="61">
        <f t="shared" si="1662"/>
        <v>-65000000</v>
      </c>
      <c r="KPZ69" s="61">
        <f t="shared" si="1662"/>
        <v>-65000000</v>
      </c>
      <c r="KQA69" s="61">
        <f t="shared" si="1662"/>
        <v>-65000000</v>
      </c>
      <c r="KQB69" s="61">
        <f t="shared" si="1662"/>
        <v>-65000000</v>
      </c>
      <c r="KQC69" s="61">
        <f t="shared" si="1662"/>
        <v>-65000000</v>
      </c>
      <c r="KQD69" s="61">
        <f t="shared" si="1662"/>
        <v>-65000000</v>
      </c>
      <c r="KQE69" s="61">
        <f t="shared" si="1662"/>
        <v>-65000000</v>
      </c>
      <c r="KQF69" s="61">
        <f t="shared" si="1662"/>
        <v>-65000000</v>
      </c>
      <c r="KQG69" s="61">
        <f t="shared" si="1662"/>
        <v>-65000000</v>
      </c>
      <c r="KQH69" s="61">
        <f t="shared" si="1662"/>
        <v>-65000000</v>
      </c>
      <c r="KQI69" s="61">
        <f t="shared" si="1662"/>
        <v>-65000000</v>
      </c>
      <c r="KQJ69" s="61">
        <f t="shared" si="1662"/>
        <v>-65000000</v>
      </c>
      <c r="KQK69" s="61">
        <f t="shared" si="1662"/>
        <v>-65000000</v>
      </c>
      <c r="KQL69" s="61">
        <f t="shared" si="1662"/>
        <v>-65000000</v>
      </c>
      <c r="KQM69" s="61">
        <f t="shared" si="1662"/>
        <v>-65000000</v>
      </c>
      <c r="KQN69" s="61">
        <f t="shared" si="1662"/>
        <v>-65000000</v>
      </c>
      <c r="KQO69" s="61">
        <f t="shared" si="1662"/>
        <v>-65000000</v>
      </c>
      <c r="KQP69" s="61">
        <f t="shared" si="1662"/>
        <v>-65000000</v>
      </c>
      <c r="KQQ69" s="61">
        <f t="shared" si="1662"/>
        <v>-65000000</v>
      </c>
      <c r="KQR69" s="61">
        <f t="shared" si="1662"/>
        <v>-65000000</v>
      </c>
      <c r="KQS69" s="61">
        <f t="shared" si="1662"/>
        <v>-65000000</v>
      </c>
      <c r="KQT69" s="61">
        <f t="shared" si="1662"/>
        <v>-65000000</v>
      </c>
      <c r="KQU69" s="61">
        <f t="shared" si="1662"/>
        <v>-65000000</v>
      </c>
      <c r="KQV69" s="61">
        <f t="shared" si="1662"/>
        <v>-65000000</v>
      </c>
      <c r="KQW69" s="61">
        <f t="shared" si="1662"/>
        <v>-65000000</v>
      </c>
      <c r="KQX69" s="61">
        <f t="shared" si="1662"/>
        <v>-65000000</v>
      </c>
      <c r="KQY69" s="61">
        <f t="shared" ref="KQY69:KTJ69" si="1663">KQY68-$EC$11-KQY11</f>
        <v>-65000000</v>
      </c>
      <c r="KQZ69" s="61">
        <f t="shared" si="1663"/>
        <v>-65000000</v>
      </c>
      <c r="KRA69" s="61">
        <f t="shared" si="1663"/>
        <v>-65000000</v>
      </c>
      <c r="KRB69" s="61">
        <f t="shared" si="1663"/>
        <v>-65000000</v>
      </c>
      <c r="KRC69" s="61">
        <f t="shared" si="1663"/>
        <v>-65000000</v>
      </c>
      <c r="KRD69" s="61">
        <f t="shared" si="1663"/>
        <v>-65000000</v>
      </c>
      <c r="KRE69" s="61">
        <f t="shared" si="1663"/>
        <v>-65000000</v>
      </c>
      <c r="KRF69" s="61">
        <f t="shared" si="1663"/>
        <v>-65000000</v>
      </c>
      <c r="KRG69" s="61">
        <f t="shared" si="1663"/>
        <v>-65000000</v>
      </c>
      <c r="KRH69" s="61">
        <f t="shared" si="1663"/>
        <v>-65000000</v>
      </c>
      <c r="KRI69" s="61">
        <f t="shared" si="1663"/>
        <v>-65000000</v>
      </c>
      <c r="KRJ69" s="61">
        <f t="shared" si="1663"/>
        <v>-65000000</v>
      </c>
      <c r="KRK69" s="61">
        <f t="shared" si="1663"/>
        <v>-65000000</v>
      </c>
      <c r="KRL69" s="61">
        <f t="shared" si="1663"/>
        <v>-65000000</v>
      </c>
      <c r="KRM69" s="61">
        <f t="shared" si="1663"/>
        <v>-65000000</v>
      </c>
      <c r="KRN69" s="61">
        <f t="shared" si="1663"/>
        <v>-65000000</v>
      </c>
      <c r="KRO69" s="61">
        <f t="shared" si="1663"/>
        <v>-65000000</v>
      </c>
      <c r="KRP69" s="61">
        <f t="shared" si="1663"/>
        <v>-65000000</v>
      </c>
      <c r="KRQ69" s="61">
        <f t="shared" si="1663"/>
        <v>-65000000</v>
      </c>
      <c r="KRR69" s="61">
        <f t="shared" si="1663"/>
        <v>-65000000</v>
      </c>
      <c r="KRS69" s="61">
        <f t="shared" si="1663"/>
        <v>-65000000</v>
      </c>
      <c r="KRT69" s="61">
        <f t="shared" si="1663"/>
        <v>-65000000</v>
      </c>
      <c r="KRU69" s="61">
        <f t="shared" si="1663"/>
        <v>-65000000</v>
      </c>
      <c r="KRV69" s="61">
        <f t="shared" si="1663"/>
        <v>-65000000</v>
      </c>
      <c r="KRW69" s="61">
        <f t="shared" si="1663"/>
        <v>-65000000</v>
      </c>
      <c r="KRX69" s="61">
        <f t="shared" si="1663"/>
        <v>-65000000</v>
      </c>
      <c r="KRY69" s="61">
        <f t="shared" si="1663"/>
        <v>-65000000</v>
      </c>
      <c r="KRZ69" s="61">
        <f t="shared" si="1663"/>
        <v>-65000000</v>
      </c>
      <c r="KSA69" s="61">
        <f t="shared" si="1663"/>
        <v>-65000000</v>
      </c>
      <c r="KSB69" s="61">
        <f t="shared" si="1663"/>
        <v>-65000000</v>
      </c>
      <c r="KSC69" s="61">
        <f t="shared" si="1663"/>
        <v>-65000000</v>
      </c>
      <c r="KSD69" s="61">
        <f t="shared" si="1663"/>
        <v>-65000000</v>
      </c>
      <c r="KSE69" s="61">
        <f t="shared" si="1663"/>
        <v>-65000000</v>
      </c>
      <c r="KSF69" s="61">
        <f t="shared" si="1663"/>
        <v>-65000000</v>
      </c>
      <c r="KSG69" s="61">
        <f t="shared" si="1663"/>
        <v>-65000000</v>
      </c>
      <c r="KSH69" s="61">
        <f t="shared" si="1663"/>
        <v>-65000000</v>
      </c>
      <c r="KSI69" s="61">
        <f t="shared" si="1663"/>
        <v>-65000000</v>
      </c>
      <c r="KSJ69" s="61">
        <f t="shared" si="1663"/>
        <v>-65000000</v>
      </c>
      <c r="KSK69" s="61">
        <f t="shared" si="1663"/>
        <v>-65000000</v>
      </c>
      <c r="KSL69" s="61">
        <f t="shared" si="1663"/>
        <v>-65000000</v>
      </c>
      <c r="KSM69" s="61">
        <f t="shared" si="1663"/>
        <v>-65000000</v>
      </c>
      <c r="KSN69" s="61">
        <f t="shared" si="1663"/>
        <v>-65000000</v>
      </c>
      <c r="KSO69" s="61">
        <f t="shared" si="1663"/>
        <v>-65000000</v>
      </c>
      <c r="KSP69" s="61">
        <f t="shared" si="1663"/>
        <v>-65000000</v>
      </c>
      <c r="KSQ69" s="61">
        <f t="shared" si="1663"/>
        <v>-65000000</v>
      </c>
      <c r="KSR69" s="61">
        <f t="shared" si="1663"/>
        <v>-65000000</v>
      </c>
      <c r="KSS69" s="61">
        <f t="shared" si="1663"/>
        <v>-65000000</v>
      </c>
      <c r="KST69" s="61">
        <f t="shared" si="1663"/>
        <v>-65000000</v>
      </c>
      <c r="KSU69" s="61">
        <f t="shared" si="1663"/>
        <v>-65000000</v>
      </c>
      <c r="KSV69" s="61">
        <f t="shared" si="1663"/>
        <v>-65000000</v>
      </c>
      <c r="KSW69" s="61">
        <f t="shared" si="1663"/>
        <v>-65000000</v>
      </c>
      <c r="KSX69" s="61">
        <f t="shared" si="1663"/>
        <v>-65000000</v>
      </c>
      <c r="KSY69" s="61">
        <f t="shared" si="1663"/>
        <v>-65000000</v>
      </c>
      <c r="KSZ69" s="61">
        <f t="shared" si="1663"/>
        <v>-65000000</v>
      </c>
      <c r="KTA69" s="61">
        <f t="shared" si="1663"/>
        <v>-65000000</v>
      </c>
      <c r="KTB69" s="61">
        <f t="shared" si="1663"/>
        <v>-65000000</v>
      </c>
      <c r="KTC69" s="61">
        <f t="shared" si="1663"/>
        <v>-65000000</v>
      </c>
      <c r="KTD69" s="61">
        <f t="shared" si="1663"/>
        <v>-65000000</v>
      </c>
      <c r="KTE69" s="61">
        <f t="shared" si="1663"/>
        <v>-65000000</v>
      </c>
      <c r="KTF69" s="61">
        <f t="shared" si="1663"/>
        <v>-65000000</v>
      </c>
      <c r="KTG69" s="61">
        <f t="shared" si="1663"/>
        <v>-65000000</v>
      </c>
      <c r="KTH69" s="61">
        <f t="shared" si="1663"/>
        <v>-65000000</v>
      </c>
      <c r="KTI69" s="61">
        <f t="shared" si="1663"/>
        <v>-65000000</v>
      </c>
      <c r="KTJ69" s="61">
        <f t="shared" si="1663"/>
        <v>-65000000</v>
      </c>
      <c r="KTK69" s="61">
        <f t="shared" ref="KTK69:KVV69" si="1664">KTK68-$EC$11-KTK11</f>
        <v>-65000000</v>
      </c>
      <c r="KTL69" s="61">
        <f t="shared" si="1664"/>
        <v>-65000000</v>
      </c>
      <c r="KTM69" s="61">
        <f t="shared" si="1664"/>
        <v>-65000000</v>
      </c>
      <c r="KTN69" s="61">
        <f t="shared" si="1664"/>
        <v>-65000000</v>
      </c>
      <c r="KTO69" s="61">
        <f t="shared" si="1664"/>
        <v>-65000000</v>
      </c>
      <c r="KTP69" s="61">
        <f t="shared" si="1664"/>
        <v>-65000000</v>
      </c>
      <c r="KTQ69" s="61">
        <f t="shared" si="1664"/>
        <v>-65000000</v>
      </c>
      <c r="KTR69" s="61">
        <f t="shared" si="1664"/>
        <v>-65000000</v>
      </c>
      <c r="KTS69" s="61">
        <f t="shared" si="1664"/>
        <v>-65000000</v>
      </c>
      <c r="KTT69" s="61">
        <f t="shared" si="1664"/>
        <v>-65000000</v>
      </c>
      <c r="KTU69" s="61">
        <f t="shared" si="1664"/>
        <v>-65000000</v>
      </c>
      <c r="KTV69" s="61">
        <f t="shared" si="1664"/>
        <v>-65000000</v>
      </c>
      <c r="KTW69" s="61">
        <f t="shared" si="1664"/>
        <v>-65000000</v>
      </c>
      <c r="KTX69" s="61">
        <f t="shared" si="1664"/>
        <v>-65000000</v>
      </c>
      <c r="KTY69" s="61">
        <f t="shared" si="1664"/>
        <v>-65000000</v>
      </c>
      <c r="KTZ69" s="61">
        <f t="shared" si="1664"/>
        <v>-65000000</v>
      </c>
      <c r="KUA69" s="61">
        <f t="shared" si="1664"/>
        <v>-65000000</v>
      </c>
      <c r="KUB69" s="61">
        <f t="shared" si="1664"/>
        <v>-65000000</v>
      </c>
      <c r="KUC69" s="61">
        <f t="shared" si="1664"/>
        <v>-65000000</v>
      </c>
      <c r="KUD69" s="61">
        <f t="shared" si="1664"/>
        <v>-65000000</v>
      </c>
      <c r="KUE69" s="61">
        <f t="shared" si="1664"/>
        <v>-65000000</v>
      </c>
      <c r="KUF69" s="61">
        <f t="shared" si="1664"/>
        <v>-65000000</v>
      </c>
      <c r="KUG69" s="61">
        <f t="shared" si="1664"/>
        <v>-65000000</v>
      </c>
      <c r="KUH69" s="61">
        <f t="shared" si="1664"/>
        <v>-65000000</v>
      </c>
      <c r="KUI69" s="61">
        <f t="shared" si="1664"/>
        <v>-65000000</v>
      </c>
      <c r="KUJ69" s="61">
        <f t="shared" si="1664"/>
        <v>-65000000</v>
      </c>
      <c r="KUK69" s="61">
        <f t="shared" si="1664"/>
        <v>-65000000</v>
      </c>
      <c r="KUL69" s="61">
        <f t="shared" si="1664"/>
        <v>-65000000</v>
      </c>
      <c r="KUM69" s="61">
        <f t="shared" si="1664"/>
        <v>-65000000</v>
      </c>
      <c r="KUN69" s="61">
        <f t="shared" si="1664"/>
        <v>-65000000</v>
      </c>
      <c r="KUO69" s="61">
        <f t="shared" si="1664"/>
        <v>-65000000</v>
      </c>
      <c r="KUP69" s="61">
        <f t="shared" si="1664"/>
        <v>-65000000</v>
      </c>
      <c r="KUQ69" s="61">
        <f t="shared" si="1664"/>
        <v>-65000000</v>
      </c>
      <c r="KUR69" s="61">
        <f t="shared" si="1664"/>
        <v>-65000000</v>
      </c>
      <c r="KUS69" s="61">
        <f t="shared" si="1664"/>
        <v>-65000000</v>
      </c>
      <c r="KUT69" s="61">
        <f t="shared" si="1664"/>
        <v>-65000000</v>
      </c>
      <c r="KUU69" s="61">
        <f t="shared" si="1664"/>
        <v>-65000000</v>
      </c>
      <c r="KUV69" s="61">
        <f t="shared" si="1664"/>
        <v>-65000000</v>
      </c>
      <c r="KUW69" s="61">
        <f t="shared" si="1664"/>
        <v>-65000000</v>
      </c>
      <c r="KUX69" s="61">
        <f t="shared" si="1664"/>
        <v>-65000000</v>
      </c>
      <c r="KUY69" s="61">
        <f t="shared" si="1664"/>
        <v>-65000000</v>
      </c>
      <c r="KUZ69" s="61">
        <f t="shared" si="1664"/>
        <v>-65000000</v>
      </c>
      <c r="KVA69" s="61">
        <f t="shared" si="1664"/>
        <v>-65000000</v>
      </c>
      <c r="KVB69" s="61">
        <f t="shared" si="1664"/>
        <v>-65000000</v>
      </c>
      <c r="KVC69" s="61">
        <f t="shared" si="1664"/>
        <v>-65000000</v>
      </c>
      <c r="KVD69" s="61">
        <f t="shared" si="1664"/>
        <v>-65000000</v>
      </c>
      <c r="KVE69" s="61">
        <f t="shared" si="1664"/>
        <v>-65000000</v>
      </c>
      <c r="KVF69" s="61">
        <f t="shared" si="1664"/>
        <v>-65000000</v>
      </c>
      <c r="KVG69" s="61">
        <f t="shared" si="1664"/>
        <v>-65000000</v>
      </c>
      <c r="KVH69" s="61">
        <f t="shared" si="1664"/>
        <v>-65000000</v>
      </c>
      <c r="KVI69" s="61">
        <f t="shared" si="1664"/>
        <v>-65000000</v>
      </c>
      <c r="KVJ69" s="61">
        <f t="shared" si="1664"/>
        <v>-65000000</v>
      </c>
      <c r="KVK69" s="61">
        <f t="shared" si="1664"/>
        <v>-65000000</v>
      </c>
      <c r="KVL69" s="61">
        <f t="shared" si="1664"/>
        <v>-65000000</v>
      </c>
      <c r="KVM69" s="61">
        <f t="shared" si="1664"/>
        <v>-65000000</v>
      </c>
      <c r="KVN69" s="61">
        <f t="shared" si="1664"/>
        <v>-65000000</v>
      </c>
      <c r="KVO69" s="61">
        <f t="shared" si="1664"/>
        <v>-65000000</v>
      </c>
      <c r="KVP69" s="61">
        <f t="shared" si="1664"/>
        <v>-65000000</v>
      </c>
      <c r="KVQ69" s="61">
        <f t="shared" si="1664"/>
        <v>-65000000</v>
      </c>
      <c r="KVR69" s="61">
        <f t="shared" si="1664"/>
        <v>-65000000</v>
      </c>
      <c r="KVS69" s="61">
        <f t="shared" si="1664"/>
        <v>-65000000</v>
      </c>
      <c r="KVT69" s="61">
        <f t="shared" si="1664"/>
        <v>-65000000</v>
      </c>
      <c r="KVU69" s="61">
        <f t="shared" si="1664"/>
        <v>-65000000</v>
      </c>
      <c r="KVV69" s="61">
        <f t="shared" si="1664"/>
        <v>-65000000</v>
      </c>
      <c r="KVW69" s="61">
        <f t="shared" ref="KVW69:KYH69" si="1665">KVW68-$EC$11-KVW11</f>
        <v>-65000000</v>
      </c>
      <c r="KVX69" s="61">
        <f t="shared" si="1665"/>
        <v>-65000000</v>
      </c>
      <c r="KVY69" s="61">
        <f t="shared" si="1665"/>
        <v>-65000000</v>
      </c>
      <c r="KVZ69" s="61">
        <f t="shared" si="1665"/>
        <v>-65000000</v>
      </c>
      <c r="KWA69" s="61">
        <f t="shared" si="1665"/>
        <v>-65000000</v>
      </c>
      <c r="KWB69" s="61">
        <f t="shared" si="1665"/>
        <v>-65000000</v>
      </c>
      <c r="KWC69" s="61">
        <f t="shared" si="1665"/>
        <v>-65000000</v>
      </c>
      <c r="KWD69" s="61">
        <f t="shared" si="1665"/>
        <v>-65000000</v>
      </c>
      <c r="KWE69" s="61">
        <f t="shared" si="1665"/>
        <v>-65000000</v>
      </c>
      <c r="KWF69" s="61">
        <f t="shared" si="1665"/>
        <v>-65000000</v>
      </c>
      <c r="KWG69" s="61">
        <f t="shared" si="1665"/>
        <v>-65000000</v>
      </c>
      <c r="KWH69" s="61">
        <f t="shared" si="1665"/>
        <v>-65000000</v>
      </c>
      <c r="KWI69" s="61">
        <f t="shared" si="1665"/>
        <v>-65000000</v>
      </c>
      <c r="KWJ69" s="61">
        <f t="shared" si="1665"/>
        <v>-65000000</v>
      </c>
      <c r="KWK69" s="61">
        <f t="shared" si="1665"/>
        <v>-65000000</v>
      </c>
      <c r="KWL69" s="61">
        <f t="shared" si="1665"/>
        <v>-65000000</v>
      </c>
      <c r="KWM69" s="61">
        <f t="shared" si="1665"/>
        <v>-65000000</v>
      </c>
      <c r="KWN69" s="61">
        <f t="shared" si="1665"/>
        <v>-65000000</v>
      </c>
      <c r="KWO69" s="61">
        <f t="shared" si="1665"/>
        <v>-65000000</v>
      </c>
      <c r="KWP69" s="61">
        <f t="shared" si="1665"/>
        <v>-65000000</v>
      </c>
      <c r="KWQ69" s="61">
        <f t="shared" si="1665"/>
        <v>-65000000</v>
      </c>
      <c r="KWR69" s="61">
        <f t="shared" si="1665"/>
        <v>-65000000</v>
      </c>
      <c r="KWS69" s="61">
        <f t="shared" si="1665"/>
        <v>-65000000</v>
      </c>
      <c r="KWT69" s="61">
        <f t="shared" si="1665"/>
        <v>-65000000</v>
      </c>
      <c r="KWU69" s="61">
        <f t="shared" si="1665"/>
        <v>-65000000</v>
      </c>
      <c r="KWV69" s="61">
        <f t="shared" si="1665"/>
        <v>-65000000</v>
      </c>
      <c r="KWW69" s="61">
        <f t="shared" si="1665"/>
        <v>-65000000</v>
      </c>
      <c r="KWX69" s="61">
        <f t="shared" si="1665"/>
        <v>-65000000</v>
      </c>
      <c r="KWY69" s="61">
        <f t="shared" si="1665"/>
        <v>-65000000</v>
      </c>
      <c r="KWZ69" s="61">
        <f t="shared" si="1665"/>
        <v>-65000000</v>
      </c>
      <c r="KXA69" s="61">
        <f t="shared" si="1665"/>
        <v>-65000000</v>
      </c>
      <c r="KXB69" s="61">
        <f t="shared" si="1665"/>
        <v>-65000000</v>
      </c>
      <c r="KXC69" s="61">
        <f t="shared" si="1665"/>
        <v>-65000000</v>
      </c>
      <c r="KXD69" s="61">
        <f t="shared" si="1665"/>
        <v>-65000000</v>
      </c>
      <c r="KXE69" s="61">
        <f t="shared" si="1665"/>
        <v>-65000000</v>
      </c>
      <c r="KXF69" s="61">
        <f t="shared" si="1665"/>
        <v>-65000000</v>
      </c>
      <c r="KXG69" s="61">
        <f t="shared" si="1665"/>
        <v>-65000000</v>
      </c>
      <c r="KXH69" s="61">
        <f t="shared" si="1665"/>
        <v>-65000000</v>
      </c>
      <c r="KXI69" s="61">
        <f t="shared" si="1665"/>
        <v>-65000000</v>
      </c>
      <c r="KXJ69" s="61">
        <f t="shared" si="1665"/>
        <v>-65000000</v>
      </c>
      <c r="KXK69" s="61">
        <f t="shared" si="1665"/>
        <v>-65000000</v>
      </c>
      <c r="KXL69" s="61">
        <f t="shared" si="1665"/>
        <v>-65000000</v>
      </c>
      <c r="KXM69" s="61">
        <f t="shared" si="1665"/>
        <v>-65000000</v>
      </c>
      <c r="KXN69" s="61">
        <f t="shared" si="1665"/>
        <v>-65000000</v>
      </c>
      <c r="KXO69" s="61">
        <f t="shared" si="1665"/>
        <v>-65000000</v>
      </c>
      <c r="KXP69" s="61">
        <f t="shared" si="1665"/>
        <v>-65000000</v>
      </c>
      <c r="KXQ69" s="61">
        <f t="shared" si="1665"/>
        <v>-65000000</v>
      </c>
      <c r="KXR69" s="61">
        <f t="shared" si="1665"/>
        <v>-65000000</v>
      </c>
      <c r="KXS69" s="61">
        <f t="shared" si="1665"/>
        <v>-65000000</v>
      </c>
      <c r="KXT69" s="61">
        <f t="shared" si="1665"/>
        <v>-65000000</v>
      </c>
      <c r="KXU69" s="61">
        <f t="shared" si="1665"/>
        <v>-65000000</v>
      </c>
      <c r="KXV69" s="61">
        <f t="shared" si="1665"/>
        <v>-65000000</v>
      </c>
      <c r="KXW69" s="61">
        <f t="shared" si="1665"/>
        <v>-65000000</v>
      </c>
      <c r="KXX69" s="61">
        <f t="shared" si="1665"/>
        <v>-65000000</v>
      </c>
      <c r="KXY69" s="61">
        <f t="shared" si="1665"/>
        <v>-65000000</v>
      </c>
      <c r="KXZ69" s="61">
        <f t="shared" si="1665"/>
        <v>-65000000</v>
      </c>
      <c r="KYA69" s="61">
        <f t="shared" si="1665"/>
        <v>-65000000</v>
      </c>
      <c r="KYB69" s="61">
        <f t="shared" si="1665"/>
        <v>-65000000</v>
      </c>
      <c r="KYC69" s="61">
        <f t="shared" si="1665"/>
        <v>-65000000</v>
      </c>
      <c r="KYD69" s="61">
        <f t="shared" si="1665"/>
        <v>-65000000</v>
      </c>
      <c r="KYE69" s="61">
        <f t="shared" si="1665"/>
        <v>-65000000</v>
      </c>
      <c r="KYF69" s="61">
        <f t="shared" si="1665"/>
        <v>-65000000</v>
      </c>
      <c r="KYG69" s="61">
        <f t="shared" si="1665"/>
        <v>-65000000</v>
      </c>
      <c r="KYH69" s="61">
        <f t="shared" si="1665"/>
        <v>-65000000</v>
      </c>
      <c r="KYI69" s="61">
        <f t="shared" ref="KYI69:LAT69" si="1666">KYI68-$EC$11-KYI11</f>
        <v>-65000000</v>
      </c>
      <c r="KYJ69" s="61">
        <f t="shared" si="1666"/>
        <v>-65000000</v>
      </c>
      <c r="KYK69" s="61">
        <f t="shared" si="1666"/>
        <v>-65000000</v>
      </c>
      <c r="KYL69" s="61">
        <f t="shared" si="1666"/>
        <v>-65000000</v>
      </c>
      <c r="KYM69" s="61">
        <f t="shared" si="1666"/>
        <v>-65000000</v>
      </c>
      <c r="KYN69" s="61">
        <f t="shared" si="1666"/>
        <v>-65000000</v>
      </c>
      <c r="KYO69" s="61">
        <f t="shared" si="1666"/>
        <v>-65000000</v>
      </c>
      <c r="KYP69" s="61">
        <f t="shared" si="1666"/>
        <v>-65000000</v>
      </c>
      <c r="KYQ69" s="61">
        <f t="shared" si="1666"/>
        <v>-65000000</v>
      </c>
      <c r="KYR69" s="61">
        <f t="shared" si="1666"/>
        <v>-65000000</v>
      </c>
      <c r="KYS69" s="61">
        <f t="shared" si="1666"/>
        <v>-65000000</v>
      </c>
      <c r="KYT69" s="61">
        <f t="shared" si="1666"/>
        <v>-65000000</v>
      </c>
      <c r="KYU69" s="61">
        <f t="shared" si="1666"/>
        <v>-65000000</v>
      </c>
      <c r="KYV69" s="61">
        <f t="shared" si="1666"/>
        <v>-65000000</v>
      </c>
      <c r="KYW69" s="61">
        <f t="shared" si="1666"/>
        <v>-65000000</v>
      </c>
      <c r="KYX69" s="61">
        <f t="shared" si="1666"/>
        <v>-65000000</v>
      </c>
      <c r="KYY69" s="61">
        <f t="shared" si="1666"/>
        <v>-65000000</v>
      </c>
      <c r="KYZ69" s="61">
        <f t="shared" si="1666"/>
        <v>-65000000</v>
      </c>
      <c r="KZA69" s="61">
        <f t="shared" si="1666"/>
        <v>-65000000</v>
      </c>
      <c r="KZB69" s="61">
        <f t="shared" si="1666"/>
        <v>-65000000</v>
      </c>
      <c r="KZC69" s="61">
        <f t="shared" si="1666"/>
        <v>-65000000</v>
      </c>
      <c r="KZD69" s="61">
        <f t="shared" si="1666"/>
        <v>-65000000</v>
      </c>
      <c r="KZE69" s="61">
        <f t="shared" si="1666"/>
        <v>-65000000</v>
      </c>
      <c r="KZF69" s="61">
        <f t="shared" si="1666"/>
        <v>-65000000</v>
      </c>
      <c r="KZG69" s="61">
        <f t="shared" si="1666"/>
        <v>-65000000</v>
      </c>
      <c r="KZH69" s="61">
        <f t="shared" si="1666"/>
        <v>-65000000</v>
      </c>
      <c r="KZI69" s="61">
        <f t="shared" si="1666"/>
        <v>-65000000</v>
      </c>
      <c r="KZJ69" s="61">
        <f t="shared" si="1666"/>
        <v>-65000000</v>
      </c>
      <c r="KZK69" s="61">
        <f t="shared" si="1666"/>
        <v>-65000000</v>
      </c>
      <c r="KZL69" s="61">
        <f t="shared" si="1666"/>
        <v>-65000000</v>
      </c>
      <c r="KZM69" s="61">
        <f t="shared" si="1666"/>
        <v>-65000000</v>
      </c>
      <c r="KZN69" s="61">
        <f t="shared" si="1666"/>
        <v>-65000000</v>
      </c>
      <c r="KZO69" s="61">
        <f t="shared" si="1666"/>
        <v>-65000000</v>
      </c>
      <c r="KZP69" s="61">
        <f t="shared" si="1666"/>
        <v>-65000000</v>
      </c>
      <c r="KZQ69" s="61">
        <f t="shared" si="1666"/>
        <v>-65000000</v>
      </c>
      <c r="KZR69" s="61">
        <f t="shared" si="1666"/>
        <v>-65000000</v>
      </c>
      <c r="KZS69" s="61">
        <f t="shared" si="1666"/>
        <v>-65000000</v>
      </c>
      <c r="KZT69" s="61">
        <f t="shared" si="1666"/>
        <v>-65000000</v>
      </c>
      <c r="KZU69" s="61">
        <f t="shared" si="1666"/>
        <v>-65000000</v>
      </c>
      <c r="KZV69" s="61">
        <f t="shared" si="1666"/>
        <v>-65000000</v>
      </c>
      <c r="KZW69" s="61">
        <f t="shared" si="1666"/>
        <v>-65000000</v>
      </c>
      <c r="KZX69" s="61">
        <f t="shared" si="1666"/>
        <v>-65000000</v>
      </c>
      <c r="KZY69" s="61">
        <f t="shared" si="1666"/>
        <v>-65000000</v>
      </c>
      <c r="KZZ69" s="61">
        <f t="shared" si="1666"/>
        <v>-65000000</v>
      </c>
      <c r="LAA69" s="61">
        <f t="shared" si="1666"/>
        <v>-65000000</v>
      </c>
      <c r="LAB69" s="61">
        <f t="shared" si="1666"/>
        <v>-65000000</v>
      </c>
      <c r="LAC69" s="61">
        <f t="shared" si="1666"/>
        <v>-65000000</v>
      </c>
      <c r="LAD69" s="61">
        <f t="shared" si="1666"/>
        <v>-65000000</v>
      </c>
      <c r="LAE69" s="61">
        <f t="shared" si="1666"/>
        <v>-65000000</v>
      </c>
      <c r="LAF69" s="61">
        <f t="shared" si="1666"/>
        <v>-65000000</v>
      </c>
      <c r="LAG69" s="61">
        <f t="shared" si="1666"/>
        <v>-65000000</v>
      </c>
      <c r="LAH69" s="61">
        <f t="shared" si="1666"/>
        <v>-65000000</v>
      </c>
      <c r="LAI69" s="61">
        <f t="shared" si="1666"/>
        <v>-65000000</v>
      </c>
      <c r="LAJ69" s="61">
        <f t="shared" si="1666"/>
        <v>-65000000</v>
      </c>
      <c r="LAK69" s="61">
        <f t="shared" si="1666"/>
        <v>-65000000</v>
      </c>
      <c r="LAL69" s="61">
        <f t="shared" si="1666"/>
        <v>-65000000</v>
      </c>
      <c r="LAM69" s="61">
        <f t="shared" si="1666"/>
        <v>-65000000</v>
      </c>
      <c r="LAN69" s="61">
        <f t="shared" si="1666"/>
        <v>-65000000</v>
      </c>
      <c r="LAO69" s="61">
        <f t="shared" si="1666"/>
        <v>-65000000</v>
      </c>
      <c r="LAP69" s="61">
        <f t="shared" si="1666"/>
        <v>-65000000</v>
      </c>
      <c r="LAQ69" s="61">
        <f t="shared" si="1666"/>
        <v>-65000000</v>
      </c>
      <c r="LAR69" s="61">
        <f t="shared" si="1666"/>
        <v>-65000000</v>
      </c>
      <c r="LAS69" s="61">
        <f t="shared" si="1666"/>
        <v>-65000000</v>
      </c>
      <c r="LAT69" s="61">
        <f t="shared" si="1666"/>
        <v>-65000000</v>
      </c>
      <c r="LAU69" s="61">
        <f t="shared" ref="LAU69:LDF69" si="1667">LAU68-$EC$11-LAU11</f>
        <v>-65000000</v>
      </c>
      <c r="LAV69" s="61">
        <f t="shared" si="1667"/>
        <v>-65000000</v>
      </c>
      <c r="LAW69" s="61">
        <f t="shared" si="1667"/>
        <v>-65000000</v>
      </c>
      <c r="LAX69" s="61">
        <f t="shared" si="1667"/>
        <v>-65000000</v>
      </c>
      <c r="LAY69" s="61">
        <f t="shared" si="1667"/>
        <v>-65000000</v>
      </c>
      <c r="LAZ69" s="61">
        <f t="shared" si="1667"/>
        <v>-65000000</v>
      </c>
      <c r="LBA69" s="61">
        <f t="shared" si="1667"/>
        <v>-65000000</v>
      </c>
      <c r="LBB69" s="61">
        <f t="shared" si="1667"/>
        <v>-65000000</v>
      </c>
      <c r="LBC69" s="61">
        <f t="shared" si="1667"/>
        <v>-65000000</v>
      </c>
      <c r="LBD69" s="61">
        <f t="shared" si="1667"/>
        <v>-65000000</v>
      </c>
      <c r="LBE69" s="61">
        <f t="shared" si="1667"/>
        <v>-65000000</v>
      </c>
      <c r="LBF69" s="61">
        <f t="shared" si="1667"/>
        <v>-65000000</v>
      </c>
      <c r="LBG69" s="61">
        <f t="shared" si="1667"/>
        <v>-65000000</v>
      </c>
      <c r="LBH69" s="61">
        <f t="shared" si="1667"/>
        <v>-65000000</v>
      </c>
      <c r="LBI69" s="61">
        <f t="shared" si="1667"/>
        <v>-65000000</v>
      </c>
      <c r="LBJ69" s="61">
        <f t="shared" si="1667"/>
        <v>-65000000</v>
      </c>
      <c r="LBK69" s="61">
        <f t="shared" si="1667"/>
        <v>-65000000</v>
      </c>
      <c r="LBL69" s="61">
        <f t="shared" si="1667"/>
        <v>-65000000</v>
      </c>
      <c r="LBM69" s="61">
        <f t="shared" si="1667"/>
        <v>-65000000</v>
      </c>
      <c r="LBN69" s="61">
        <f t="shared" si="1667"/>
        <v>-65000000</v>
      </c>
      <c r="LBO69" s="61">
        <f t="shared" si="1667"/>
        <v>-65000000</v>
      </c>
      <c r="LBP69" s="61">
        <f t="shared" si="1667"/>
        <v>-65000000</v>
      </c>
      <c r="LBQ69" s="61">
        <f t="shared" si="1667"/>
        <v>-65000000</v>
      </c>
      <c r="LBR69" s="61">
        <f t="shared" si="1667"/>
        <v>-65000000</v>
      </c>
      <c r="LBS69" s="61">
        <f t="shared" si="1667"/>
        <v>-65000000</v>
      </c>
      <c r="LBT69" s="61">
        <f t="shared" si="1667"/>
        <v>-65000000</v>
      </c>
      <c r="LBU69" s="61">
        <f t="shared" si="1667"/>
        <v>-65000000</v>
      </c>
      <c r="LBV69" s="61">
        <f t="shared" si="1667"/>
        <v>-65000000</v>
      </c>
      <c r="LBW69" s="61">
        <f t="shared" si="1667"/>
        <v>-65000000</v>
      </c>
      <c r="LBX69" s="61">
        <f t="shared" si="1667"/>
        <v>-65000000</v>
      </c>
      <c r="LBY69" s="61">
        <f t="shared" si="1667"/>
        <v>-65000000</v>
      </c>
      <c r="LBZ69" s="61">
        <f t="shared" si="1667"/>
        <v>-65000000</v>
      </c>
      <c r="LCA69" s="61">
        <f t="shared" si="1667"/>
        <v>-65000000</v>
      </c>
      <c r="LCB69" s="61">
        <f t="shared" si="1667"/>
        <v>-65000000</v>
      </c>
      <c r="LCC69" s="61">
        <f t="shared" si="1667"/>
        <v>-65000000</v>
      </c>
      <c r="LCD69" s="61">
        <f t="shared" si="1667"/>
        <v>-65000000</v>
      </c>
      <c r="LCE69" s="61">
        <f t="shared" si="1667"/>
        <v>-65000000</v>
      </c>
      <c r="LCF69" s="61">
        <f t="shared" si="1667"/>
        <v>-65000000</v>
      </c>
      <c r="LCG69" s="61">
        <f t="shared" si="1667"/>
        <v>-65000000</v>
      </c>
      <c r="LCH69" s="61">
        <f t="shared" si="1667"/>
        <v>-65000000</v>
      </c>
      <c r="LCI69" s="61">
        <f t="shared" si="1667"/>
        <v>-65000000</v>
      </c>
      <c r="LCJ69" s="61">
        <f t="shared" si="1667"/>
        <v>-65000000</v>
      </c>
      <c r="LCK69" s="61">
        <f t="shared" si="1667"/>
        <v>-65000000</v>
      </c>
      <c r="LCL69" s="61">
        <f t="shared" si="1667"/>
        <v>-65000000</v>
      </c>
      <c r="LCM69" s="61">
        <f t="shared" si="1667"/>
        <v>-65000000</v>
      </c>
      <c r="LCN69" s="61">
        <f t="shared" si="1667"/>
        <v>-65000000</v>
      </c>
      <c r="LCO69" s="61">
        <f t="shared" si="1667"/>
        <v>-65000000</v>
      </c>
      <c r="LCP69" s="61">
        <f t="shared" si="1667"/>
        <v>-65000000</v>
      </c>
      <c r="LCQ69" s="61">
        <f t="shared" si="1667"/>
        <v>-65000000</v>
      </c>
      <c r="LCR69" s="61">
        <f t="shared" si="1667"/>
        <v>-65000000</v>
      </c>
      <c r="LCS69" s="61">
        <f t="shared" si="1667"/>
        <v>-65000000</v>
      </c>
      <c r="LCT69" s="61">
        <f t="shared" si="1667"/>
        <v>-65000000</v>
      </c>
      <c r="LCU69" s="61">
        <f t="shared" si="1667"/>
        <v>-65000000</v>
      </c>
      <c r="LCV69" s="61">
        <f t="shared" si="1667"/>
        <v>-65000000</v>
      </c>
      <c r="LCW69" s="61">
        <f t="shared" si="1667"/>
        <v>-65000000</v>
      </c>
      <c r="LCX69" s="61">
        <f t="shared" si="1667"/>
        <v>-65000000</v>
      </c>
      <c r="LCY69" s="61">
        <f t="shared" si="1667"/>
        <v>-65000000</v>
      </c>
      <c r="LCZ69" s="61">
        <f t="shared" si="1667"/>
        <v>-65000000</v>
      </c>
      <c r="LDA69" s="61">
        <f t="shared" si="1667"/>
        <v>-65000000</v>
      </c>
      <c r="LDB69" s="61">
        <f t="shared" si="1667"/>
        <v>-65000000</v>
      </c>
      <c r="LDC69" s="61">
        <f t="shared" si="1667"/>
        <v>-65000000</v>
      </c>
      <c r="LDD69" s="61">
        <f t="shared" si="1667"/>
        <v>-65000000</v>
      </c>
      <c r="LDE69" s="61">
        <f t="shared" si="1667"/>
        <v>-65000000</v>
      </c>
      <c r="LDF69" s="61">
        <f t="shared" si="1667"/>
        <v>-65000000</v>
      </c>
      <c r="LDG69" s="61">
        <f t="shared" ref="LDG69:LFR69" si="1668">LDG68-$EC$11-LDG11</f>
        <v>-65000000</v>
      </c>
      <c r="LDH69" s="61">
        <f t="shared" si="1668"/>
        <v>-65000000</v>
      </c>
      <c r="LDI69" s="61">
        <f t="shared" si="1668"/>
        <v>-65000000</v>
      </c>
      <c r="LDJ69" s="61">
        <f t="shared" si="1668"/>
        <v>-65000000</v>
      </c>
      <c r="LDK69" s="61">
        <f t="shared" si="1668"/>
        <v>-65000000</v>
      </c>
      <c r="LDL69" s="61">
        <f t="shared" si="1668"/>
        <v>-65000000</v>
      </c>
      <c r="LDM69" s="61">
        <f t="shared" si="1668"/>
        <v>-65000000</v>
      </c>
      <c r="LDN69" s="61">
        <f t="shared" si="1668"/>
        <v>-65000000</v>
      </c>
      <c r="LDO69" s="61">
        <f t="shared" si="1668"/>
        <v>-65000000</v>
      </c>
      <c r="LDP69" s="61">
        <f t="shared" si="1668"/>
        <v>-65000000</v>
      </c>
      <c r="LDQ69" s="61">
        <f t="shared" si="1668"/>
        <v>-65000000</v>
      </c>
      <c r="LDR69" s="61">
        <f t="shared" si="1668"/>
        <v>-65000000</v>
      </c>
      <c r="LDS69" s="61">
        <f t="shared" si="1668"/>
        <v>-65000000</v>
      </c>
      <c r="LDT69" s="61">
        <f t="shared" si="1668"/>
        <v>-65000000</v>
      </c>
      <c r="LDU69" s="61">
        <f t="shared" si="1668"/>
        <v>-65000000</v>
      </c>
      <c r="LDV69" s="61">
        <f t="shared" si="1668"/>
        <v>-65000000</v>
      </c>
      <c r="LDW69" s="61">
        <f t="shared" si="1668"/>
        <v>-65000000</v>
      </c>
      <c r="LDX69" s="61">
        <f t="shared" si="1668"/>
        <v>-65000000</v>
      </c>
      <c r="LDY69" s="61">
        <f t="shared" si="1668"/>
        <v>-65000000</v>
      </c>
      <c r="LDZ69" s="61">
        <f t="shared" si="1668"/>
        <v>-65000000</v>
      </c>
      <c r="LEA69" s="61">
        <f t="shared" si="1668"/>
        <v>-65000000</v>
      </c>
      <c r="LEB69" s="61">
        <f t="shared" si="1668"/>
        <v>-65000000</v>
      </c>
      <c r="LEC69" s="61">
        <f t="shared" si="1668"/>
        <v>-65000000</v>
      </c>
      <c r="LED69" s="61">
        <f t="shared" si="1668"/>
        <v>-65000000</v>
      </c>
      <c r="LEE69" s="61">
        <f t="shared" si="1668"/>
        <v>-65000000</v>
      </c>
      <c r="LEF69" s="61">
        <f t="shared" si="1668"/>
        <v>-65000000</v>
      </c>
      <c r="LEG69" s="61">
        <f t="shared" si="1668"/>
        <v>-65000000</v>
      </c>
      <c r="LEH69" s="61">
        <f t="shared" si="1668"/>
        <v>-65000000</v>
      </c>
      <c r="LEI69" s="61">
        <f t="shared" si="1668"/>
        <v>-65000000</v>
      </c>
      <c r="LEJ69" s="61">
        <f t="shared" si="1668"/>
        <v>-65000000</v>
      </c>
      <c r="LEK69" s="61">
        <f t="shared" si="1668"/>
        <v>-65000000</v>
      </c>
      <c r="LEL69" s="61">
        <f t="shared" si="1668"/>
        <v>-65000000</v>
      </c>
      <c r="LEM69" s="61">
        <f t="shared" si="1668"/>
        <v>-65000000</v>
      </c>
      <c r="LEN69" s="61">
        <f t="shared" si="1668"/>
        <v>-65000000</v>
      </c>
      <c r="LEO69" s="61">
        <f t="shared" si="1668"/>
        <v>-65000000</v>
      </c>
      <c r="LEP69" s="61">
        <f t="shared" si="1668"/>
        <v>-65000000</v>
      </c>
      <c r="LEQ69" s="61">
        <f t="shared" si="1668"/>
        <v>-65000000</v>
      </c>
      <c r="LER69" s="61">
        <f t="shared" si="1668"/>
        <v>-65000000</v>
      </c>
      <c r="LES69" s="61">
        <f t="shared" si="1668"/>
        <v>-65000000</v>
      </c>
      <c r="LET69" s="61">
        <f t="shared" si="1668"/>
        <v>-65000000</v>
      </c>
      <c r="LEU69" s="61">
        <f t="shared" si="1668"/>
        <v>-65000000</v>
      </c>
      <c r="LEV69" s="61">
        <f t="shared" si="1668"/>
        <v>-65000000</v>
      </c>
      <c r="LEW69" s="61">
        <f t="shared" si="1668"/>
        <v>-65000000</v>
      </c>
      <c r="LEX69" s="61">
        <f t="shared" si="1668"/>
        <v>-65000000</v>
      </c>
      <c r="LEY69" s="61">
        <f t="shared" si="1668"/>
        <v>-65000000</v>
      </c>
      <c r="LEZ69" s="61">
        <f t="shared" si="1668"/>
        <v>-65000000</v>
      </c>
      <c r="LFA69" s="61">
        <f t="shared" si="1668"/>
        <v>-65000000</v>
      </c>
      <c r="LFB69" s="61">
        <f t="shared" si="1668"/>
        <v>-65000000</v>
      </c>
      <c r="LFC69" s="61">
        <f t="shared" si="1668"/>
        <v>-65000000</v>
      </c>
      <c r="LFD69" s="61">
        <f t="shared" si="1668"/>
        <v>-65000000</v>
      </c>
      <c r="LFE69" s="61">
        <f t="shared" si="1668"/>
        <v>-65000000</v>
      </c>
      <c r="LFF69" s="61">
        <f t="shared" si="1668"/>
        <v>-65000000</v>
      </c>
      <c r="LFG69" s="61">
        <f t="shared" si="1668"/>
        <v>-65000000</v>
      </c>
      <c r="LFH69" s="61">
        <f t="shared" si="1668"/>
        <v>-65000000</v>
      </c>
      <c r="LFI69" s="61">
        <f t="shared" si="1668"/>
        <v>-65000000</v>
      </c>
      <c r="LFJ69" s="61">
        <f t="shared" si="1668"/>
        <v>-65000000</v>
      </c>
      <c r="LFK69" s="61">
        <f t="shared" si="1668"/>
        <v>-65000000</v>
      </c>
      <c r="LFL69" s="61">
        <f t="shared" si="1668"/>
        <v>-65000000</v>
      </c>
      <c r="LFM69" s="61">
        <f t="shared" si="1668"/>
        <v>-65000000</v>
      </c>
      <c r="LFN69" s="61">
        <f t="shared" si="1668"/>
        <v>-65000000</v>
      </c>
      <c r="LFO69" s="61">
        <f t="shared" si="1668"/>
        <v>-65000000</v>
      </c>
      <c r="LFP69" s="61">
        <f t="shared" si="1668"/>
        <v>-65000000</v>
      </c>
      <c r="LFQ69" s="61">
        <f t="shared" si="1668"/>
        <v>-65000000</v>
      </c>
      <c r="LFR69" s="61">
        <f t="shared" si="1668"/>
        <v>-65000000</v>
      </c>
      <c r="LFS69" s="61">
        <f t="shared" ref="LFS69:LID69" si="1669">LFS68-$EC$11-LFS11</f>
        <v>-65000000</v>
      </c>
      <c r="LFT69" s="61">
        <f t="shared" si="1669"/>
        <v>-65000000</v>
      </c>
      <c r="LFU69" s="61">
        <f t="shared" si="1669"/>
        <v>-65000000</v>
      </c>
      <c r="LFV69" s="61">
        <f t="shared" si="1669"/>
        <v>-65000000</v>
      </c>
      <c r="LFW69" s="61">
        <f t="shared" si="1669"/>
        <v>-65000000</v>
      </c>
      <c r="LFX69" s="61">
        <f t="shared" si="1669"/>
        <v>-65000000</v>
      </c>
      <c r="LFY69" s="61">
        <f t="shared" si="1669"/>
        <v>-65000000</v>
      </c>
      <c r="LFZ69" s="61">
        <f t="shared" si="1669"/>
        <v>-65000000</v>
      </c>
      <c r="LGA69" s="61">
        <f t="shared" si="1669"/>
        <v>-65000000</v>
      </c>
      <c r="LGB69" s="61">
        <f t="shared" si="1669"/>
        <v>-65000000</v>
      </c>
      <c r="LGC69" s="61">
        <f t="shared" si="1669"/>
        <v>-65000000</v>
      </c>
      <c r="LGD69" s="61">
        <f t="shared" si="1669"/>
        <v>-65000000</v>
      </c>
      <c r="LGE69" s="61">
        <f t="shared" si="1669"/>
        <v>-65000000</v>
      </c>
      <c r="LGF69" s="61">
        <f t="shared" si="1669"/>
        <v>-65000000</v>
      </c>
      <c r="LGG69" s="61">
        <f t="shared" si="1669"/>
        <v>-65000000</v>
      </c>
      <c r="LGH69" s="61">
        <f t="shared" si="1669"/>
        <v>-65000000</v>
      </c>
      <c r="LGI69" s="61">
        <f t="shared" si="1669"/>
        <v>-65000000</v>
      </c>
      <c r="LGJ69" s="61">
        <f t="shared" si="1669"/>
        <v>-65000000</v>
      </c>
      <c r="LGK69" s="61">
        <f t="shared" si="1669"/>
        <v>-65000000</v>
      </c>
      <c r="LGL69" s="61">
        <f t="shared" si="1669"/>
        <v>-65000000</v>
      </c>
      <c r="LGM69" s="61">
        <f t="shared" si="1669"/>
        <v>-65000000</v>
      </c>
      <c r="LGN69" s="61">
        <f t="shared" si="1669"/>
        <v>-65000000</v>
      </c>
      <c r="LGO69" s="61">
        <f t="shared" si="1669"/>
        <v>-65000000</v>
      </c>
      <c r="LGP69" s="61">
        <f t="shared" si="1669"/>
        <v>-65000000</v>
      </c>
      <c r="LGQ69" s="61">
        <f t="shared" si="1669"/>
        <v>-65000000</v>
      </c>
      <c r="LGR69" s="61">
        <f t="shared" si="1669"/>
        <v>-65000000</v>
      </c>
      <c r="LGS69" s="61">
        <f t="shared" si="1669"/>
        <v>-65000000</v>
      </c>
      <c r="LGT69" s="61">
        <f t="shared" si="1669"/>
        <v>-65000000</v>
      </c>
      <c r="LGU69" s="61">
        <f t="shared" si="1669"/>
        <v>-65000000</v>
      </c>
      <c r="LGV69" s="61">
        <f t="shared" si="1669"/>
        <v>-65000000</v>
      </c>
      <c r="LGW69" s="61">
        <f t="shared" si="1669"/>
        <v>-65000000</v>
      </c>
      <c r="LGX69" s="61">
        <f t="shared" si="1669"/>
        <v>-65000000</v>
      </c>
      <c r="LGY69" s="61">
        <f t="shared" si="1669"/>
        <v>-65000000</v>
      </c>
      <c r="LGZ69" s="61">
        <f t="shared" si="1669"/>
        <v>-65000000</v>
      </c>
      <c r="LHA69" s="61">
        <f t="shared" si="1669"/>
        <v>-65000000</v>
      </c>
      <c r="LHB69" s="61">
        <f t="shared" si="1669"/>
        <v>-65000000</v>
      </c>
      <c r="LHC69" s="61">
        <f t="shared" si="1669"/>
        <v>-65000000</v>
      </c>
      <c r="LHD69" s="61">
        <f t="shared" si="1669"/>
        <v>-65000000</v>
      </c>
      <c r="LHE69" s="61">
        <f t="shared" si="1669"/>
        <v>-65000000</v>
      </c>
      <c r="LHF69" s="61">
        <f t="shared" si="1669"/>
        <v>-65000000</v>
      </c>
      <c r="LHG69" s="61">
        <f t="shared" si="1669"/>
        <v>-65000000</v>
      </c>
      <c r="LHH69" s="61">
        <f t="shared" si="1669"/>
        <v>-65000000</v>
      </c>
      <c r="LHI69" s="61">
        <f t="shared" si="1669"/>
        <v>-65000000</v>
      </c>
      <c r="LHJ69" s="61">
        <f t="shared" si="1669"/>
        <v>-65000000</v>
      </c>
      <c r="LHK69" s="61">
        <f t="shared" si="1669"/>
        <v>-65000000</v>
      </c>
      <c r="LHL69" s="61">
        <f t="shared" si="1669"/>
        <v>-65000000</v>
      </c>
      <c r="LHM69" s="61">
        <f t="shared" si="1669"/>
        <v>-65000000</v>
      </c>
      <c r="LHN69" s="61">
        <f t="shared" si="1669"/>
        <v>-65000000</v>
      </c>
      <c r="LHO69" s="61">
        <f t="shared" si="1669"/>
        <v>-65000000</v>
      </c>
      <c r="LHP69" s="61">
        <f t="shared" si="1669"/>
        <v>-65000000</v>
      </c>
      <c r="LHQ69" s="61">
        <f t="shared" si="1669"/>
        <v>-65000000</v>
      </c>
      <c r="LHR69" s="61">
        <f t="shared" si="1669"/>
        <v>-65000000</v>
      </c>
      <c r="LHS69" s="61">
        <f t="shared" si="1669"/>
        <v>-65000000</v>
      </c>
      <c r="LHT69" s="61">
        <f t="shared" si="1669"/>
        <v>-65000000</v>
      </c>
      <c r="LHU69" s="61">
        <f t="shared" si="1669"/>
        <v>-65000000</v>
      </c>
      <c r="LHV69" s="61">
        <f t="shared" si="1669"/>
        <v>-65000000</v>
      </c>
      <c r="LHW69" s="61">
        <f t="shared" si="1669"/>
        <v>-65000000</v>
      </c>
      <c r="LHX69" s="61">
        <f t="shared" si="1669"/>
        <v>-65000000</v>
      </c>
      <c r="LHY69" s="61">
        <f t="shared" si="1669"/>
        <v>-65000000</v>
      </c>
      <c r="LHZ69" s="61">
        <f t="shared" si="1669"/>
        <v>-65000000</v>
      </c>
      <c r="LIA69" s="61">
        <f t="shared" si="1669"/>
        <v>-65000000</v>
      </c>
      <c r="LIB69" s="61">
        <f t="shared" si="1669"/>
        <v>-65000000</v>
      </c>
      <c r="LIC69" s="61">
        <f t="shared" si="1669"/>
        <v>-65000000</v>
      </c>
      <c r="LID69" s="61">
        <f t="shared" si="1669"/>
        <v>-65000000</v>
      </c>
      <c r="LIE69" s="61">
        <f t="shared" ref="LIE69:LKP69" si="1670">LIE68-$EC$11-LIE11</f>
        <v>-65000000</v>
      </c>
      <c r="LIF69" s="61">
        <f t="shared" si="1670"/>
        <v>-65000000</v>
      </c>
      <c r="LIG69" s="61">
        <f t="shared" si="1670"/>
        <v>-65000000</v>
      </c>
      <c r="LIH69" s="61">
        <f t="shared" si="1670"/>
        <v>-65000000</v>
      </c>
      <c r="LII69" s="61">
        <f t="shared" si="1670"/>
        <v>-65000000</v>
      </c>
      <c r="LIJ69" s="61">
        <f t="shared" si="1670"/>
        <v>-65000000</v>
      </c>
      <c r="LIK69" s="61">
        <f t="shared" si="1670"/>
        <v>-65000000</v>
      </c>
      <c r="LIL69" s="61">
        <f t="shared" si="1670"/>
        <v>-65000000</v>
      </c>
      <c r="LIM69" s="61">
        <f t="shared" si="1670"/>
        <v>-65000000</v>
      </c>
      <c r="LIN69" s="61">
        <f t="shared" si="1670"/>
        <v>-65000000</v>
      </c>
      <c r="LIO69" s="61">
        <f t="shared" si="1670"/>
        <v>-65000000</v>
      </c>
      <c r="LIP69" s="61">
        <f t="shared" si="1670"/>
        <v>-65000000</v>
      </c>
      <c r="LIQ69" s="61">
        <f t="shared" si="1670"/>
        <v>-65000000</v>
      </c>
      <c r="LIR69" s="61">
        <f t="shared" si="1670"/>
        <v>-65000000</v>
      </c>
      <c r="LIS69" s="61">
        <f t="shared" si="1670"/>
        <v>-65000000</v>
      </c>
      <c r="LIT69" s="61">
        <f t="shared" si="1670"/>
        <v>-65000000</v>
      </c>
      <c r="LIU69" s="61">
        <f t="shared" si="1670"/>
        <v>-65000000</v>
      </c>
      <c r="LIV69" s="61">
        <f t="shared" si="1670"/>
        <v>-65000000</v>
      </c>
      <c r="LIW69" s="61">
        <f t="shared" si="1670"/>
        <v>-65000000</v>
      </c>
      <c r="LIX69" s="61">
        <f t="shared" si="1670"/>
        <v>-65000000</v>
      </c>
      <c r="LIY69" s="61">
        <f t="shared" si="1670"/>
        <v>-65000000</v>
      </c>
      <c r="LIZ69" s="61">
        <f t="shared" si="1670"/>
        <v>-65000000</v>
      </c>
      <c r="LJA69" s="61">
        <f t="shared" si="1670"/>
        <v>-65000000</v>
      </c>
      <c r="LJB69" s="61">
        <f t="shared" si="1670"/>
        <v>-65000000</v>
      </c>
      <c r="LJC69" s="61">
        <f t="shared" si="1670"/>
        <v>-65000000</v>
      </c>
      <c r="LJD69" s="61">
        <f t="shared" si="1670"/>
        <v>-65000000</v>
      </c>
      <c r="LJE69" s="61">
        <f t="shared" si="1670"/>
        <v>-65000000</v>
      </c>
      <c r="LJF69" s="61">
        <f t="shared" si="1670"/>
        <v>-65000000</v>
      </c>
      <c r="LJG69" s="61">
        <f t="shared" si="1670"/>
        <v>-65000000</v>
      </c>
      <c r="LJH69" s="61">
        <f t="shared" si="1670"/>
        <v>-65000000</v>
      </c>
      <c r="LJI69" s="61">
        <f t="shared" si="1670"/>
        <v>-65000000</v>
      </c>
      <c r="LJJ69" s="61">
        <f t="shared" si="1670"/>
        <v>-65000000</v>
      </c>
      <c r="LJK69" s="61">
        <f t="shared" si="1670"/>
        <v>-65000000</v>
      </c>
      <c r="LJL69" s="61">
        <f t="shared" si="1670"/>
        <v>-65000000</v>
      </c>
      <c r="LJM69" s="61">
        <f t="shared" si="1670"/>
        <v>-65000000</v>
      </c>
      <c r="LJN69" s="61">
        <f t="shared" si="1670"/>
        <v>-65000000</v>
      </c>
      <c r="LJO69" s="61">
        <f t="shared" si="1670"/>
        <v>-65000000</v>
      </c>
      <c r="LJP69" s="61">
        <f t="shared" si="1670"/>
        <v>-65000000</v>
      </c>
      <c r="LJQ69" s="61">
        <f t="shared" si="1670"/>
        <v>-65000000</v>
      </c>
      <c r="LJR69" s="61">
        <f t="shared" si="1670"/>
        <v>-65000000</v>
      </c>
      <c r="LJS69" s="61">
        <f t="shared" si="1670"/>
        <v>-65000000</v>
      </c>
      <c r="LJT69" s="61">
        <f t="shared" si="1670"/>
        <v>-65000000</v>
      </c>
      <c r="LJU69" s="61">
        <f t="shared" si="1670"/>
        <v>-65000000</v>
      </c>
      <c r="LJV69" s="61">
        <f t="shared" si="1670"/>
        <v>-65000000</v>
      </c>
      <c r="LJW69" s="61">
        <f t="shared" si="1670"/>
        <v>-65000000</v>
      </c>
      <c r="LJX69" s="61">
        <f t="shared" si="1670"/>
        <v>-65000000</v>
      </c>
      <c r="LJY69" s="61">
        <f t="shared" si="1670"/>
        <v>-65000000</v>
      </c>
      <c r="LJZ69" s="61">
        <f t="shared" si="1670"/>
        <v>-65000000</v>
      </c>
      <c r="LKA69" s="61">
        <f t="shared" si="1670"/>
        <v>-65000000</v>
      </c>
      <c r="LKB69" s="61">
        <f t="shared" si="1670"/>
        <v>-65000000</v>
      </c>
      <c r="LKC69" s="61">
        <f t="shared" si="1670"/>
        <v>-65000000</v>
      </c>
      <c r="LKD69" s="61">
        <f t="shared" si="1670"/>
        <v>-65000000</v>
      </c>
      <c r="LKE69" s="61">
        <f t="shared" si="1670"/>
        <v>-65000000</v>
      </c>
      <c r="LKF69" s="61">
        <f t="shared" si="1670"/>
        <v>-65000000</v>
      </c>
      <c r="LKG69" s="61">
        <f t="shared" si="1670"/>
        <v>-65000000</v>
      </c>
      <c r="LKH69" s="61">
        <f t="shared" si="1670"/>
        <v>-65000000</v>
      </c>
      <c r="LKI69" s="61">
        <f t="shared" si="1670"/>
        <v>-65000000</v>
      </c>
      <c r="LKJ69" s="61">
        <f t="shared" si="1670"/>
        <v>-65000000</v>
      </c>
      <c r="LKK69" s="61">
        <f t="shared" si="1670"/>
        <v>-65000000</v>
      </c>
      <c r="LKL69" s="61">
        <f t="shared" si="1670"/>
        <v>-65000000</v>
      </c>
      <c r="LKM69" s="61">
        <f t="shared" si="1670"/>
        <v>-65000000</v>
      </c>
      <c r="LKN69" s="61">
        <f t="shared" si="1670"/>
        <v>-65000000</v>
      </c>
      <c r="LKO69" s="61">
        <f t="shared" si="1670"/>
        <v>-65000000</v>
      </c>
      <c r="LKP69" s="61">
        <f t="shared" si="1670"/>
        <v>-65000000</v>
      </c>
      <c r="LKQ69" s="61">
        <f t="shared" ref="LKQ69:LNB69" si="1671">LKQ68-$EC$11-LKQ11</f>
        <v>-65000000</v>
      </c>
      <c r="LKR69" s="61">
        <f t="shared" si="1671"/>
        <v>-65000000</v>
      </c>
      <c r="LKS69" s="61">
        <f t="shared" si="1671"/>
        <v>-65000000</v>
      </c>
      <c r="LKT69" s="61">
        <f t="shared" si="1671"/>
        <v>-65000000</v>
      </c>
      <c r="LKU69" s="61">
        <f t="shared" si="1671"/>
        <v>-65000000</v>
      </c>
      <c r="LKV69" s="61">
        <f t="shared" si="1671"/>
        <v>-65000000</v>
      </c>
      <c r="LKW69" s="61">
        <f t="shared" si="1671"/>
        <v>-65000000</v>
      </c>
      <c r="LKX69" s="61">
        <f t="shared" si="1671"/>
        <v>-65000000</v>
      </c>
      <c r="LKY69" s="61">
        <f t="shared" si="1671"/>
        <v>-65000000</v>
      </c>
      <c r="LKZ69" s="61">
        <f t="shared" si="1671"/>
        <v>-65000000</v>
      </c>
      <c r="LLA69" s="61">
        <f t="shared" si="1671"/>
        <v>-65000000</v>
      </c>
      <c r="LLB69" s="61">
        <f t="shared" si="1671"/>
        <v>-65000000</v>
      </c>
      <c r="LLC69" s="61">
        <f t="shared" si="1671"/>
        <v>-65000000</v>
      </c>
      <c r="LLD69" s="61">
        <f t="shared" si="1671"/>
        <v>-65000000</v>
      </c>
      <c r="LLE69" s="61">
        <f t="shared" si="1671"/>
        <v>-65000000</v>
      </c>
      <c r="LLF69" s="61">
        <f t="shared" si="1671"/>
        <v>-65000000</v>
      </c>
      <c r="LLG69" s="61">
        <f t="shared" si="1671"/>
        <v>-65000000</v>
      </c>
      <c r="LLH69" s="61">
        <f t="shared" si="1671"/>
        <v>-65000000</v>
      </c>
      <c r="LLI69" s="61">
        <f t="shared" si="1671"/>
        <v>-65000000</v>
      </c>
      <c r="LLJ69" s="61">
        <f t="shared" si="1671"/>
        <v>-65000000</v>
      </c>
      <c r="LLK69" s="61">
        <f t="shared" si="1671"/>
        <v>-65000000</v>
      </c>
      <c r="LLL69" s="61">
        <f t="shared" si="1671"/>
        <v>-65000000</v>
      </c>
      <c r="LLM69" s="61">
        <f t="shared" si="1671"/>
        <v>-65000000</v>
      </c>
      <c r="LLN69" s="61">
        <f t="shared" si="1671"/>
        <v>-65000000</v>
      </c>
      <c r="LLO69" s="61">
        <f t="shared" si="1671"/>
        <v>-65000000</v>
      </c>
      <c r="LLP69" s="61">
        <f t="shared" si="1671"/>
        <v>-65000000</v>
      </c>
      <c r="LLQ69" s="61">
        <f t="shared" si="1671"/>
        <v>-65000000</v>
      </c>
      <c r="LLR69" s="61">
        <f t="shared" si="1671"/>
        <v>-65000000</v>
      </c>
      <c r="LLS69" s="61">
        <f t="shared" si="1671"/>
        <v>-65000000</v>
      </c>
      <c r="LLT69" s="61">
        <f t="shared" si="1671"/>
        <v>-65000000</v>
      </c>
      <c r="LLU69" s="61">
        <f t="shared" si="1671"/>
        <v>-65000000</v>
      </c>
      <c r="LLV69" s="61">
        <f t="shared" si="1671"/>
        <v>-65000000</v>
      </c>
      <c r="LLW69" s="61">
        <f t="shared" si="1671"/>
        <v>-65000000</v>
      </c>
      <c r="LLX69" s="61">
        <f t="shared" si="1671"/>
        <v>-65000000</v>
      </c>
      <c r="LLY69" s="61">
        <f t="shared" si="1671"/>
        <v>-65000000</v>
      </c>
      <c r="LLZ69" s="61">
        <f t="shared" si="1671"/>
        <v>-65000000</v>
      </c>
      <c r="LMA69" s="61">
        <f t="shared" si="1671"/>
        <v>-65000000</v>
      </c>
      <c r="LMB69" s="61">
        <f t="shared" si="1671"/>
        <v>-65000000</v>
      </c>
      <c r="LMC69" s="61">
        <f t="shared" si="1671"/>
        <v>-65000000</v>
      </c>
      <c r="LMD69" s="61">
        <f t="shared" si="1671"/>
        <v>-65000000</v>
      </c>
      <c r="LME69" s="61">
        <f t="shared" si="1671"/>
        <v>-65000000</v>
      </c>
      <c r="LMF69" s="61">
        <f t="shared" si="1671"/>
        <v>-65000000</v>
      </c>
      <c r="LMG69" s="61">
        <f t="shared" si="1671"/>
        <v>-65000000</v>
      </c>
      <c r="LMH69" s="61">
        <f t="shared" si="1671"/>
        <v>-65000000</v>
      </c>
      <c r="LMI69" s="61">
        <f t="shared" si="1671"/>
        <v>-65000000</v>
      </c>
      <c r="LMJ69" s="61">
        <f t="shared" si="1671"/>
        <v>-65000000</v>
      </c>
      <c r="LMK69" s="61">
        <f t="shared" si="1671"/>
        <v>-65000000</v>
      </c>
      <c r="LML69" s="61">
        <f t="shared" si="1671"/>
        <v>-65000000</v>
      </c>
      <c r="LMM69" s="61">
        <f t="shared" si="1671"/>
        <v>-65000000</v>
      </c>
      <c r="LMN69" s="61">
        <f t="shared" si="1671"/>
        <v>-65000000</v>
      </c>
      <c r="LMO69" s="61">
        <f t="shared" si="1671"/>
        <v>-65000000</v>
      </c>
      <c r="LMP69" s="61">
        <f t="shared" si="1671"/>
        <v>-65000000</v>
      </c>
      <c r="LMQ69" s="61">
        <f t="shared" si="1671"/>
        <v>-65000000</v>
      </c>
      <c r="LMR69" s="61">
        <f t="shared" si="1671"/>
        <v>-65000000</v>
      </c>
      <c r="LMS69" s="61">
        <f t="shared" si="1671"/>
        <v>-65000000</v>
      </c>
      <c r="LMT69" s="61">
        <f t="shared" si="1671"/>
        <v>-65000000</v>
      </c>
      <c r="LMU69" s="61">
        <f t="shared" si="1671"/>
        <v>-65000000</v>
      </c>
      <c r="LMV69" s="61">
        <f t="shared" si="1671"/>
        <v>-65000000</v>
      </c>
      <c r="LMW69" s="61">
        <f t="shared" si="1671"/>
        <v>-65000000</v>
      </c>
      <c r="LMX69" s="61">
        <f t="shared" si="1671"/>
        <v>-65000000</v>
      </c>
      <c r="LMY69" s="61">
        <f t="shared" si="1671"/>
        <v>-65000000</v>
      </c>
      <c r="LMZ69" s="61">
        <f t="shared" si="1671"/>
        <v>-65000000</v>
      </c>
      <c r="LNA69" s="61">
        <f t="shared" si="1671"/>
        <v>-65000000</v>
      </c>
      <c r="LNB69" s="61">
        <f t="shared" si="1671"/>
        <v>-65000000</v>
      </c>
      <c r="LNC69" s="61">
        <f t="shared" ref="LNC69:LPN69" si="1672">LNC68-$EC$11-LNC11</f>
        <v>-65000000</v>
      </c>
      <c r="LND69" s="61">
        <f t="shared" si="1672"/>
        <v>-65000000</v>
      </c>
      <c r="LNE69" s="61">
        <f t="shared" si="1672"/>
        <v>-65000000</v>
      </c>
      <c r="LNF69" s="61">
        <f t="shared" si="1672"/>
        <v>-65000000</v>
      </c>
      <c r="LNG69" s="61">
        <f t="shared" si="1672"/>
        <v>-65000000</v>
      </c>
      <c r="LNH69" s="61">
        <f t="shared" si="1672"/>
        <v>-65000000</v>
      </c>
      <c r="LNI69" s="61">
        <f t="shared" si="1672"/>
        <v>-65000000</v>
      </c>
      <c r="LNJ69" s="61">
        <f t="shared" si="1672"/>
        <v>-65000000</v>
      </c>
      <c r="LNK69" s="61">
        <f t="shared" si="1672"/>
        <v>-65000000</v>
      </c>
      <c r="LNL69" s="61">
        <f t="shared" si="1672"/>
        <v>-65000000</v>
      </c>
      <c r="LNM69" s="61">
        <f t="shared" si="1672"/>
        <v>-65000000</v>
      </c>
      <c r="LNN69" s="61">
        <f t="shared" si="1672"/>
        <v>-65000000</v>
      </c>
      <c r="LNO69" s="61">
        <f t="shared" si="1672"/>
        <v>-65000000</v>
      </c>
      <c r="LNP69" s="61">
        <f t="shared" si="1672"/>
        <v>-65000000</v>
      </c>
      <c r="LNQ69" s="61">
        <f t="shared" si="1672"/>
        <v>-65000000</v>
      </c>
      <c r="LNR69" s="61">
        <f t="shared" si="1672"/>
        <v>-65000000</v>
      </c>
      <c r="LNS69" s="61">
        <f t="shared" si="1672"/>
        <v>-65000000</v>
      </c>
      <c r="LNT69" s="61">
        <f t="shared" si="1672"/>
        <v>-65000000</v>
      </c>
      <c r="LNU69" s="61">
        <f t="shared" si="1672"/>
        <v>-65000000</v>
      </c>
      <c r="LNV69" s="61">
        <f t="shared" si="1672"/>
        <v>-65000000</v>
      </c>
      <c r="LNW69" s="61">
        <f t="shared" si="1672"/>
        <v>-65000000</v>
      </c>
      <c r="LNX69" s="61">
        <f t="shared" si="1672"/>
        <v>-65000000</v>
      </c>
      <c r="LNY69" s="61">
        <f t="shared" si="1672"/>
        <v>-65000000</v>
      </c>
      <c r="LNZ69" s="61">
        <f t="shared" si="1672"/>
        <v>-65000000</v>
      </c>
      <c r="LOA69" s="61">
        <f t="shared" si="1672"/>
        <v>-65000000</v>
      </c>
      <c r="LOB69" s="61">
        <f t="shared" si="1672"/>
        <v>-65000000</v>
      </c>
      <c r="LOC69" s="61">
        <f t="shared" si="1672"/>
        <v>-65000000</v>
      </c>
      <c r="LOD69" s="61">
        <f t="shared" si="1672"/>
        <v>-65000000</v>
      </c>
      <c r="LOE69" s="61">
        <f t="shared" si="1672"/>
        <v>-65000000</v>
      </c>
      <c r="LOF69" s="61">
        <f t="shared" si="1672"/>
        <v>-65000000</v>
      </c>
      <c r="LOG69" s="61">
        <f t="shared" si="1672"/>
        <v>-65000000</v>
      </c>
      <c r="LOH69" s="61">
        <f t="shared" si="1672"/>
        <v>-65000000</v>
      </c>
      <c r="LOI69" s="61">
        <f t="shared" si="1672"/>
        <v>-65000000</v>
      </c>
      <c r="LOJ69" s="61">
        <f t="shared" si="1672"/>
        <v>-65000000</v>
      </c>
      <c r="LOK69" s="61">
        <f t="shared" si="1672"/>
        <v>-65000000</v>
      </c>
      <c r="LOL69" s="61">
        <f t="shared" si="1672"/>
        <v>-65000000</v>
      </c>
      <c r="LOM69" s="61">
        <f t="shared" si="1672"/>
        <v>-65000000</v>
      </c>
      <c r="LON69" s="61">
        <f t="shared" si="1672"/>
        <v>-65000000</v>
      </c>
      <c r="LOO69" s="61">
        <f t="shared" si="1672"/>
        <v>-65000000</v>
      </c>
      <c r="LOP69" s="61">
        <f t="shared" si="1672"/>
        <v>-65000000</v>
      </c>
      <c r="LOQ69" s="61">
        <f t="shared" si="1672"/>
        <v>-65000000</v>
      </c>
      <c r="LOR69" s="61">
        <f t="shared" si="1672"/>
        <v>-65000000</v>
      </c>
      <c r="LOS69" s="61">
        <f t="shared" si="1672"/>
        <v>-65000000</v>
      </c>
      <c r="LOT69" s="61">
        <f t="shared" si="1672"/>
        <v>-65000000</v>
      </c>
      <c r="LOU69" s="61">
        <f t="shared" si="1672"/>
        <v>-65000000</v>
      </c>
      <c r="LOV69" s="61">
        <f t="shared" si="1672"/>
        <v>-65000000</v>
      </c>
      <c r="LOW69" s="61">
        <f t="shared" si="1672"/>
        <v>-65000000</v>
      </c>
      <c r="LOX69" s="61">
        <f t="shared" si="1672"/>
        <v>-65000000</v>
      </c>
      <c r="LOY69" s="61">
        <f t="shared" si="1672"/>
        <v>-65000000</v>
      </c>
      <c r="LOZ69" s="61">
        <f t="shared" si="1672"/>
        <v>-65000000</v>
      </c>
      <c r="LPA69" s="61">
        <f t="shared" si="1672"/>
        <v>-65000000</v>
      </c>
      <c r="LPB69" s="61">
        <f t="shared" si="1672"/>
        <v>-65000000</v>
      </c>
      <c r="LPC69" s="61">
        <f t="shared" si="1672"/>
        <v>-65000000</v>
      </c>
      <c r="LPD69" s="61">
        <f t="shared" si="1672"/>
        <v>-65000000</v>
      </c>
      <c r="LPE69" s="61">
        <f t="shared" si="1672"/>
        <v>-65000000</v>
      </c>
      <c r="LPF69" s="61">
        <f t="shared" si="1672"/>
        <v>-65000000</v>
      </c>
      <c r="LPG69" s="61">
        <f t="shared" si="1672"/>
        <v>-65000000</v>
      </c>
      <c r="LPH69" s="61">
        <f t="shared" si="1672"/>
        <v>-65000000</v>
      </c>
      <c r="LPI69" s="61">
        <f t="shared" si="1672"/>
        <v>-65000000</v>
      </c>
      <c r="LPJ69" s="61">
        <f t="shared" si="1672"/>
        <v>-65000000</v>
      </c>
      <c r="LPK69" s="61">
        <f t="shared" si="1672"/>
        <v>-65000000</v>
      </c>
      <c r="LPL69" s="61">
        <f t="shared" si="1672"/>
        <v>-65000000</v>
      </c>
      <c r="LPM69" s="61">
        <f t="shared" si="1672"/>
        <v>-65000000</v>
      </c>
      <c r="LPN69" s="61">
        <f t="shared" si="1672"/>
        <v>-65000000</v>
      </c>
      <c r="LPO69" s="61">
        <f t="shared" ref="LPO69:LRZ69" si="1673">LPO68-$EC$11-LPO11</f>
        <v>-65000000</v>
      </c>
      <c r="LPP69" s="61">
        <f t="shared" si="1673"/>
        <v>-65000000</v>
      </c>
      <c r="LPQ69" s="61">
        <f t="shared" si="1673"/>
        <v>-65000000</v>
      </c>
      <c r="LPR69" s="61">
        <f t="shared" si="1673"/>
        <v>-65000000</v>
      </c>
      <c r="LPS69" s="61">
        <f t="shared" si="1673"/>
        <v>-65000000</v>
      </c>
      <c r="LPT69" s="61">
        <f t="shared" si="1673"/>
        <v>-65000000</v>
      </c>
      <c r="LPU69" s="61">
        <f t="shared" si="1673"/>
        <v>-65000000</v>
      </c>
      <c r="LPV69" s="61">
        <f t="shared" si="1673"/>
        <v>-65000000</v>
      </c>
      <c r="LPW69" s="61">
        <f t="shared" si="1673"/>
        <v>-65000000</v>
      </c>
      <c r="LPX69" s="61">
        <f t="shared" si="1673"/>
        <v>-65000000</v>
      </c>
      <c r="LPY69" s="61">
        <f t="shared" si="1673"/>
        <v>-65000000</v>
      </c>
      <c r="LPZ69" s="61">
        <f t="shared" si="1673"/>
        <v>-65000000</v>
      </c>
      <c r="LQA69" s="61">
        <f t="shared" si="1673"/>
        <v>-65000000</v>
      </c>
      <c r="LQB69" s="61">
        <f t="shared" si="1673"/>
        <v>-65000000</v>
      </c>
      <c r="LQC69" s="61">
        <f t="shared" si="1673"/>
        <v>-65000000</v>
      </c>
      <c r="LQD69" s="61">
        <f t="shared" si="1673"/>
        <v>-65000000</v>
      </c>
      <c r="LQE69" s="61">
        <f t="shared" si="1673"/>
        <v>-65000000</v>
      </c>
      <c r="LQF69" s="61">
        <f t="shared" si="1673"/>
        <v>-65000000</v>
      </c>
      <c r="LQG69" s="61">
        <f t="shared" si="1673"/>
        <v>-65000000</v>
      </c>
      <c r="LQH69" s="61">
        <f t="shared" si="1673"/>
        <v>-65000000</v>
      </c>
      <c r="LQI69" s="61">
        <f t="shared" si="1673"/>
        <v>-65000000</v>
      </c>
      <c r="LQJ69" s="61">
        <f t="shared" si="1673"/>
        <v>-65000000</v>
      </c>
      <c r="LQK69" s="61">
        <f t="shared" si="1673"/>
        <v>-65000000</v>
      </c>
      <c r="LQL69" s="61">
        <f t="shared" si="1673"/>
        <v>-65000000</v>
      </c>
      <c r="LQM69" s="61">
        <f t="shared" si="1673"/>
        <v>-65000000</v>
      </c>
      <c r="LQN69" s="61">
        <f t="shared" si="1673"/>
        <v>-65000000</v>
      </c>
      <c r="LQO69" s="61">
        <f t="shared" si="1673"/>
        <v>-65000000</v>
      </c>
      <c r="LQP69" s="61">
        <f t="shared" si="1673"/>
        <v>-65000000</v>
      </c>
      <c r="LQQ69" s="61">
        <f t="shared" si="1673"/>
        <v>-65000000</v>
      </c>
      <c r="LQR69" s="61">
        <f t="shared" si="1673"/>
        <v>-65000000</v>
      </c>
      <c r="LQS69" s="61">
        <f t="shared" si="1673"/>
        <v>-65000000</v>
      </c>
      <c r="LQT69" s="61">
        <f t="shared" si="1673"/>
        <v>-65000000</v>
      </c>
      <c r="LQU69" s="61">
        <f t="shared" si="1673"/>
        <v>-65000000</v>
      </c>
      <c r="LQV69" s="61">
        <f t="shared" si="1673"/>
        <v>-65000000</v>
      </c>
      <c r="LQW69" s="61">
        <f t="shared" si="1673"/>
        <v>-65000000</v>
      </c>
      <c r="LQX69" s="61">
        <f t="shared" si="1673"/>
        <v>-65000000</v>
      </c>
      <c r="LQY69" s="61">
        <f t="shared" si="1673"/>
        <v>-65000000</v>
      </c>
      <c r="LQZ69" s="61">
        <f t="shared" si="1673"/>
        <v>-65000000</v>
      </c>
      <c r="LRA69" s="61">
        <f t="shared" si="1673"/>
        <v>-65000000</v>
      </c>
      <c r="LRB69" s="61">
        <f t="shared" si="1673"/>
        <v>-65000000</v>
      </c>
      <c r="LRC69" s="61">
        <f t="shared" si="1673"/>
        <v>-65000000</v>
      </c>
      <c r="LRD69" s="61">
        <f t="shared" si="1673"/>
        <v>-65000000</v>
      </c>
      <c r="LRE69" s="61">
        <f t="shared" si="1673"/>
        <v>-65000000</v>
      </c>
      <c r="LRF69" s="61">
        <f t="shared" si="1673"/>
        <v>-65000000</v>
      </c>
      <c r="LRG69" s="61">
        <f t="shared" si="1673"/>
        <v>-65000000</v>
      </c>
      <c r="LRH69" s="61">
        <f t="shared" si="1673"/>
        <v>-65000000</v>
      </c>
      <c r="LRI69" s="61">
        <f t="shared" si="1673"/>
        <v>-65000000</v>
      </c>
      <c r="LRJ69" s="61">
        <f t="shared" si="1673"/>
        <v>-65000000</v>
      </c>
      <c r="LRK69" s="61">
        <f t="shared" si="1673"/>
        <v>-65000000</v>
      </c>
      <c r="LRL69" s="61">
        <f t="shared" si="1673"/>
        <v>-65000000</v>
      </c>
      <c r="LRM69" s="61">
        <f t="shared" si="1673"/>
        <v>-65000000</v>
      </c>
      <c r="LRN69" s="61">
        <f t="shared" si="1673"/>
        <v>-65000000</v>
      </c>
      <c r="LRO69" s="61">
        <f t="shared" si="1673"/>
        <v>-65000000</v>
      </c>
      <c r="LRP69" s="61">
        <f t="shared" si="1673"/>
        <v>-65000000</v>
      </c>
      <c r="LRQ69" s="61">
        <f t="shared" si="1673"/>
        <v>-65000000</v>
      </c>
      <c r="LRR69" s="61">
        <f t="shared" si="1673"/>
        <v>-65000000</v>
      </c>
      <c r="LRS69" s="61">
        <f t="shared" si="1673"/>
        <v>-65000000</v>
      </c>
      <c r="LRT69" s="61">
        <f t="shared" si="1673"/>
        <v>-65000000</v>
      </c>
      <c r="LRU69" s="61">
        <f t="shared" si="1673"/>
        <v>-65000000</v>
      </c>
      <c r="LRV69" s="61">
        <f t="shared" si="1673"/>
        <v>-65000000</v>
      </c>
      <c r="LRW69" s="61">
        <f t="shared" si="1673"/>
        <v>-65000000</v>
      </c>
      <c r="LRX69" s="61">
        <f t="shared" si="1673"/>
        <v>-65000000</v>
      </c>
      <c r="LRY69" s="61">
        <f t="shared" si="1673"/>
        <v>-65000000</v>
      </c>
      <c r="LRZ69" s="61">
        <f t="shared" si="1673"/>
        <v>-65000000</v>
      </c>
      <c r="LSA69" s="61">
        <f t="shared" ref="LSA69:LUL69" si="1674">LSA68-$EC$11-LSA11</f>
        <v>-65000000</v>
      </c>
      <c r="LSB69" s="61">
        <f t="shared" si="1674"/>
        <v>-65000000</v>
      </c>
      <c r="LSC69" s="61">
        <f t="shared" si="1674"/>
        <v>-65000000</v>
      </c>
      <c r="LSD69" s="61">
        <f t="shared" si="1674"/>
        <v>-65000000</v>
      </c>
      <c r="LSE69" s="61">
        <f t="shared" si="1674"/>
        <v>-65000000</v>
      </c>
      <c r="LSF69" s="61">
        <f t="shared" si="1674"/>
        <v>-65000000</v>
      </c>
      <c r="LSG69" s="61">
        <f t="shared" si="1674"/>
        <v>-65000000</v>
      </c>
      <c r="LSH69" s="61">
        <f t="shared" si="1674"/>
        <v>-65000000</v>
      </c>
      <c r="LSI69" s="61">
        <f t="shared" si="1674"/>
        <v>-65000000</v>
      </c>
      <c r="LSJ69" s="61">
        <f t="shared" si="1674"/>
        <v>-65000000</v>
      </c>
      <c r="LSK69" s="61">
        <f t="shared" si="1674"/>
        <v>-65000000</v>
      </c>
      <c r="LSL69" s="61">
        <f t="shared" si="1674"/>
        <v>-65000000</v>
      </c>
      <c r="LSM69" s="61">
        <f t="shared" si="1674"/>
        <v>-65000000</v>
      </c>
      <c r="LSN69" s="61">
        <f t="shared" si="1674"/>
        <v>-65000000</v>
      </c>
      <c r="LSO69" s="61">
        <f t="shared" si="1674"/>
        <v>-65000000</v>
      </c>
      <c r="LSP69" s="61">
        <f t="shared" si="1674"/>
        <v>-65000000</v>
      </c>
      <c r="LSQ69" s="61">
        <f t="shared" si="1674"/>
        <v>-65000000</v>
      </c>
      <c r="LSR69" s="61">
        <f t="shared" si="1674"/>
        <v>-65000000</v>
      </c>
      <c r="LSS69" s="61">
        <f t="shared" si="1674"/>
        <v>-65000000</v>
      </c>
      <c r="LST69" s="61">
        <f t="shared" si="1674"/>
        <v>-65000000</v>
      </c>
      <c r="LSU69" s="61">
        <f t="shared" si="1674"/>
        <v>-65000000</v>
      </c>
      <c r="LSV69" s="61">
        <f t="shared" si="1674"/>
        <v>-65000000</v>
      </c>
      <c r="LSW69" s="61">
        <f t="shared" si="1674"/>
        <v>-65000000</v>
      </c>
      <c r="LSX69" s="61">
        <f t="shared" si="1674"/>
        <v>-65000000</v>
      </c>
      <c r="LSY69" s="61">
        <f t="shared" si="1674"/>
        <v>-65000000</v>
      </c>
      <c r="LSZ69" s="61">
        <f t="shared" si="1674"/>
        <v>-65000000</v>
      </c>
      <c r="LTA69" s="61">
        <f t="shared" si="1674"/>
        <v>-65000000</v>
      </c>
      <c r="LTB69" s="61">
        <f t="shared" si="1674"/>
        <v>-65000000</v>
      </c>
      <c r="LTC69" s="61">
        <f t="shared" si="1674"/>
        <v>-65000000</v>
      </c>
      <c r="LTD69" s="61">
        <f t="shared" si="1674"/>
        <v>-65000000</v>
      </c>
      <c r="LTE69" s="61">
        <f t="shared" si="1674"/>
        <v>-65000000</v>
      </c>
      <c r="LTF69" s="61">
        <f t="shared" si="1674"/>
        <v>-65000000</v>
      </c>
      <c r="LTG69" s="61">
        <f t="shared" si="1674"/>
        <v>-65000000</v>
      </c>
      <c r="LTH69" s="61">
        <f t="shared" si="1674"/>
        <v>-65000000</v>
      </c>
      <c r="LTI69" s="61">
        <f t="shared" si="1674"/>
        <v>-65000000</v>
      </c>
      <c r="LTJ69" s="61">
        <f t="shared" si="1674"/>
        <v>-65000000</v>
      </c>
      <c r="LTK69" s="61">
        <f t="shared" si="1674"/>
        <v>-65000000</v>
      </c>
      <c r="LTL69" s="61">
        <f t="shared" si="1674"/>
        <v>-65000000</v>
      </c>
      <c r="LTM69" s="61">
        <f t="shared" si="1674"/>
        <v>-65000000</v>
      </c>
      <c r="LTN69" s="61">
        <f t="shared" si="1674"/>
        <v>-65000000</v>
      </c>
      <c r="LTO69" s="61">
        <f t="shared" si="1674"/>
        <v>-65000000</v>
      </c>
      <c r="LTP69" s="61">
        <f t="shared" si="1674"/>
        <v>-65000000</v>
      </c>
      <c r="LTQ69" s="61">
        <f t="shared" si="1674"/>
        <v>-65000000</v>
      </c>
      <c r="LTR69" s="61">
        <f t="shared" si="1674"/>
        <v>-65000000</v>
      </c>
      <c r="LTS69" s="61">
        <f t="shared" si="1674"/>
        <v>-65000000</v>
      </c>
      <c r="LTT69" s="61">
        <f t="shared" si="1674"/>
        <v>-65000000</v>
      </c>
      <c r="LTU69" s="61">
        <f t="shared" si="1674"/>
        <v>-65000000</v>
      </c>
      <c r="LTV69" s="61">
        <f t="shared" si="1674"/>
        <v>-65000000</v>
      </c>
      <c r="LTW69" s="61">
        <f t="shared" si="1674"/>
        <v>-65000000</v>
      </c>
      <c r="LTX69" s="61">
        <f t="shared" si="1674"/>
        <v>-65000000</v>
      </c>
      <c r="LTY69" s="61">
        <f t="shared" si="1674"/>
        <v>-65000000</v>
      </c>
      <c r="LTZ69" s="61">
        <f t="shared" si="1674"/>
        <v>-65000000</v>
      </c>
      <c r="LUA69" s="61">
        <f t="shared" si="1674"/>
        <v>-65000000</v>
      </c>
      <c r="LUB69" s="61">
        <f t="shared" si="1674"/>
        <v>-65000000</v>
      </c>
      <c r="LUC69" s="61">
        <f t="shared" si="1674"/>
        <v>-65000000</v>
      </c>
      <c r="LUD69" s="61">
        <f t="shared" si="1674"/>
        <v>-65000000</v>
      </c>
      <c r="LUE69" s="61">
        <f t="shared" si="1674"/>
        <v>-65000000</v>
      </c>
      <c r="LUF69" s="61">
        <f t="shared" si="1674"/>
        <v>-65000000</v>
      </c>
      <c r="LUG69" s="61">
        <f t="shared" si="1674"/>
        <v>-65000000</v>
      </c>
      <c r="LUH69" s="61">
        <f t="shared" si="1674"/>
        <v>-65000000</v>
      </c>
      <c r="LUI69" s="61">
        <f t="shared" si="1674"/>
        <v>-65000000</v>
      </c>
      <c r="LUJ69" s="61">
        <f t="shared" si="1674"/>
        <v>-65000000</v>
      </c>
      <c r="LUK69" s="61">
        <f t="shared" si="1674"/>
        <v>-65000000</v>
      </c>
      <c r="LUL69" s="61">
        <f t="shared" si="1674"/>
        <v>-65000000</v>
      </c>
      <c r="LUM69" s="61">
        <f t="shared" ref="LUM69:LWX69" si="1675">LUM68-$EC$11-LUM11</f>
        <v>-65000000</v>
      </c>
      <c r="LUN69" s="61">
        <f t="shared" si="1675"/>
        <v>-65000000</v>
      </c>
      <c r="LUO69" s="61">
        <f t="shared" si="1675"/>
        <v>-65000000</v>
      </c>
      <c r="LUP69" s="61">
        <f t="shared" si="1675"/>
        <v>-65000000</v>
      </c>
      <c r="LUQ69" s="61">
        <f t="shared" si="1675"/>
        <v>-65000000</v>
      </c>
      <c r="LUR69" s="61">
        <f t="shared" si="1675"/>
        <v>-65000000</v>
      </c>
      <c r="LUS69" s="61">
        <f t="shared" si="1675"/>
        <v>-65000000</v>
      </c>
      <c r="LUT69" s="61">
        <f t="shared" si="1675"/>
        <v>-65000000</v>
      </c>
      <c r="LUU69" s="61">
        <f t="shared" si="1675"/>
        <v>-65000000</v>
      </c>
      <c r="LUV69" s="61">
        <f t="shared" si="1675"/>
        <v>-65000000</v>
      </c>
      <c r="LUW69" s="61">
        <f t="shared" si="1675"/>
        <v>-65000000</v>
      </c>
      <c r="LUX69" s="61">
        <f t="shared" si="1675"/>
        <v>-65000000</v>
      </c>
      <c r="LUY69" s="61">
        <f t="shared" si="1675"/>
        <v>-65000000</v>
      </c>
      <c r="LUZ69" s="61">
        <f t="shared" si="1675"/>
        <v>-65000000</v>
      </c>
      <c r="LVA69" s="61">
        <f t="shared" si="1675"/>
        <v>-65000000</v>
      </c>
      <c r="LVB69" s="61">
        <f t="shared" si="1675"/>
        <v>-65000000</v>
      </c>
      <c r="LVC69" s="61">
        <f t="shared" si="1675"/>
        <v>-65000000</v>
      </c>
      <c r="LVD69" s="61">
        <f t="shared" si="1675"/>
        <v>-65000000</v>
      </c>
      <c r="LVE69" s="61">
        <f t="shared" si="1675"/>
        <v>-65000000</v>
      </c>
      <c r="LVF69" s="61">
        <f t="shared" si="1675"/>
        <v>-65000000</v>
      </c>
      <c r="LVG69" s="61">
        <f t="shared" si="1675"/>
        <v>-65000000</v>
      </c>
      <c r="LVH69" s="61">
        <f t="shared" si="1675"/>
        <v>-65000000</v>
      </c>
      <c r="LVI69" s="61">
        <f t="shared" si="1675"/>
        <v>-65000000</v>
      </c>
      <c r="LVJ69" s="61">
        <f t="shared" si="1675"/>
        <v>-65000000</v>
      </c>
      <c r="LVK69" s="61">
        <f t="shared" si="1675"/>
        <v>-65000000</v>
      </c>
      <c r="LVL69" s="61">
        <f t="shared" si="1675"/>
        <v>-65000000</v>
      </c>
      <c r="LVM69" s="61">
        <f t="shared" si="1675"/>
        <v>-65000000</v>
      </c>
      <c r="LVN69" s="61">
        <f t="shared" si="1675"/>
        <v>-65000000</v>
      </c>
      <c r="LVO69" s="61">
        <f t="shared" si="1675"/>
        <v>-65000000</v>
      </c>
      <c r="LVP69" s="61">
        <f t="shared" si="1675"/>
        <v>-65000000</v>
      </c>
      <c r="LVQ69" s="61">
        <f t="shared" si="1675"/>
        <v>-65000000</v>
      </c>
      <c r="LVR69" s="61">
        <f t="shared" si="1675"/>
        <v>-65000000</v>
      </c>
      <c r="LVS69" s="61">
        <f t="shared" si="1675"/>
        <v>-65000000</v>
      </c>
      <c r="LVT69" s="61">
        <f t="shared" si="1675"/>
        <v>-65000000</v>
      </c>
      <c r="LVU69" s="61">
        <f t="shared" si="1675"/>
        <v>-65000000</v>
      </c>
      <c r="LVV69" s="61">
        <f t="shared" si="1675"/>
        <v>-65000000</v>
      </c>
      <c r="LVW69" s="61">
        <f t="shared" si="1675"/>
        <v>-65000000</v>
      </c>
      <c r="LVX69" s="61">
        <f t="shared" si="1675"/>
        <v>-65000000</v>
      </c>
      <c r="LVY69" s="61">
        <f t="shared" si="1675"/>
        <v>-65000000</v>
      </c>
      <c r="LVZ69" s="61">
        <f t="shared" si="1675"/>
        <v>-65000000</v>
      </c>
      <c r="LWA69" s="61">
        <f t="shared" si="1675"/>
        <v>-65000000</v>
      </c>
      <c r="LWB69" s="61">
        <f t="shared" si="1675"/>
        <v>-65000000</v>
      </c>
      <c r="LWC69" s="61">
        <f t="shared" si="1675"/>
        <v>-65000000</v>
      </c>
      <c r="LWD69" s="61">
        <f t="shared" si="1675"/>
        <v>-65000000</v>
      </c>
      <c r="LWE69" s="61">
        <f t="shared" si="1675"/>
        <v>-65000000</v>
      </c>
      <c r="LWF69" s="61">
        <f t="shared" si="1675"/>
        <v>-65000000</v>
      </c>
      <c r="LWG69" s="61">
        <f t="shared" si="1675"/>
        <v>-65000000</v>
      </c>
      <c r="LWH69" s="61">
        <f t="shared" si="1675"/>
        <v>-65000000</v>
      </c>
      <c r="LWI69" s="61">
        <f t="shared" si="1675"/>
        <v>-65000000</v>
      </c>
      <c r="LWJ69" s="61">
        <f t="shared" si="1675"/>
        <v>-65000000</v>
      </c>
      <c r="LWK69" s="61">
        <f t="shared" si="1675"/>
        <v>-65000000</v>
      </c>
      <c r="LWL69" s="61">
        <f t="shared" si="1675"/>
        <v>-65000000</v>
      </c>
      <c r="LWM69" s="61">
        <f t="shared" si="1675"/>
        <v>-65000000</v>
      </c>
      <c r="LWN69" s="61">
        <f t="shared" si="1675"/>
        <v>-65000000</v>
      </c>
      <c r="LWO69" s="61">
        <f t="shared" si="1675"/>
        <v>-65000000</v>
      </c>
      <c r="LWP69" s="61">
        <f t="shared" si="1675"/>
        <v>-65000000</v>
      </c>
      <c r="LWQ69" s="61">
        <f t="shared" si="1675"/>
        <v>-65000000</v>
      </c>
      <c r="LWR69" s="61">
        <f t="shared" si="1675"/>
        <v>-65000000</v>
      </c>
      <c r="LWS69" s="61">
        <f t="shared" si="1675"/>
        <v>-65000000</v>
      </c>
      <c r="LWT69" s="61">
        <f t="shared" si="1675"/>
        <v>-65000000</v>
      </c>
      <c r="LWU69" s="61">
        <f t="shared" si="1675"/>
        <v>-65000000</v>
      </c>
      <c r="LWV69" s="61">
        <f t="shared" si="1675"/>
        <v>-65000000</v>
      </c>
      <c r="LWW69" s="61">
        <f t="shared" si="1675"/>
        <v>-65000000</v>
      </c>
      <c r="LWX69" s="61">
        <f t="shared" si="1675"/>
        <v>-65000000</v>
      </c>
      <c r="LWY69" s="61">
        <f t="shared" ref="LWY69:LZJ69" si="1676">LWY68-$EC$11-LWY11</f>
        <v>-65000000</v>
      </c>
      <c r="LWZ69" s="61">
        <f t="shared" si="1676"/>
        <v>-65000000</v>
      </c>
      <c r="LXA69" s="61">
        <f t="shared" si="1676"/>
        <v>-65000000</v>
      </c>
      <c r="LXB69" s="61">
        <f t="shared" si="1676"/>
        <v>-65000000</v>
      </c>
      <c r="LXC69" s="61">
        <f t="shared" si="1676"/>
        <v>-65000000</v>
      </c>
      <c r="LXD69" s="61">
        <f t="shared" si="1676"/>
        <v>-65000000</v>
      </c>
      <c r="LXE69" s="61">
        <f t="shared" si="1676"/>
        <v>-65000000</v>
      </c>
      <c r="LXF69" s="61">
        <f t="shared" si="1676"/>
        <v>-65000000</v>
      </c>
      <c r="LXG69" s="61">
        <f t="shared" si="1676"/>
        <v>-65000000</v>
      </c>
      <c r="LXH69" s="61">
        <f t="shared" si="1676"/>
        <v>-65000000</v>
      </c>
      <c r="LXI69" s="61">
        <f t="shared" si="1676"/>
        <v>-65000000</v>
      </c>
      <c r="LXJ69" s="61">
        <f t="shared" si="1676"/>
        <v>-65000000</v>
      </c>
      <c r="LXK69" s="61">
        <f t="shared" si="1676"/>
        <v>-65000000</v>
      </c>
      <c r="LXL69" s="61">
        <f t="shared" si="1676"/>
        <v>-65000000</v>
      </c>
      <c r="LXM69" s="61">
        <f t="shared" si="1676"/>
        <v>-65000000</v>
      </c>
      <c r="LXN69" s="61">
        <f t="shared" si="1676"/>
        <v>-65000000</v>
      </c>
      <c r="LXO69" s="61">
        <f t="shared" si="1676"/>
        <v>-65000000</v>
      </c>
      <c r="LXP69" s="61">
        <f t="shared" si="1676"/>
        <v>-65000000</v>
      </c>
      <c r="LXQ69" s="61">
        <f t="shared" si="1676"/>
        <v>-65000000</v>
      </c>
      <c r="LXR69" s="61">
        <f t="shared" si="1676"/>
        <v>-65000000</v>
      </c>
      <c r="LXS69" s="61">
        <f t="shared" si="1676"/>
        <v>-65000000</v>
      </c>
      <c r="LXT69" s="61">
        <f t="shared" si="1676"/>
        <v>-65000000</v>
      </c>
      <c r="LXU69" s="61">
        <f t="shared" si="1676"/>
        <v>-65000000</v>
      </c>
      <c r="LXV69" s="61">
        <f t="shared" si="1676"/>
        <v>-65000000</v>
      </c>
      <c r="LXW69" s="61">
        <f t="shared" si="1676"/>
        <v>-65000000</v>
      </c>
      <c r="LXX69" s="61">
        <f t="shared" si="1676"/>
        <v>-65000000</v>
      </c>
      <c r="LXY69" s="61">
        <f t="shared" si="1676"/>
        <v>-65000000</v>
      </c>
      <c r="LXZ69" s="61">
        <f t="shared" si="1676"/>
        <v>-65000000</v>
      </c>
      <c r="LYA69" s="61">
        <f t="shared" si="1676"/>
        <v>-65000000</v>
      </c>
      <c r="LYB69" s="61">
        <f t="shared" si="1676"/>
        <v>-65000000</v>
      </c>
      <c r="LYC69" s="61">
        <f t="shared" si="1676"/>
        <v>-65000000</v>
      </c>
      <c r="LYD69" s="61">
        <f t="shared" si="1676"/>
        <v>-65000000</v>
      </c>
      <c r="LYE69" s="61">
        <f t="shared" si="1676"/>
        <v>-65000000</v>
      </c>
      <c r="LYF69" s="61">
        <f t="shared" si="1676"/>
        <v>-65000000</v>
      </c>
      <c r="LYG69" s="61">
        <f t="shared" si="1676"/>
        <v>-65000000</v>
      </c>
      <c r="LYH69" s="61">
        <f t="shared" si="1676"/>
        <v>-65000000</v>
      </c>
      <c r="LYI69" s="61">
        <f t="shared" si="1676"/>
        <v>-65000000</v>
      </c>
      <c r="LYJ69" s="61">
        <f t="shared" si="1676"/>
        <v>-65000000</v>
      </c>
      <c r="LYK69" s="61">
        <f t="shared" si="1676"/>
        <v>-65000000</v>
      </c>
      <c r="LYL69" s="61">
        <f t="shared" si="1676"/>
        <v>-65000000</v>
      </c>
      <c r="LYM69" s="61">
        <f t="shared" si="1676"/>
        <v>-65000000</v>
      </c>
      <c r="LYN69" s="61">
        <f t="shared" si="1676"/>
        <v>-65000000</v>
      </c>
      <c r="LYO69" s="61">
        <f t="shared" si="1676"/>
        <v>-65000000</v>
      </c>
      <c r="LYP69" s="61">
        <f t="shared" si="1676"/>
        <v>-65000000</v>
      </c>
      <c r="LYQ69" s="61">
        <f t="shared" si="1676"/>
        <v>-65000000</v>
      </c>
      <c r="LYR69" s="61">
        <f t="shared" si="1676"/>
        <v>-65000000</v>
      </c>
      <c r="LYS69" s="61">
        <f t="shared" si="1676"/>
        <v>-65000000</v>
      </c>
      <c r="LYT69" s="61">
        <f t="shared" si="1676"/>
        <v>-65000000</v>
      </c>
      <c r="LYU69" s="61">
        <f t="shared" si="1676"/>
        <v>-65000000</v>
      </c>
      <c r="LYV69" s="61">
        <f t="shared" si="1676"/>
        <v>-65000000</v>
      </c>
      <c r="LYW69" s="61">
        <f t="shared" si="1676"/>
        <v>-65000000</v>
      </c>
      <c r="LYX69" s="61">
        <f t="shared" si="1676"/>
        <v>-65000000</v>
      </c>
      <c r="LYY69" s="61">
        <f t="shared" si="1676"/>
        <v>-65000000</v>
      </c>
      <c r="LYZ69" s="61">
        <f t="shared" si="1676"/>
        <v>-65000000</v>
      </c>
      <c r="LZA69" s="61">
        <f t="shared" si="1676"/>
        <v>-65000000</v>
      </c>
      <c r="LZB69" s="61">
        <f t="shared" si="1676"/>
        <v>-65000000</v>
      </c>
      <c r="LZC69" s="61">
        <f t="shared" si="1676"/>
        <v>-65000000</v>
      </c>
      <c r="LZD69" s="61">
        <f t="shared" si="1676"/>
        <v>-65000000</v>
      </c>
      <c r="LZE69" s="61">
        <f t="shared" si="1676"/>
        <v>-65000000</v>
      </c>
      <c r="LZF69" s="61">
        <f t="shared" si="1676"/>
        <v>-65000000</v>
      </c>
      <c r="LZG69" s="61">
        <f t="shared" si="1676"/>
        <v>-65000000</v>
      </c>
      <c r="LZH69" s="61">
        <f t="shared" si="1676"/>
        <v>-65000000</v>
      </c>
      <c r="LZI69" s="61">
        <f t="shared" si="1676"/>
        <v>-65000000</v>
      </c>
      <c r="LZJ69" s="61">
        <f t="shared" si="1676"/>
        <v>-65000000</v>
      </c>
      <c r="LZK69" s="61">
        <f t="shared" ref="LZK69:MBV69" si="1677">LZK68-$EC$11-LZK11</f>
        <v>-65000000</v>
      </c>
      <c r="LZL69" s="61">
        <f t="shared" si="1677"/>
        <v>-65000000</v>
      </c>
      <c r="LZM69" s="61">
        <f t="shared" si="1677"/>
        <v>-65000000</v>
      </c>
      <c r="LZN69" s="61">
        <f t="shared" si="1677"/>
        <v>-65000000</v>
      </c>
      <c r="LZO69" s="61">
        <f t="shared" si="1677"/>
        <v>-65000000</v>
      </c>
      <c r="LZP69" s="61">
        <f t="shared" si="1677"/>
        <v>-65000000</v>
      </c>
      <c r="LZQ69" s="61">
        <f t="shared" si="1677"/>
        <v>-65000000</v>
      </c>
      <c r="LZR69" s="61">
        <f t="shared" si="1677"/>
        <v>-65000000</v>
      </c>
      <c r="LZS69" s="61">
        <f t="shared" si="1677"/>
        <v>-65000000</v>
      </c>
      <c r="LZT69" s="61">
        <f t="shared" si="1677"/>
        <v>-65000000</v>
      </c>
      <c r="LZU69" s="61">
        <f t="shared" si="1677"/>
        <v>-65000000</v>
      </c>
      <c r="LZV69" s="61">
        <f t="shared" si="1677"/>
        <v>-65000000</v>
      </c>
      <c r="LZW69" s="61">
        <f t="shared" si="1677"/>
        <v>-65000000</v>
      </c>
      <c r="LZX69" s="61">
        <f t="shared" si="1677"/>
        <v>-65000000</v>
      </c>
      <c r="LZY69" s="61">
        <f t="shared" si="1677"/>
        <v>-65000000</v>
      </c>
      <c r="LZZ69" s="61">
        <f t="shared" si="1677"/>
        <v>-65000000</v>
      </c>
      <c r="MAA69" s="61">
        <f t="shared" si="1677"/>
        <v>-65000000</v>
      </c>
      <c r="MAB69" s="61">
        <f t="shared" si="1677"/>
        <v>-65000000</v>
      </c>
      <c r="MAC69" s="61">
        <f t="shared" si="1677"/>
        <v>-65000000</v>
      </c>
      <c r="MAD69" s="61">
        <f t="shared" si="1677"/>
        <v>-65000000</v>
      </c>
      <c r="MAE69" s="61">
        <f t="shared" si="1677"/>
        <v>-65000000</v>
      </c>
      <c r="MAF69" s="61">
        <f t="shared" si="1677"/>
        <v>-65000000</v>
      </c>
      <c r="MAG69" s="61">
        <f t="shared" si="1677"/>
        <v>-65000000</v>
      </c>
      <c r="MAH69" s="61">
        <f t="shared" si="1677"/>
        <v>-65000000</v>
      </c>
      <c r="MAI69" s="61">
        <f t="shared" si="1677"/>
        <v>-65000000</v>
      </c>
      <c r="MAJ69" s="61">
        <f t="shared" si="1677"/>
        <v>-65000000</v>
      </c>
      <c r="MAK69" s="61">
        <f t="shared" si="1677"/>
        <v>-65000000</v>
      </c>
      <c r="MAL69" s="61">
        <f t="shared" si="1677"/>
        <v>-65000000</v>
      </c>
      <c r="MAM69" s="61">
        <f t="shared" si="1677"/>
        <v>-65000000</v>
      </c>
      <c r="MAN69" s="61">
        <f t="shared" si="1677"/>
        <v>-65000000</v>
      </c>
      <c r="MAO69" s="61">
        <f t="shared" si="1677"/>
        <v>-65000000</v>
      </c>
      <c r="MAP69" s="61">
        <f t="shared" si="1677"/>
        <v>-65000000</v>
      </c>
      <c r="MAQ69" s="61">
        <f t="shared" si="1677"/>
        <v>-65000000</v>
      </c>
      <c r="MAR69" s="61">
        <f t="shared" si="1677"/>
        <v>-65000000</v>
      </c>
      <c r="MAS69" s="61">
        <f t="shared" si="1677"/>
        <v>-65000000</v>
      </c>
      <c r="MAT69" s="61">
        <f t="shared" si="1677"/>
        <v>-65000000</v>
      </c>
      <c r="MAU69" s="61">
        <f t="shared" si="1677"/>
        <v>-65000000</v>
      </c>
      <c r="MAV69" s="61">
        <f t="shared" si="1677"/>
        <v>-65000000</v>
      </c>
      <c r="MAW69" s="61">
        <f t="shared" si="1677"/>
        <v>-65000000</v>
      </c>
      <c r="MAX69" s="61">
        <f t="shared" si="1677"/>
        <v>-65000000</v>
      </c>
      <c r="MAY69" s="61">
        <f t="shared" si="1677"/>
        <v>-65000000</v>
      </c>
      <c r="MAZ69" s="61">
        <f t="shared" si="1677"/>
        <v>-65000000</v>
      </c>
      <c r="MBA69" s="61">
        <f t="shared" si="1677"/>
        <v>-65000000</v>
      </c>
      <c r="MBB69" s="61">
        <f t="shared" si="1677"/>
        <v>-65000000</v>
      </c>
      <c r="MBC69" s="61">
        <f t="shared" si="1677"/>
        <v>-65000000</v>
      </c>
      <c r="MBD69" s="61">
        <f t="shared" si="1677"/>
        <v>-65000000</v>
      </c>
      <c r="MBE69" s="61">
        <f t="shared" si="1677"/>
        <v>-65000000</v>
      </c>
      <c r="MBF69" s="61">
        <f t="shared" si="1677"/>
        <v>-65000000</v>
      </c>
      <c r="MBG69" s="61">
        <f t="shared" si="1677"/>
        <v>-65000000</v>
      </c>
      <c r="MBH69" s="61">
        <f t="shared" si="1677"/>
        <v>-65000000</v>
      </c>
      <c r="MBI69" s="61">
        <f t="shared" si="1677"/>
        <v>-65000000</v>
      </c>
      <c r="MBJ69" s="61">
        <f t="shared" si="1677"/>
        <v>-65000000</v>
      </c>
      <c r="MBK69" s="61">
        <f t="shared" si="1677"/>
        <v>-65000000</v>
      </c>
      <c r="MBL69" s="61">
        <f t="shared" si="1677"/>
        <v>-65000000</v>
      </c>
      <c r="MBM69" s="61">
        <f t="shared" si="1677"/>
        <v>-65000000</v>
      </c>
      <c r="MBN69" s="61">
        <f t="shared" si="1677"/>
        <v>-65000000</v>
      </c>
      <c r="MBO69" s="61">
        <f t="shared" si="1677"/>
        <v>-65000000</v>
      </c>
      <c r="MBP69" s="61">
        <f t="shared" si="1677"/>
        <v>-65000000</v>
      </c>
      <c r="MBQ69" s="61">
        <f t="shared" si="1677"/>
        <v>-65000000</v>
      </c>
      <c r="MBR69" s="61">
        <f t="shared" si="1677"/>
        <v>-65000000</v>
      </c>
      <c r="MBS69" s="61">
        <f t="shared" si="1677"/>
        <v>-65000000</v>
      </c>
      <c r="MBT69" s="61">
        <f t="shared" si="1677"/>
        <v>-65000000</v>
      </c>
      <c r="MBU69" s="61">
        <f t="shared" si="1677"/>
        <v>-65000000</v>
      </c>
      <c r="MBV69" s="61">
        <f t="shared" si="1677"/>
        <v>-65000000</v>
      </c>
      <c r="MBW69" s="61">
        <f t="shared" ref="MBW69:MEH69" si="1678">MBW68-$EC$11-MBW11</f>
        <v>-65000000</v>
      </c>
      <c r="MBX69" s="61">
        <f t="shared" si="1678"/>
        <v>-65000000</v>
      </c>
      <c r="MBY69" s="61">
        <f t="shared" si="1678"/>
        <v>-65000000</v>
      </c>
      <c r="MBZ69" s="61">
        <f t="shared" si="1678"/>
        <v>-65000000</v>
      </c>
      <c r="MCA69" s="61">
        <f t="shared" si="1678"/>
        <v>-65000000</v>
      </c>
      <c r="MCB69" s="61">
        <f t="shared" si="1678"/>
        <v>-65000000</v>
      </c>
      <c r="MCC69" s="61">
        <f t="shared" si="1678"/>
        <v>-65000000</v>
      </c>
      <c r="MCD69" s="61">
        <f t="shared" si="1678"/>
        <v>-65000000</v>
      </c>
      <c r="MCE69" s="61">
        <f t="shared" si="1678"/>
        <v>-65000000</v>
      </c>
      <c r="MCF69" s="61">
        <f t="shared" si="1678"/>
        <v>-65000000</v>
      </c>
      <c r="MCG69" s="61">
        <f t="shared" si="1678"/>
        <v>-65000000</v>
      </c>
      <c r="MCH69" s="61">
        <f t="shared" si="1678"/>
        <v>-65000000</v>
      </c>
      <c r="MCI69" s="61">
        <f t="shared" si="1678"/>
        <v>-65000000</v>
      </c>
      <c r="MCJ69" s="61">
        <f t="shared" si="1678"/>
        <v>-65000000</v>
      </c>
      <c r="MCK69" s="61">
        <f t="shared" si="1678"/>
        <v>-65000000</v>
      </c>
      <c r="MCL69" s="61">
        <f t="shared" si="1678"/>
        <v>-65000000</v>
      </c>
      <c r="MCM69" s="61">
        <f t="shared" si="1678"/>
        <v>-65000000</v>
      </c>
      <c r="MCN69" s="61">
        <f t="shared" si="1678"/>
        <v>-65000000</v>
      </c>
      <c r="MCO69" s="61">
        <f t="shared" si="1678"/>
        <v>-65000000</v>
      </c>
      <c r="MCP69" s="61">
        <f t="shared" si="1678"/>
        <v>-65000000</v>
      </c>
      <c r="MCQ69" s="61">
        <f t="shared" si="1678"/>
        <v>-65000000</v>
      </c>
      <c r="MCR69" s="61">
        <f t="shared" si="1678"/>
        <v>-65000000</v>
      </c>
      <c r="MCS69" s="61">
        <f t="shared" si="1678"/>
        <v>-65000000</v>
      </c>
      <c r="MCT69" s="61">
        <f t="shared" si="1678"/>
        <v>-65000000</v>
      </c>
      <c r="MCU69" s="61">
        <f t="shared" si="1678"/>
        <v>-65000000</v>
      </c>
      <c r="MCV69" s="61">
        <f t="shared" si="1678"/>
        <v>-65000000</v>
      </c>
      <c r="MCW69" s="61">
        <f t="shared" si="1678"/>
        <v>-65000000</v>
      </c>
      <c r="MCX69" s="61">
        <f t="shared" si="1678"/>
        <v>-65000000</v>
      </c>
      <c r="MCY69" s="61">
        <f t="shared" si="1678"/>
        <v>-65000000</v>
      </c>
      <c r="MCZ69" s="61">
        <f t="shared" si="1678"/>
        <v>-65000000</v>
      </c>
      <c r="MDA69" s="61">
        <f t="shared" si="1678"/>
        <v>-65000000</v>
      </c>
      <c r="MDB69" s="61">
        <f t="shared" si="1678"/>
        <v>-65000000</v>
      </c>
      <c r="MDC69" s="61">
        <f t="shared" si="1678"/>
        <v>-65000000</v>
      </c>
      <c r="MDD69" s="61">
        <f t="shared" si="1678"/>
        <v>-65000000</v>
      </c>
      <c r="MDE69" s="61">
        <f t="shared" si="1678"/>
        <v>-65000000</v>
      </c>
      <c r="MDF69" s="61">
        <f t="shared" si="1678"/>
        <v>-65000000</v>
      </c>
      <c r="MDG69" s="61">
        <f t="shared" si="1678"/>
        <v>-65000000</v>
      </c>
      <c r="MDH69" s="61">
        <f t="shared" si="1678"/>
        <v>-65000000</v>
      </c>
      <c r="MDI69" s="61">
        <f t="shared" si="1678"/>
        <v>-65000000</v>
      </c>
      <c r="MDJ69" s="61">
        <f t="shared" si="1678"/>
        <v>-65000000</v>
      </c>
      <c r="MDK69" s="61">
        <f t="shared" si="1678"/>
        <v>-65000000</v>
      </c>
      <c r="MDL69" s="61">
        <f t="shared" si="1678"/>
        <v>-65000000</v>
      </c>
      <c r="MDM69" s="61">
        <f t="shared" si="1678"/>
        <v>-65000000</v>
      </c>
      <c r="MDN69" s="61">
        <f t="shared" si="1678"/>
        <v>-65000000</v>
      </c>
      <c r="MDO69" s="61">
        <f t="shared" si="1678"/>
        <v>-65000000</v>
      </c>
      <c r="MDP69" s="61">
        <f t="shared" si="1678"/>
        <v>-65000000</v>
      </c>
      <c r="MDQ69" s="61">
        <f t="shared" si="1678"/>
        <v>-65000000</v>
      </c>
      <c r="MDR69" s="61">
        <f t="shared" si="1678"/>
        <v>-65000000</v>
      </c>
      <c r="MDS69" s="61">
        <f t="shared" si="1678"/>
        <v>-65000000</v>
      </c>
      <c r="MDT69" s="61">
        <f t="shared" si="1678"/>
        <v>-65000000</v>
      </c>
      <c r="MDU69" s="61">
        <f t="shared" si="1678"/>
        <v>-65000000</v>
      </c>
      <c r="MDV69" s="61">
        <f t="shared" si="1678"/>
        <v>-65000000</v>
      </c>
      <c r="MDW69" s="61">
        <f t="shared" si="1678"/>
        <v>-65000000</v>
      </c>
      <c r="MDX69" s="61">
        <f t="shared" si="1678"/>
        <v>-65000000</v>
      </c>
      <c r="MDY69" s="61">
        <f t="shared" si="1678"/>
        <v>-65000000</v>
      </c>
      <c r="MDZ69" s="61">
        <f t="shared" si="1678"/>
        <v>-65000000</v>
      </c>
      <c r="MEA69" s="61">
        <f t="shared" si="1678"/>
        <v>-65000000</v>
      </c>
      <c r="MEB69" s="61">
        <f t="shared" si="1678"/>
        <v>-65000000</v>
      </c>
      <c r="MEC69" s="61">
        <f t="shared" si="1678"/>
        <v>-65000000</v>
      </c>
      <c r="MED69" s="61">
        <f t="shared" si="1678"/>
        <v>-65000000</v>
      </c>
      <c r="MEE69" s="61">
        <f t="shared" si="1678"/>
        <v>-65000000</v>
      </c>
      <c r="MEF69" s="61">
        <f t="shared" si="1678"/>
        <v>-65000000</v>
      </c>
      <c r="MEG69" s="61">
        <f t="shared" si="1678"/>
        <v>-65000000</v>
      </c>
      <c r="MEH69" s="61">
        <f t="shared" si="1678"/>
        <v>-65000000</v>
      </c>
      <c r="MEI69" s="61">
        <f t="shared" ref="MEI69:MGT69" si="1679">MEI68-$EC$11-MEI11</f>
        <v>-65000000</v>
      </c>
      <c r="MEJ69" s="61">
        <f t="shared" si="1679"/>
        <v>-65000000</v>
      </c>
      <c r="MEK69" s="61">
        <f t="shared" si="1679"/>
        <v>-65000000</v>
      </c>
      <c r="MEL69" s="61">
        <f t="shared" si="1679"/>
        <v>-65000000</v>
      </c>
      <c r="MEM69" s="61">
        <f t="shared" si="1679"/>
        <v>-65000000</v>
      </c>
      <c r="MEN69" s="61">
        <f t="shared" si="1679"/>
        <v>-65000000</v>
      </c>
      <c r="MEO69" s="61">
        <f t="shared" si="1679"/>
        <v>-65000000</v>
      </c>
      <c r="MEP69" s="61">
        <f t="shared" si="1679"/>
        <v>-65000000</v>
      </c>
      <c r="MEQ69" s="61">
        <f t="shared" si="1679"/>
        <v>-65000000</v>
      </c>
      <c r="MER69" s="61">
        <f t="shared" si="1679"/>
        <v>-65000000</v>
      </c>
      <c r="MES69" s="61">
        <f t="shared" si="1679"/>
        <v>-65000000</v>
      </c>
      <c r="MET69" s="61">
        <f t="shared" si="1679"/>
        <v>-65000000</v>
      </c>
      <c r="MEU69" s="61">
        <f t="shared" si="1679"/>
        <v>-65000000</v>
      </c>
      <c r="MEV69" s="61">
        <f t="shared" si="1679"/>
        <v>-65000000</v>
      </c>
      <c r="MEW69" s="61">
        <f t="shared" si="1679"/>
        <v>-65000000</v>
      </c>
      <c r="MEX69" s="61">
        <f t="shared" si="1679"/>
        <v>-65000000</v>
      </c>
      <c r="MEY69" s="61">
        <f t="shared" si="1679"/>
        <v>-65000000</v>
      </c>
      <c r="MEZ69" s="61">
        <f t="shared" si="1679"/>
        <v>-65000000</v>
      </c>
      <c r="MFA69" s="61">
        <f t="shared" si="1679"/>
        <v>-65000000</v>
      </c>
      <c r="MFB69" s="61">
        <f t="shared" si="1679"/>
        <v>-65000000</v>
      </c>
      <c r="MFC69" s="61">
        <f t="shared" si="1679"/>
        <v>-65000000</v>
      </c>
      <c r="MFD69" s="61">
        <f t="shared" si="1679"/>
        <v>-65000000</v>
      </c>
      <c r="MFE69" s="61">
        <f t="shared" si="1679"/>
        <v>-65000000</v>
      </c>
      <c r="MFF69" s="61">
        <f t="shared" si="1679"/>
        <v>-65000000</v>
      </c>
      <c r="MFG69" s="61">
        <f t="shared" si="1679"/>
        <v>-65000000</v>
      </c>
      <c r="MFH69" s="61">
        <f t="shared" si="1679"/>
        <v>-65000000</v>
      </c>
      <c r="MFI69" s="61">
        <f t="shared" si="1679"/>
        <v>-65000000</v>
      </c>
      <c r="MFJ69" s="61">
        <f t="shared" si="1679"/>
        <v>-65000000</v>
      </c>
      <c r="MFK69" s="61">
        <f t="shared" si="1679"/>
        <v>-65000000</v>
      </c>
      <c r="MFL69" s="61">
        <f t="shared" si="1679"/>
        <v>-65000000</v>
      </c>
      <c r="MFM69" s="61">
        <f t="shared" si="1679"/>
        <v>-65000000</v>
      </c>
      <c r="MFN69" s="61">
        <f t="shared" si="1679"/>
        <v>-65000000</v>
      </c>
      <c r="MFO69" s="61">
        <f t="shared" si="1679"/>
        <v>-65000000</v>
      </c>
      <c r="MFP69" s="61">
        <f t="shared" si="1679"/>
        <v>-65000000</v>
      </c>
      <c r="MFQ69" s="61">
        <f t="shared" si="1679"/>
        <v>-65000000</v>
      </c>
      <c r="MFR69" s="61">
        <f t="shared" si="1679"/>
        <v>-65000000</v>
      </c>
      <c r="MFS69" s="61">
        <f t="shared" si="1679"/>
        <v>-65000000</v>
      </c>
      <c r="MFT69" s="61">
        <f t="shared" si="1679"/>
        <v>-65000000</v>
      </c>
      <c r="MFU69" s="61">
        <f t="shared" si="1679"/>
        <v>-65000000</v>
      </c>
      <c r="MFV69" s="61">
        <f t="shared" si="1679"/>
        <v>-65000000</v>
      </c>
      <c r="MFW69" s="61">
        <f t="shared" si="1679"/>
        <v>-65000000</v>
      </c>
      <c r="MFX69" s="61">
        <f t="shared" si="1679"/>
        <v>-65000000</v>
      </c>
      <c r="MFY69" s="61">
        <f t="shared" si="1679"/>
        <v>-65000000</v>
      </c>
      <c r="MFZ69" s="61">
        <f t="shared" si="1679"/>
        <v>-65000000</v>
      </c>
      <c r="MGA69" s="61">
        <f t="shared" si="1679"/>
        <v>-65000000</v>
      </c>
      <c r="MGB69" s="61">
        <f t="shared" si="1679"/>
        <v>-65000000</v>
      </c>
      <c r="MGC69" s="61">
        <f t="shared" si="1679"/>
        <v>-65000000</v>
      </c>
      <c r="MGD69" s="61">
        <f t="shared" si="1679"/>
        <v>-65000000</v>
      </c>
      <c r="MGE69" s="61">
        <f t="shared" si="1679"/>
        <v>-65000000</v>
      </c>
      <c r="MGF69" s="61">
        <f t="shared" si="1679"/>
        <v>-65000000</v>
      </c>
      <c r="MGG69" s="61">
        <f t="shared" si="1679"/>
        <v>-65000000</v>
      </c>
      <c r="MGH69" s="61">
        <f t="shared" si="1679"/>
        <v>-65000000</v>
      </c>
      <c r="MGI69" s="61">
        <f t="shared" si="1679"/>
        <v>-65000000</v>
      </c>
      <c r="MGJ69" s="61">
        <f t="shared" si="1679"/>
        <v>-65000000</v>
      </c>
      <c r="MGK69" s="61">
        <f t="shared" si="1679"/>
        <v>-65000000</v>
      </c>
      <c r="MGL69" s="61">
        <f t="shared" si="1679"/>
        <v>-65000000</v>
      </c>
      <c r="MGM69" s="61">
        <f t="shared" si="1679"/>
        <v>-65000000</v>
      </c>
      <c r="MGN69" s="61">
        <f t="shared" si="1679"/>
        <v>-65000000</v>
      </c>
      <c r="MGO69" s="61">
        <f t="shared" si="1679"/>
        <v>-65000000</v>
      </c>
      <c r="MGP69" s="61">
        <f t="shared" si="1679"/>
        <v>-65000000</v>
      </c>
      <c r="MGQ69" s="61">
        <f t="shared" si="1679"/>
        <v>-65000000</v>
      </c>
      <c r="MGR69" s="61">
        <f t="shared" si="1679"/>
        <v>-65000000</v>
      </c>
      <c r="MGS69" s="61">
        <f t="shared" si="1679"/>
        <v>-65000000</v>
      </c>
      <c r="MGT69" s="61">
        <f t="shared" si="1679"/>
        <v>-65000000</v>
      </c>
      <c r="MGU69" s="61">
        <f t="shared" ref="MGU69:MJF69" si="1680">MGU68-$EC$11-MGU11</f>
        <v>-65000000</v>
      </c>
      <c r="MGV69" s="61">
        <f t="shared" si="1680"/>
        <v>-65000000</v>
      </c>
      <c r="MGW69" s="61">
        <f t="shared" si="1680"/>
        <v>-65000000</v>
      </c>
      <c r="MGX69" s="61">
        <f t="shared" si="1680"/>
        <v>-65000000</v>
      </c>
      <c r="MGY69" s="61">
        <f t="shared" si="1680"/>
        <v>-65000000</v>
      </c>
      <c r="MGZ69" s="61">
        <f t="shared" si="1680"/>
        <v>-65000000</v>
      </c>
      <c r="MHA69" s="61">
        <f t="shared" si="1680"/>
        <v>-65000000</v>
      </c>
      <c r="MHB69" s="61">
        <f t="shared" si="1680"/>
        <v>-65000000</v>
      </c>
      <c r="MHC69" s="61">
        <f t="shared" si="1680"/>
        <v>-65000000</v>
      </c>
      <c r="MHD69" s="61">
        <f t="shared" si="1680"/>
        <v>-65000000</v>
      </c>
      <c r="MHE69" s="61">
        <f t="shared" si="1680"/>
        <v>-65000000</v>
      </c>
      <c r="MHF69" s="61">
        <f t="shared" si="1680"/>
        <v>-65000000</v>
      </c>
      <c r="MHG69" s="61">
        <f t="shared" si="1680"/>
        <v>-65000000</v>
      </c>
      <c r="MHH69" s="61">
        <f t="shared" si="1680"/>
        <v>-65000000</v>
      </c>
      <c r="MHI69" s="61">
        <f t="shared" si="1680"/>
        <v>-65000000</v>
      </c>
      <c r="MHJ69" s="61">
        <f t="shared" si="1680"/>
        <v>-65000000</v>
      </c>
      <c r="MHK69" s="61">
        <f t="shared" si="1680"/>
        <v>-65000000</v>
      </c>
      <c r="MHL69" s="61">
        <f t="shared" si="1680"/>
        <v>-65000000</v>
      </c>
      <c r="MHM69" s="61">
        <f t="shared" si="1680"/>
        <v>-65000000</v>
      </c>
      <c r="MHN69" s="61">
        <f t="shared" si="1680"/>
        <v>-65000000</v>
      </c>
      <c r="MHO69" s="61">
        <f t="shared" si="1680"/>
        <v>-65000000</v>
      </c>
      <c r="MHP69" s="61">
        <f t="shared" si="1680"/>
        <v>-65000000</v>
      </c>
      <c r="MHQ69" s="61">
        <f t="shared" si="1680"/>
        <v>-65000000</v>
      </c>
      <c r="MHR69" s="61">
        <f t="shared" si="1680"/>
        <v>-65000000</v>
      </c>
      <c r="MHS69" s="61">
        <f t="shared" si="1680"/>
        <v>-65000000</v>
      </c>
      <c r="MHT69" s="61">
        <f t="shared" si="1680"/>
        <v>-65000000</v>
      </c>
      <c r="MHU69" s="61">
        <f t="shared" si="1680"/>
        <v>-65000000</v>
      </c>
      <c r="MHV69" s="61">
        <f t="shared" si="1680"/>
        <v>-65000000</v>
      </c>
      <c r="MHW69" s="61">
        <f t="shared" si="1680"/>
        <v>-65000000</v>
      </c>
      <c r="MHX69" s="61">
        <f t="shared" si="1680"/>
        <v>-65000000</v>
      </c>
      <c r="MHY69" s="61">
        <f t="shared" si="1680"/>
        <v>-65000000</v>
      </c>
      <c r="MHZ69" s="61">
        <f t="shared" si="1680"/>
        <v>-65000000</v>
      </c>
      <c r="MIA69" s="61">
        <f t="shared" si="1680"/>
        <v>-65000000</v>
      </c>
      <c r="MIB69" s="61">
        <f t="shared" si="1680"/>
        <v>-65000000</v>
      </c>
      <c r="MIC69" s="61">
        <f t="shared" si="1680"/>
        <v>-65000000</v>
      </c>
      <c r="MID69" s="61">
        <f t="shared" si="1680"/>
        <v>-65000000</v>
      </c>
      <c r="MIE69" s="61">
        <f t="shared" si="1680"/>
        <v>-65000000</v>
      </c>
      <c r="MIF69" s="61">
        <f t="shared" si="1680"/>
        <v>-65000000</v>
      </c>
      <c r="MIG69" s="61">
        <f t="shared" si="1680"/>
        <v>-65000000</v>
      </c>
      <c r="MIH69" s="61">
        <f t="shared" si="1680"/>
        <v>-65000000</v>
      </c>
      <c r="MII69" s="61">
        <f t="shared" si="1680"/>
        <v>-65000000</v>
      </c>
      <c r="MIJ69" s="61">
        <f t="shared" si="1680"/>
        <v>-65000000</v>
      </c>
      <c r="MIK69" s="61">
        <f t="shared" si="1680"/>
        <v>-65000000</v>
      </c>
      <c r="MIL69" s="61">
        <f t="shared" si="1680"/>
        <v>-65000000</v>
      </c>
      <c r="MIM69" s="61">
        <f t="shared" si="1680"/>
        <v>-65000000</v>
      </c>
      <c r="MIN69" s="61">
        <f t="shared" si="1680"/>
        <v>-65000000</v>
      </c>
      <c r="MIO69" s="61">
        <f t="shared" si="1680"/>
        <v>-65000000</v>
      </c>
      <c r="MIP69" s="61">
        <f t="shared" si="1680"/>
        <v>-65000000</v>
      </c>
      <c r="MIQ69" s="61">
        <f t="shared" si="1680"/>
        <v>-65000000</v>
      </c>
      <c r="MIR69" s="61">
        <f t="shared" si="1680"/>
        <v>-65000000</v>
      </c>
      <c r="MIS69" s="61">
        <f t="shared" si="1680"/>
        <v>-65000000</v>
      </c>
      <c r="MIT69" s="61">
        <f t="shared" si="1680"/>
        <v>-65000000</v>
      </c>
      <c r="MIU69" s="61">
        <f t="shared" si="1680"/>
        <v>-65000000</v>
      </c>
      <c r="MIV69" s="61">
        <f t="shared" si="1680"/>
        <v>-65000000</v>
      </c>
      <c r="MIW69" s="61">
        <f t="shared" si="1680"/>
        <v>-65000000</v>
      </c>
      <c r="MIX69" s="61">
        <f t="shared" si="1680"/>
        <v>-65000000</v>
      </c>
      <c r="MIY69" s="61">
        <f t="shared" si="1680"/>
        <v>-65000000</v>
      </c>
      <c r="MIZ69" s="61">
        <f t="shared" si="1680"/>
        <v>-65000000</v>
      </c>
      <c r="MJA69" s="61">
        <f t="shared" si="1680"/>
        <v>-65000000</v>
      </c>
      <c r="MJB69" s="61">
        <f t="shared" si="1680"/>
        <v>-65000000</v>
      </c>
      <c r="MJC69" s="61">
        <f t="shared" si="1680"/>
        <v>-65000000</v>
      </c>
      <c r="MJD69" s="61">
        <f t="shared" si="1680"/>
        <v>-65000000</v>
      </c>
      <c r="MJE69" s="61">
        <f t="shared" si="1680"/>
        <v>-65000000</v>
      </c>
      <c r="MJF69" s="61">
        <f t="shared" si="1680"/>
        <v>-65000000</v>
      </c>
      <c r="MJG69" s="61">
        <f t="shared" ref="MJG69:MLR69" si="1681">MJG68-$EC$11-MJG11</f>
        <v>-65000000</v>
      </c>
      <c r="MJH69" s="61">
        <f t="shared" si="1681"/>
        <v>-65000000</v>
      </c>
      <c r="MJI69" s="61">
        <f t="shared" si="1681"/>
        <v>-65000000</v>
      </c>
      <c r="MJJ69" s="61">
        <f t="shared" si="1681"/>
        <v>-65000000</v>
      </c>
      <c r="MJK69" s="61">
        <f t="shared" si="1681"/>
        <v>-65000000</v>
      </c>
      <c r="MJL69" s="61">
        <f t="shared" si="1681"/>
        <v>-65000000</v>
      </c>
      <c r="MJM69" s="61">
        <f t="shared" si="1681"/>
        <v>-65000000</v>
      </c>
      <c r="MJN69" s="61">
        <f t="shared" si="1681"/>
        <v>-65000000</v>
      </c>
      <c r="MJO69" s="61">
        <f t="shared" si="1681"/>
        <v>-65000000</v>
      </c>
      <c r="MJP69" s="61">
        <f t="shared" si="1681"/>
        <v>-65000000</v>
      </c>
      <c r="MJQ69" s="61">
        <f t="shared" si="1681"/>
        <v>-65000000</v>
      </c>
      <c r="MJR69" s="61">
        <f t="shared" si="1681"/>
        <v>-65000000</v>
      </c>
      <c r="MJS69" s="61">
        <f t="shared" si="1681"/>
        <v>-65000000</v>
      </c>
      <c r="MJT69" s="61">
        <f t="shared" si="1681"/>
        <v>-65000000</v>
      </c>
      <c r="MJU69" s="61">
        <f t="shared" si="1681"/>
        <v>-65000000</v>
      </c>
      <c r="MJV69" s="61">
        <f t="shared" si="1681"/>
        <v>-65000000</v>
      </c>
      <c r="MJW69" s="61">
        <f t="shared" si="1681"/>
        <v>-65000000</v>
      </c>
      <c r="MJX69" s="61">
        <f t="shared" si="1681"/>
        <v>-65000000</v>
      </c>
      <c r="MJY69" s="61">
        <f t="shared" si="1681"/>
        <v>-65000000</v>
      </c>
      <c r="MJZ69" s="61">
        <f t="shared" si="1681"/>
        <v>-65000000</v>
      </c>
      <c r="MKA69" s="61">
        <f t="shared" si="1681"/>
        <v>-65000000</v>
      </c>
      <c r="MKB69" s="61">
        <f t="shared" si="1681"/>
        <v>-65000000</v>
      </c>
      <c r="MKC69" s="61">
        <f t="shared" si="1681"/>
        <v>-65000000</v>
      </c>
      <c r="MKD69" s="61">
        <f t="shared" si="1681"/>
        <v>-65000000</v>
      </c>
      <c r="MKE69" s="61">
        <f t="shared" si="1681"/>
        <v>-65000000</v>
      </c>
      <c r="MKF69" s="61">
        <f t="shared" si="1681"/>
        <v>-65000000</v>
      </c>
      <c r="MKG69" s="61">
        <f t="shared" si="1681"/>
        <v>-65000000</v>
      </c>
      <c r="MKH69" s="61">
        <f t="shared" si="1681"/>
        <v>-65000000</v>
      </c>
      <c r="MKI69" s="61">
        <f t="shared" si="1681"/>
        <v>-65000000</v>
      </c>
      <c r="MKJ69" s="61">
        <f t="shared" si="1681"/>
        <v>-65000000</v>
      </c>
      <c r="MKK69" s="61">
        <f t="shared" si="1681"/>
        <v>-65000000</v>
      </c>
      <c r="MKL69" s="61">
        <f t="shared" si="1681"/>
        <v>-65000000</v>
      </c>
      <c r="MKM69" s="61">
        <f t="shared" si="1681"/>
        <v>-65000000</v>
      </c>
      <c r="MKN69" s="61">
        <f t="shared" si="1681"/>
        <v>-65000000</v>
      </c>
      <c r="MKO69" s="61">
        <f t="shared" si="1681"/>
        <v>-65000000</v>
      </c>
      <c r="MKP69" s="61">
        <f t="shared" si="1681"/>
        <v>-65000000</v>
      </c>
      <c r="MKQ69" s="61">
        <f t="shared" si="1681"/>
        <v>-65000000</v>
      </c>
      <c r="MKR69" s="61">
        <f t="shared" si="1681"/>
        <v>-65000000</v>
      </c>
      <c r="MKS69" s="61">
        <f t="shared" si="1681"/>
        <v>-65000000</v>
      </c>
      <c r="MKT69" s="61">
        <f t="shared" si="1681"/>
        <v>-65000000</v>
      </c>
      <c r="MKU69" s="61">
        <f t="shared" si="1681"/>
        <v>-65000000</v>
      </c>
      <c r="MKV69" s="61">
        <f t="shared" si="1681"/>
        <v>-65000000</v>
      </c>
      <c r="MKW69" s="61">
        <f t="shared" si="1681"/>
        <v>-65000000</v>
      </c>
      <c r="MKX69" s="61">
        <f t="shared" si="1681"/>
        <v>-65000000</v>
      </c>
      <c r="MKY69" s="61">
        <f t="shared" si="1681"/>
        <v>-65000000</v>
      </c>
      <c r="MKZ69" s="61">
        <f t="shared" si="1681"/>
        <v>-65000000</v>
      </c>
      <c r="MLA69" s="61">
        <f t="shared" si="1681"/>
        <v>-65000000</v>
      </c>
      <c r="MLB69" s="61">
        <f t="shared" si="1681"/>
        <v>-65000000</v>
      </c>
      <c r="MLC69" s="61">
        <f t="shared" si="1681"/>
        <v>-65000000</v>
      </c>
      <c r="MLD69" s="61">
        <f t="shared" si="1681"/>
        <v>-65000000</v>
      </c>
      <c r="MLE69" s="61">
        <f t="shared" si="1681"/>
        <v>-65000000</v>
      </c>
      <c r="MLF69" s="61">
        <f t="shared" si="1681"/>
        <v>-65000000</v>
      </c>
      <c r="MLG69" s="61">
        <f t="shared" si="1681"/>
        <v>-65000000</v>
      </c>
      <c r="MLH69" s="61">
        <f t="shared" si="1681"/>
        <v>-65000000</v>
      </c>
      <c r="MLI69" s="61">
        <f t="shared" si="1681"/>
        <v>-65000000</v>
      </c>
      <c r="MLJ69" s="61">
        <f t="shared" si="1681"/>
        <v>-65000000</v>
      </c>
      <c r="MLK69" s="61">
        <f t="shared" si="1681"/>
        <v>-65000000</v>
      </c>
      <c r="MLL69" s="61">
        <f t="shared" si="1681"/>
        <v>-65000000</v>
      </c>
      <c r="MLM69" s="61">
        <f t="shared" si="1681"/>
        <v>-65000000</v>
      </c>
      <c r="MLN69" s="61">
        <f t="shared" si="1681"/>
        <v>-65000000</v>
      </c>
      <c r="MLO69" s="61">
        <f t="shared" si="1681"/>
        <v>-65000000</v>
      </c>
      <c r="MLP69" s="61">
        <f t="shared" si="1681"/>
        <v>-65000000</v>
      </c>
      <c r="MLQ69" s="61">
        <f t="shared" si="1681"/>
        <v>-65000000</v>
      </c>
      <c r="MLR69" s="61">
        <f t="shared" si="1681"/>
        <v>-65000000</v>
      </c>
      <c r="MLS69" s="61">
        <f t="shared" ref="MLS69:MOD69" si="1682">MLS68-$EC$11-MLS11</f>
        <v>-65000000</v>
      </c>
      <c r="MLT69" s="61">
        <f t="shared" si="1682"/>
        <v>-65000000</v>
      </c>
      <c r="MLU69" s="61">
        <f t="shared" si="1682"/>
        <v>-65000000</v>
      </c>
      <c r="MLV69" s="61">
        <f t="shared" si="1682"/>
        <v>-65000000</v>
      </c>
      <c r="MLW69" s="61">
        <f t="shared" si="1682"/>
        <v>-65000000</v>
      </c>
      <c r="MLX69" s="61">
        <f t="shared" si="1682"/>
        <v>-65000000</v>
      </c>
      <c r="MLY69" s="61">
        <f t="shared" si="1682"/>
        <v>-65000000</v>
      </c>
      <c r="MLZ69" s="61">
        <f t="shared" si="1682"/>
        <v>-65000000</v>
      </c>
      <c r="MMA69" s="61">
        <f t="shared" si="1682"/>
        <v>-65000000</v>
      </c>
      <c r="MMB69" s="61">
        <f t="shared" si="1682"/>
        <v>-65000000</v>
      </c>
      <c r="MMC69" s="61">
        <f t="shared" si="1682"/>
        <v>-65000000</v>
      </c>
      <c r="MMD69" s="61">
        <f t="shared" si="1682"/>
        <v>-65000000</v>
      </c>
      <c r="MME69" s="61">
        <f t="shared" si="1682"/>
        <v>-65000000</v>
      </c>
      <c r="MMF69" s="61">
        <f t="shared" si="1682"/>
        <v>-65000000</v>
      </c>
      <c r="MMG69" s="61">
        <f t="shared" si="1682"/>
        <v>-65000000</v>
      </c>
      <c r="MMH69" s="61">
        <f t="shared" si="1682"/>
        <v>-65000000</v>
      </c>
      <c r="MMI69" s="61">
        <f t="shared" si="1682"/>
        <v>-65000000</v>
      </c>
      <c r="MMJ69" s="61">
        <f t="shared" si="1682"/>
        <v>-65000000</v>
      </c>
      <c r="MMK69" s="61">
        <f t="shared" si="1682"/>
        <v>-65000000</v>
      </c>
      <c r="MML69" s="61">
        <f t="shared" si="1682"/>
        <v>-65000000</v>
      </c>
      <c r="MMM69" s="61">
        <f t="shared" si="1682"/>
        <v>-65000000</v>
      </c>
      <c r="MMN69" s="61">
        <f t="shared" si="1682"/>
        <v>-65000000</v>
      </c>
      <c r="MMO69" s="61">
        <f t="shared" si="1682"/>
        <v>-65000000</v>
      </c>
      <c r="MMP69" s="61">
        <f t="shared" si="1682"/>
        <v>-65000000</v>
      </c>
      <c r="MMQ69" s="61">
        <f t="shared" si="1682"/>
        <v>-65000000</v>
      </c>
      <c r="MMR69" s="61">
        <f t="shared" si="1682"/>
        <v>-65000000</v>
      </c>
      <c r="MMS69" s="61">
        <f t="shared" si="1682"/>
        <v>-65000000</v>
      </c>
      <c r="MMT69" s="61">
        <f t="shared" si="1682"/>
        <v>-65000000</v>
      </c>
      <c r="MMU69" s="61">
        <f t="shared" si="1682"/>
        <v>-65000000</v>
      </c>
      <c r="MMV69" s="61">
        <f t="shared" si="1682"/>
        <v>-65000000</v>
      </c>
      <c r="MMW69" s="61">
        <f t="shared" si="1682"/>
        <v>-65000000</v>
      </c>
      <c r="MMX69" s="61">
        <f t="shared" si="1682"/>
        <v>-65000000</v>
      </c>
      <c r="MMY69" s="61">
        <f t="shared" si="1682"/>
        <v>-65000000</v>
      </c>
      <c r="MMZ69" s="61">
        <f t="shared" si="1682"/>
        <v>-65000000</v>
      </c>
      <c r="MNA69" s="61">
        <f t="shared" si="1682"/>
        <v>-65000000</v>
      </c>
      <c r="MNB69" s="61">
        <f t="shared" si="1682"/>
        <v>-65000000</v>
      </c>
      <c r="MNC69" s="61">
        <f t="shared" si="1682"/>
        <v>-65000000</v>
      </c>
      <c r="MND69" s="61">
        <f t="shared" si="1682"/>
        <v>-65000000</v>
      </c>
      <c r="MNE69" s="61">
        <f t="shared" si="1682"/>
        <v>-65000000</v>
      </c>
      <c r="MNF69" s="61">
        <f t="shared" si="1682"/>
        <v>-65000000</v>
      </c>
      <c r="MNG69" s="61">
        <f t="shared" si="1682"/>
        <v>-65000000</v>
      </c>
      <c r="MNH69" s="61">
        <f t="shared" si="1682"/>
        <v>-65000000</v>
      </c>
      <c r="MNI69" s="61">
        <f t="shared" si="1682"/>
        <v>-65000000</v>
      </c>
      <c r="MNJ69" s="61">
        <f t="shared" si="1682"/>
        <v>-65000000</v>
      </c>
      <c r="MNK69" s="61">
        <f t="shared" si="1682"/>
        <v>-65000000</v>
      </c>
      <c r="MNL69" s="61">
        <f t="shared" si="1682"/>
        <v>-65000000</v>
      </c>
      <c r="MNM69" s="61">
        <f t="shared" si="1682"/>
        <v>-65000000</v>
      </c>
      <c r="MNN69" s="61">
        <f t="shared" si="1682"/>
        <v>-65000000</v>
      </c>
      <c r="MNO69" s="61">
        <f t="shared" si="1682"/>
        <v>-65000000</v>
      </c>
      <c r="MNP69" s="61">
        <f t="shared" si="1682"/>
        <v>-65000000</v>
      </c>
      <c r="MNQ69" s="61">
        <f t="shared" si="1682"/>
        <v>-65000000</v>
      </c>
      <c r="MNR69" s="61">
        <f t="shared" si="1682"/>
        <v>-65000000</v>
      </c>
      <c r="MNS69" s="61">
        <f t="shared" si="1682"/>
        <v>-65000000</v>
      </c>
      <c r="MNT69" s="61">
        <f t="shared" si="1682"/>
        <v>-65000000</v>
      </c>
      <c r="MNU69" s="61">
        <f t="shared" si="1682"/>
        <v>-65000000</v>
      </c>
      <c r="MNV69" s="61">
        <f t="shared" si="1682"/>
        <v>-65000000</v>
      </c>
      <c r="MNW69" s="61">
        <f t="shared" si="1682"/>
        <v>-65000000</v>
      </c>
      <c r="MNX69" s="61">
        <f t="shared" si="1682"/>
        <v>-65000000</v>
      </c>
      <c r="MNY69" s="61">
        <f t="shared" si="1682"/>
        <v>-65000000</v>
      </c>
      <c r="MNZ69" s="61">
        <f t="shared" si="1682"/>
        <v>-65000000</v>
      </c>
      <c r="MOA69" s="61">
        <f t="shared" si="1682"/>
        <v>-65000000</v>
      </c>
      <c r="MOB69" s="61">
        <f t="shared" si="1682"/>
        <v>-65000000</v>
      </c>
      <c r="MOC69" s="61">
        <f t="shared" si="1682"/>
        <v>-65000000</v>
      </c>
      <c r="MOD69" s="61">
        <f t="shared" si="1682"/>
        <v>-65000000</v>
      </c>
      <c r="MOE69" s="61">
        <f t="shared" ref="MOE69:MQP69" si="1683">MOE68-$EC$11-MOE11</f>
        <v>-65000000</v>
      </c>
      <c r="MOF69" s="61">
        <f t="shared" si="1683"/>
        <v>-65000000</v>
      </c>
      <c r="MOG69" s="61">
        <f t="shared" si="1683"/>
        <v>-65000000</v>
      </c>
      <c r="MOH69" s="61">
        <f t="shared" si="1683"/>
        <v>-65000000</v>
      </c>
      <c r="MOI69" s="61">
        <f t="shared" si="1683"/>
        <v>-65000000</v>
      </c>
      <c r="MOJ69" s="61">
        <f t="shared" si="1683"/>
        <v>-65000000</v>
      </c>
      <c r="MOK69" s="61">
        <f t="shared" si="1683"/>
        <v>-65000000</v>
      </c>
      <c r="MOL69" s="61">
        <f t="shared" si="1683"/>
        <v>-65000000</v>
      </c>
      <c r="MOM69" s="61">
        <f t="shared" si="1683"/>
        <v>-65000000</v>
      </c>
      <c r="MON69" s="61">
        <f t="shared" si="1683"/>
        <v>-65000000</v>
      </c>
      <c r="MOO69" s="61">
        <f t="shared" si="1683"/>
        <v>-65000000</v>
      </c>
      <c r="MOP69" s="61">
        <f t="shared" si="1683"/>
        <v>-65000000</v>
      </c>
      <c r="MOQ69" s="61">
        <f t="shared" si="1683"/>
        <v>-65000000</v>
      </c>
      <c r="MOR69" s="61">
        <f t="shared" si="1683"/>
        <v>-65000000</v>
      </c>
      <c r="MOS69" s="61">
        <f t="shared" si="1683"/>
        <v>-65000000</v>
      </c>
      <c r="MOT69" s="61">
        <f t="shared" si="1683"/>
        <v>-65000000</v>
      </c>
      <c r="MOU69" s="61">
        <f t="shared" si="1683"/>
        <v>-65000000</v>
      </c>
      <c r="MOV69" s="61">
        <f t="shared" si="1683"/>
        <v>-65000000</v>
      </c>
      <c r="MOW69" s="61">
        <f t="shared" si="1683"/>
        <v>-65000000</v>
      </c>
      <c r="MOX69" s="61">
        <f t="shared" si="1683"/>
        <v>-65000000</v>
      </c>
      <c r="MOY69" s="61">
        <f t="shared" si="1683"/>
        <v>-65000000</v>
      </c>
      <c r="MOZ69" s="61">
        <f t="shared" si="1683"/>
        <v>-65000000</v>
      </c>
      <c r="MPA69" s="61">
        <f t="shared" si="1683"/>
        <v>-65000000</v>
      </c>
      <c r="MPB69" s="61">
        <f t="shared" si="1683"/>
        <v>-65000000</v>
      </c>
      <c r="MPC69" s="61">
        <f t="shared" si="1683"/>
        <v>-65000000</v>
      </c>
      <c r="MPD69" s="61">
        <f t="shared" si="1683"/>
        <v>-65000000</v>
      </c>
      <c r="MPE69" s="61">
        <f t="shared" si="1683"/>
        <v>-65000000</v>
      </c>
      <c r="MPF69" s="61">
        <f t="shared" si="1683"/>
        <v>-65000000</v>
      </c>
      <c r="MPG69" s="61">
        <f t="shared" si="1683"/>
        <v>-65000000</v>
      </c>
      <c r="MPH69" s="61">
        <f t="shared" si="1683"/>
        <v>-65000000</v>
      </c>
      <c r="MPI69" s="61">
        <f t="shared" si="1683"/>
        <v>-65000000</v>
      </c>
      <c r="MPJ69" s="61">
        <f t="shared" si="1683"/>
        <v>-65000000</v>
      </c>
      <c r="MPK69" s="61">
        <f t="shared" si="1683"/>
        <v>-65000000</v>
      </c>
      <c r="MPL69" s="61">
        <f t="shared" si="1683"/>
        <v>-65000000</v>
      </c>
      <c r="MPM69" s="61">
        <f t="shared" si="1683"/>
        <v>-65000000</v>
      </c>
      <c r="MPN69" s="61">
        <f t="shared" si="1683"/>
        <v>-65000000</v>
      </c>
      <c r="MPO69" s="61">
        <f t="shared" si="1683"/>
        <v>-65000000</v>
      </c>
      <c r="MPP69" s="61">
        <f t="shared" si="1683"/>
        <v>-65000000</v>
      </c>
      <c r="MPQ69" s="61">
        <f t="shared" si="1683"/>
        <v>-65000000</v>
      </c>
      <c r="MPR69" s="61">
        <f t="shared" si="1683"/>
        <v>-65000000</v>
      </c>
      <c r="MPS69" s="61">
        <f t="shared" si="1683"/>
        <v>-65000000</v>
      </c>
      <c r="MPT69" s="61">
        <f t="shared" si="1683"/>
        <v>-65000000</v>
      </c>
      <c r="MPU69" s="61">
        <f t="shared" si="1683"/>
        <v>-65000000</v>
      </c>
      <c r="MPV69" s="61">
        <f t="shared" si="1683"/>
        <v>-65000000</v>
      </c>
      <c r="MPW69" s="61">
        <f t="shared" si="1683"/>
        <v>-65000000</v>
      </c>
      <c r="MPX69" s="61">
        <f t="shared" si="1683"/>
        <v>-65000000</v>
      </c>
      <c r="MPY69" s="61">
        <f t="shared" si="1683"/>
        <v>-65000000</v>
      </c>
      <c r="MPZ69" s="61">
        <f t="shared" si="1683"/>
        <v>-65000000</v>
      </c>
      <c r="MQA69" s="61">
        <f t="shared" si="1683"/>
        <v>-65000000</v>
      </c>
      <c r="MQB69" s="61">
        <f t="shared" si="1683"/>
        <v>-65000000</v>
      </c>
      <c r="MQC69" s="61">
        <f t="shared" si="1683"/>
        <v>-65000000</v>
      </c>
      <c r="MQD69" s="61">
        <f t="shared" si="1683"/>
        <v>-65000000</v>
      </c>
      <c r="MQE69" s="61">
        <f t="shared" si="1683"/>
        <v>-65000000</v>
      </c>
      <c r="MQF69" s="61">
        <f t="shared" si="1683"/>
        <v>-65000000</v>
      </c>
      <c r="MQG69" s="61">
        <f t="shared" si="1683"/>
        <v>-65000000</v>
      </c>
      <c r="MQH69" s="61">
        <f t="shared" si="1683"/>
        <v>-65000000</v>
      </c>
      <c r="MQI69" s="61">
        <f t="shared" si="1683"/>
        <v>-65000000</v>
      </c>
      <c r="MQJ69" s="61">
        <f t="shared" si="1683"/>
        <v>-65000000</v>
      </c>
      <c r="MQK69" s="61">
        <f t="shared" si="1683"/>
        <v>-65000000</v>
      </c>
      <c r="MQL69" s="61">
        <f t="shared" si="1683"/>
        <v>-65000000</v>
      </c>
      <c r="MQM69" s="61">
        <f t="shared" si="1683"/>
        <v>-65000000</v>
      </c>
      <c r="MQN69" s="61">
        <f t="shared" si="1683"/>
        <v>-65000000</v>
      </c>
      <c r="MQO69" s="61">
        <f t="shared" si="1683"/>
        <v>-65000000</v>
      </c>
      <c r="MQP69" s="61">
        <f t="shared" si="1683"/>
        <v>-65000000</v>
      </c>
      <c r="MQQ69" s="61">
        <f t="shared" ref="MQQ69:MTB69" si="1684">MQQ68-$EC$11-MQQ11</f>
        <v>-65000000</v>
      </c>
      <c r="MQR69" s="61">
        <f t="shared" si="1684"/>
        <v>-65000000</v>
      </c>
      <c r="MQS69" s="61">
        <f t="shared" si="1684"/>
        <v>-65000000</v>
      </c>
      <c r="MQT69" s="61">
        <f t="shared" si="1684"/>
        <v>-65000000</v>
      </c>
      <c r="MQU69" s="61">
        <f t="shared" si="1684"/>
        <v>-65000000</v>
      </c>
      <c r="MQV69" s="61">
        <f t="shared" si="1684"/>
        <v>-65000000</v>
      </c>
      <c r="MQW69" s="61">
        <f t="shared" si="1684"/>
        <v>-65000000</v>
      </c>
      <c r="MQX69" s="61">
        <f t="shared" si="1684"/>
        <v>-65000000</v>
      </c>
      <c r="MQY69" s="61">
        <f t="shared" si="1684"/>
        <v>-65000000</v>
      </c>
      <c r="MQZ69" s="61">
        <f t="shared" si="1684"/>
        <v>-65000000</v>
      </c>
      <c r="MRA69" s="61">
        <f t="shared" si="1684"/>
        <v>-65000000</v>
      </c>
      <c r="MRB69" s="61">
        <f t="shared" si="1684"/>
        <v>-65000000</v>
      </c>
      <c r="MRC69" s="61">
        <f t="shared" si="1684"/>
        <v>-65000000</v>
      </c>
      <c r="MRD69" s="61">
        <f t="shared" si="1684"/>
        <v>-65000000</v>
      </c>
      <c r="MRE69" s="61">
        <f t="shared" si="1684"/>
        <v>-65000000</v>
      </c>
      <c r="MRF69" s="61">
        <f t="shared" si="1684"/>
        <v>-65000000</v>
      </c>
      <c r="MRG69" s="61">
        <f t="shared" si="1684"/>
        <v>-65000000</v>
      </c>
      <c r="MRH69" s="61">
        <f t="shared" si="1684"/>
        <v>-65000000</v>
      </c>
      <c r="MRI69" s="61">
        <f t="shared" si="1684"/>
        <v>-65000000</v>
      </c>
      <c r="MRJ69" s="61">
        <f t="shared" si="1684"/>
        <v>-65000000</v>
      </c>
      <c r="MRK69" s="61">
        <f t="shared" si="1684"/>
        <v>-65000000</v>
      </c>
      <c r="MRL69" s="61">
        <f t="shared" si="1684"/>
        <v>-65000000</v>
      </c>
      <c r="MRM69" s="61">
        <f t="shared" si="1684"/>
        <v>-65000000</v>
      </c>
      <c r="MRN69" s="61">
        <f t="shared" si="1684"/>
        <v>-65000000</v>
      </c>
      <c r="MRO69" s="61">
        <f t="shared" si="1684"/>
        <v>-65000000</v>
      </c>
      <c r="MRP69" s="61">
        <f t="shared" si="1684"/>
        <v>-65000000</v>
      </c>
      <c r="MRQ69" s="61">
        <f t="shared" si="1684"/>
        <v>-65000000</v>
      </c>
      <c r="MRR69" s="61">
        <f t="shared" si="1684"/>
        <v>-65000000</v>
      </c>
      <c r="MRS69" s="61">
        <f t="shared" si="1684"/>
        <v>-65000000</v>
      </c>
      <c r="MRT69" s="61">
        <f t="shared" si="1684"/>
        <v>-65000000</v>
      </c>
      <c r="MRU69" s="61">
        <f t="shared" si="1684"/>
        <v>-65000000</v>
      </c>
      <c r="MRV69" s="61">
        <f t="shared" si="1684"/>
        <v>-65000000</v>
      </c>
      <c r="MRW69" s="61">
        <f t="shared" si="1684"/>
        <v>-65000000</v>
      </c>
      <c r="MRX69" s="61">
        <f t="shared" si="1684"/>
        <v>-65000000</v>
      </c>
      <c r="MRY69" s="61">
        <f t="shared" si="1684"/>
        <v>-65000000</v>
      </c>
      <c r="MRZ69" s="61">
        <f t="shared" si="1684"/>
        <v>-65000000</v>
      </c>
      <c r="MSA69" s="61">
        <f t="shared" si="1684"/>
        <v>-65000000</v>
      </c>
      <c r="MSB69" s="61">
        <f t="shared" si="1684"/>
        <v>-65000000</v>
      </c>
      <c r="MSC69" s="61">
        <f t="shared" si="1684"/>
        <v>-65000000</v>
      </c>
      <c r="MSD69" s="61">
        <f t="shared" si="1684"/>
        <v>-65000000</v>
      </c>
      <c r="MSE69" s="61">
        <f t="shared" si="1684"/>
        <v>-65000000</v>
      </c>
      <c r="MSF69" s="61">
        <f t="shared" si="1684"/>
        <v>-65000000</v>
      </c>
      <c r="MSG69" s="61">
        <f t="shared" si="1684"/>
        <v>-65000000</v>
      </c>
      <c r="MSH69" s="61">
        <f t="shared" si="1684"/>
        <v>-65000000</v>
      </c>
      <c r="MSI69" s="61">
        <f t="shared" si="1684"/>
        <v>-65000000</v>
      </c>
      <c r="MSJ69" s="61">
        <f t="shared" si="1684"/>
        <v>-65000000</v>
      </c>
      <c r="MSK69" s="61">
        <f t="shared" si="1684"/>
        <v>-65000000</v>
      </c>
      <c r="MSL69" s="61">
        <f t="shared" si="1684"/>
        <v>-65000000</v>
      </c>
      <c r="MSM69" s="61">
        <f t="shared" si="1684"/>
        <v>-65000000</v>
      </c>
      <c r="MSN69" s="61">
        <f t="shared" si="1684"/>
        <v>-65000000</v>
      </c>
      <c r="MSO69" s="61">
        <f t="shared" si="1684"/>
        <v>-65000000</v>
      </c>
      <c r="MSP69" s="61">
        <f t="shared" si="1684"/>
        <v>-65000000</v>
      </c>
      <c r="MSQ69" s="61">
        <f t="shared" si="1684"/>
        <v>-65000000</v>
      </c>
      <c r="MSR69" s="61">
        <f t="shared" si="1684"/>
        <v>-65000000</v>
      </c>
      <c r="MSS69" s="61">
        <f t="shared" si="1684"/>
        <v>-65000000</v>
      </c>
      <c r="MST69" s="61">
        <f t="shared" si="1684"/>
        <v>-65000000</v>
      </c>
      <c r="MSU69" s="61">
        <f t="shared" si="1684"/>
        <v>-65000000</v>
      </c>
      <c r="MSV69" s="61">
        <f t="shared" si="1684"/>
        <v>-65000000</v>
      </c>
      <c r="MSW69" s="61">
        <f t="shared" si="1684"/>
        <v>-65000000</v>
      </c>
      <c r="MSX69" s="61">
        <f t="shared" si="1684"/>
        <v>-65000000</v>
      </c>
      <c r="MSY69" s="61">
        <f t="shared" si="1684"/>
        <v>-65000000</v>
      </c>
      <c r="MSZ69" s="61">
        <f t="shared" si="1684"/>
        <v>-65000000</v>
      </c>
      <c r="MTA69" s="61">
        <f t="shared" si="1684"/>
        <v>-65000000</v>
      </c>
      <c r="MTB69" s="61">
        <f t="shared" si="1684"/>
        <v>-65000000</v>
      </c>
      <c r="MTC69" s="61">
        <f t="shared" ref="MTC69:MVN69" si="1685">MTC68-$EC$11-MTC11</f>
        <v>-65000000</v>
      </c>
      <c r="MTD69" s="61">
        <f t="shared" si="1685"/>
        <v>-65000000</v>
      </c>
      <c r="MTE69" s="61">
        <f t="shared" si="1685"/>
        <v>-65000000</v>
      </c>
      <c r="MTF69" s="61">
        <f t="shared" si="1685"/>
        <v>-65000000</v>
      </c>
      <c r="MTG69" s="61">
        <f t="shared" si="1685"/>
        <v>-65000000</v>
      </c>
      <c r="MTH69" s="61">
        <f t="shared" si="1685"/>
        <v>-65000000</v>
      </c>
      <c r="MTI69" s="61">
        <f t="shared" si="1685"/>
        <v>-65000000</v>
      </c>
      <c r="MTJ69" s="61">
        <f t="shared" si="1685"/>
        <v>-65000000</v>
      </c>
      <c r="MTK69" s="61">
        <f t="shared" si="1685"/>
        <v>-65000000</v>
      </c>
      <c r="MTL69" s="61">
        <f t="shared" si="1685"/>
        <v>-65000000</v>
      </c>
      <c r="MTM69" s="61">
        <f t="shared" si="1685"/>
        <v>-65000000</v>
      </c>
      <c r="MTN69" s="61">
        <f t="shared" si="1685"/>
        <v>-65000000</v>
      </c>
      <c r="MTO69" s="61">
        <f t="shared" si="1685"/>
        <v>-65000000</v>
      </c>
      <c r="MTP69" s="61">
        <f t="shared" si="1685"/>
        <v>-65000000</v>
      </c>
      <c r="MTQ69" s="61">
        <f t="shared" si="1685"/>
        <v>-65000000</v>
      </c>
      <c r="MTR69" s="61">
        <f t="shared" si="1685"/>
        <v>-65000000</v>
      </c>
      <c r="MTS69" s="61">
        <f t="shared" si="1685"/>
        <v>-65000000</v>
      </c>
      <c r="MTT69" s="61">
        <f t="shared" si="1685"/>
        <v>-65000000</v>
      </c>
      <c r="MTU69" s="61">
        <f t="shared" si="1685"/>
        <v>-65000000</v>
      </c>
      <c r="MTV69" s="61">
        <f t="shared" si="1685"/>
        <v>-65000000</v>
      </c>
      <c r="MTW69" s="61">
        <f t="shared" si="1685"/>
        <v>-65000000</v>
      </c>
      <c r="MTX69" s="61">
        <f t="shared" si="1685"/>
        <v>-65000000</v>
      </c>
      <c r="MTY69" s="61">
        <f t="shared" si="1685"/>
        <v>-65000000</v>
      </c>
      <c r="MTZ69" s="61">
        <f t="shared" si="1685"/>
        <v>-65000000</v>
      </c>
      <c r="MUA69" s="61">
        <f t="shared" si="1685"/>
        <v>-65000000</v>
      </c>
      <c r="MUB69" s="61">
        <f t="shared" si="1685"/>
        <v>-65000000</v>
      </c>
      <c r="MUC69" s="61">
        <f t="shared" si="1685"/>
        <v>-65000000</v>
      </c>
      <c r="MUD69" s="61">
        <f t="shared" si="1685"/>
        <v>-65000000</v>
      </c>
      <c r="MUE69" s="61">
        <f t="shared" si="1685"/>
        <v>-65000000</v>
      </c>
      <c r="MUF69" s="61">
        <f t="shared" si="1685"/>
        <v>-65000000</v>
      </c>
      <c r="MUG69" s="61">
        <f t="shared" si="1685"/>
        <v>-65000000</v>
      </c>
      <c r="MUH69" s="61">
        <f t="shared" si="1685"/>
        <v>-65000000</v>
      </c>
      <c r="MUI69" s="61">
        <f t="shared" si="1685"/>
        <v>-65000000</v>
      </c>
      <c r="MUJ69" s="61">
        <f t="shared" si="1685"/>
        <v>-65000000</v>
      </c>
      <c r="MUK69" s="61">
        <f t="shared" si="1685"/>
        <v>-65000000</v>
      </c>
      <c r="MUL69" s="61">
        <f t="shared" si="1685"/>
        <v>-65000000</v>
      </c>
      <c r="MUM69" s="61">
        <f t="shared" si="1685"/>
        <v>-65000000</v>
      </c>
      <c r="MUN69" s="61">
        <f t="shared" si="1685"/>
        <v>-65000000</v>
      </c>
      <c r="MUO69" s="61">
        <f t="shared" si="1685"/>
        <v>-65000000</v>
      </c>
      <c r="MUP69" s="61">
        <f t="shared" si="1685"/>
        <v>-65000000</v>
      </c>
      <c r="MUQ69" s="61">
        <f t="shared" si="1685"/>
        <v>-65000000</v>
      </c>
      <c r="MUR69" s="61">
        <f t="shared" si="1685"/>
        <v>-65000000</v>
      </c>
      <c r="MUS69" s="61">
        <f t="shared" si="1685"/>
        <v>-65000000</v>
      </c>
      <c r="MUT69" s="61">
        <f t="shared" si="1685"/>
        <v>-65000000</v>
      </c>
      <c r="MUU69" s="61">
        <f t="shared" si="1685"/>
        <v>-65000000</v>
      </c>
      <c r="MUV69" s="61">
        <f t="shared" si="1685"/>
        <v>-65000000</v>
      </c>
      <c r="MUW69" s="61">
        <f t="shared" si="1685"/>
        <v>-65000000</v>
      </c>
      <c r="MUX69" s="61">
        <f t="shared" si="1685"/>
        <v>-65000000</v>
      </c>
      <c r="MUY69" s="61">
        <f t="shared" si="1685"/>
        <v>-65000000</v>
      </c>
      <c r="MUZ69" s="61">
        <f t="shared" si="1685"/>
        <v>-65000000</v>
      </c>
      <c r="MVA69" s="61">
        <f t="shared" si="1685"/>
        <v>-65000000</v>
      </c>
      <c r="MVB69" s="61">
        <f t="shared" si="1685"/>
        <v>-65000000</v>
      </c>
      <c r="MVC69" s="61">
        <f t="shared" si="1685"/>
        <v>-65000000</v>
      </c>
      <c r="MVD69" s="61">
        <f t="shared" si="1685"/>
        <v>-65000000</v>
      </c>
      <c r="MVE69" s="61">
        <f t="shared" si="1685"/>
        <v>-65000000</v>
      </c>
      <c r="MVF69" s="61">
        <f t="shared" si="1685"/>
        <v>-65000000</v>
      </c>
      <c r="MVG69" s="61">
        <f t="shared" si="1685"/>
        <v>-65000000</v>
      </c>
      <c r="MVH69" s="61">
        <f t="shared" si="1685"/>
        <v>-65000000</v>
      </c>
      <c r="MVI69" s="61">
        <f t="shared" si="1685"/>
        <v>-65000000</v>
      </c>
      <c r="MVJ69" s="61">
        <f t="shared" si="1685"/>
        <v>-65000000</v>
      </c>
      <c r="MVK69" s="61">
        <f t="shared" si="1685"/>
        <v>-65000000</v>
      </c>
      <c r="MVL69" s="61">
        <f t="shared" si="1685"/>
        <v>-65000000</v>
      </c>
      <c r="MVM69" s="61">
        <f t="shared" si="1685"/>
        <v>-65000000</v>
      </c>
      <c r="MVN69" s="61">
        <f t="shared" si="1685"/>
        <v>-65000000</v>
      </c>
      <c r="MVO69" s="61">
        <f t="shared" ref="MVO69:MXZ69" si="1686">MVO68-$EC$11-MVO11</f>
        <v>-65000000</v>
      </c>
      <c r="MVP69" s="61">
        <f t="shared" si="1686"/>
        <v>-65000000</v>
      </c>
      <c r="MVQ69" s="61">
        <f t="shared" si="1686"/>
        <v>-65000000</v>
      </c>
      <c r="MVR69" s="61">
        <f t="shared" si="1686"/>
        <v>-65000000</v>
      </c>
      <c r="MVS69" s="61">
        <f t="shared" si="1686"/>
        <v>-65000000</v>
      </c>
      <c r="MVT69" s="61">
        <f t="shared" si="1686"/>
        <v>-65000000</v>
      </c>
      <c r="MVU69" s="61">
        <f t="shared" si="1686"/>
        <v>-65000000</v>
      </c>
      <c r="MVV69" s="61">
        <f t="shared" si="1686"/>
        <v>-65000000</v>
      </c>
      <c r="MVW69" s="61">
        <f t="shared" si="1686"/>
        <v>-65000000</v>
      </c>
      <c r="MVX69" s="61">
        <f t="shared" si="1686"/>
        <v>-65000000</v>
      </c>
      <c r="MVY69" s="61">
        <f t="shared" si="1686"/>
        <v>-65000000</v>
      </c>
      <c r="MVZ69" s="61">
        <f t="shared" si="1686"/>
        <v>-65000000</v>
      </c>
      <c r="MWA69" s="61">
        <f t="shared" si="1686"/>
        <v>-65000000</v>
      </c>
      <c r="MWB69" s="61">
        <f t="shared" si="1686"/>
        <v>-65000000</v>
      </c>
      <c r="MWC69" s="61">
        <f t="shared" si="1686"/>
        <v>-65000000</v>
      </c>
      <c r="MWD69" s="61">
        <f t="shared" si="1686"/>
        <v>-65000000</v>
      </c>
      <c r="MWE69" s="61">
        <f t="shared" si="1686"/>
        <v>-65000000</v>
      </c>
      <c r="MWF69" s="61">
        <f t="shared" si="1686"/>
        <v>-65000000</v>
      </c>
      <c r="MWG69" s="61">
        <f t="shared" si="1686"/>
        <v>-65000000</v>
      </c>
      <c r="MWH69" s="61">
        <f t="shared" si="1686"/>
        <v>-65000000</v>
      </c>
      <c r="MWI69" s="61">
        <f t="shared" si="1686"/>
        <v>-65000000</v>
      </c>
      <c r="MWJ69" s="61">
        <f t="shared" si="1686"/>
        <v>-65000000</v>
      </c>
      <c r="MWK69" s="61">
        <f t="shared" si="1686"/>
        <v>-65000000</v>
      </c>
      <c r="MWL69" s="61">
        <f t="shared" si="1686"/>
        <v>-65000000</v>
      </c>
      <c r="MWM69" s="61">
        <f t="shared" si="1686"/>
        <v>-65000000</v>
      </c>
      <c r="MWN69" s="61">
        <f t="shared" si="1686"/>
        <v>-65000000</v>
      </c>
      <c r="MWO69" s="61">
        <f t="shared" si="1686"/>
        <v>-65000000</v>
      </c>
      <c r="MWP69" s="61">
        <f t="shared" si="1686"/>
        <v>-65000000</v>
      </c>
      <c r="MWQ69" s="61">
        <f t="shared" si="1686"/>
        <v>-65000000</v>
      </c>
      <c r="MWR69" s="61">
        <f t="shared" si="1686"/>
        <v>-65000000</v>
      </c>
      <c r="MWS69" s="61">
        <f t="shared" si="1686"/>
        <v>-65000000</v>
      </c>
      <c r="MWT69" s="61">
        <f t="shared" si="1686"/>
        <v>-65000000</v>
      </c>
      <c r="MWU69" s="61">
        <f t="shared" si="1686"/>
        <v>-65000000</v>
      </c>
      <c r="MWV69" s="61">
        <f t="shared" si="1686"/>
        <v>-65000000</v>
      </c>
      <c r="MWW69" s="61">
        <f t="shared" si="1686"/>
        <v>-65000000</v>
      </c>
      <c r="MWX69" s="61">
        <f t="shared" si="1686"/>
        <v>-65000000</v>
      </c>
      <c r="MWY69" s="61">
        <f t="shared" si="1686"/>
        <v>-65000000</v>
      </c>
      <c r="MWZ69" s="61">
        <f t="shared" si="1686"/>
        <v>-65000000</v>
      </c>
      <c r="MXA69" s="61">
        <f t="shared" si="1686"/>
        <v>-65000000</v>
      </c>
      <c r="MXB69" s="61">
        <f t="shared" si="1686"/>
        <v>-65000000</v>
      </c>
      <c r="MXC69" s="61">
        <f t="shared" si="1686"/>
        <v>-65000000</v>
      </c>
      <c r="MXD69" s="61">
        <f t="shared" si="1686"/>
        <v>-65000000</v>
      </c>
      <c r="MXE69" s="61">
        <f t="shared" si="1686"/>
        <v>-65000000</v>
      </c>
      <c r="MXF69" s="61">
        <f t="shared" si="1686"/>
        <v>-65000000</v>
      </c>
      <c r="MXG69" s="61">
        <f t="shared" si="1686"/>
        <v>-65000000</v>
      </c>
      <c r="MXH69" s="61">
        <f t="shared" si="1686"/>
        <v>-65000000</v>
      </c>
      <c r="MXI69" s="61">
        <f t="shared" si="1686"/>
        <v>-65000000</v>
      </c>
      <c r="MXJ69" s="61">
        <f t="shared" si="1686"/>
        <v>-65000000</v>
      </c>
      <c r="MXK69" s="61">
        <f t="shared" si="1686"/>
        <v>-65000000</v>
      </c>
      <c r="MXL69" s="61">
        <f t="shared" si="1686"/>
        <v>-65000000</v>
      </c>
      <c r="MXM69" s="61">
        <f t="shared" si="1686"/>
        <v>-65000000</v>
      </c>
      <c r="MXN69" s="61">
        <f t="shared" si="1686"/>
        <v>-65000000</v>
      </c>
      <c r="MXO69" s="61">
        <f t="shared" si="1686"/>
        <v>-65000000</v>
      </c>
      <c r="MXP69" s="61">
        <f t="shared" si="1686"/>
        <v>-65000000</v>
      </c>
      <c r="MXQ69" s="61">
        <f t="shared" si="1686"/>
        <v>-65000000</v>
      </c>
      <c r="MXR69" s="61">
        <f t="shared" si="1686"/>
        <v>-65000000</v>
      </c>
      <c r="MXS69" s="61">
        <f t="shared" si="1686"/>
        <v>-65000000</v>
      </c>
      <c r="MXT69" s="61">
        <f t="shared" si="1686"/>
        <v>-65000000</v>
      </c>
      <c r="MXU69" s="61">
        <f t="shared" si="1686"/>
        <v>-65000000</v>
      </c>
      <c r="MXV69" s="61">
        <f t="shared" si="1686"/>
        <v>-65000000</v>
      </c>
      <c r="MXW69" s="61">
        <f t="shared" si="1686"/>
        <v>-65000000</v>
      </c>
      <c r="MXX69" s="61">
        <f t="shared" si="1686"/>
        <v>-65000000</v>
      </c>
      <c r="MXY69" s="61">
        <f t="shared" si="1686"/>
        <v>-65000000</v>
      </c>
      <c r="MXZ69" s="61">
        <f t="shared" si="1686"/>
        <v>-65000000</v>
      </c>
      <c r="MYA69" s="61">
        <f t="shared" ref="MYA69:NAL69" si="1687">MYA68-$EC$11-MYA11</f>
        <v>-65000000</v>
      </c>
      <c r="MYB69" s="61">
        <f t="shared" si="1687"/>
        <v>-65000000</v>
      </c>
      <c r="MYC69" s="61">
        <f t="shared" si="1687"/>
        <v>-65000000</v>
      </c>
      <c r="MYD69" s="61">
        <f t="shared" si="1687"/>
        <v>-65000000</v>
      </c>
      <c r="MYE69" s="61">
        <f t="shared" si="1687"/>
        <v>-65000000</v>
      </c>
      <c r="MYF69" s="61">
        <f t="shared" si="1687"/>
        <v>-65000000</v>
      </c>
      <c r="MYG69" s="61">
        <f t="shared" si="1687"/>
        <v>-65000000</v>
      </c>
      <c r="MYH69" s="61">
        <f t="shared" si="1687"/>
        <v>-65000000</v>
      </c>
      <c r="MYI69" s="61">
        <f t="shared" si="1687"/>
        <v>-65000000</v>
      </c>
      <c r="MYJ69" s="61">
        <f t="shared" si="1687"/>
        <v>-65000000</v>
      </c>
      <c r="MYK69" s="61">
        <f t="shared" si="1687"/>
        <v>-65000000</v>
      </c>
      <c r="MYL69" s="61">
        <f t="shared" si="1687"/>
        <v>-65000000</v>
      </c>
      <c r="MYM69" s="61">
        <f t="shared" si="1687"/>
        <v>-65000000</v>
      </c>
      <c r="MYN69" s="61">
        <f t="shared" si="1687"/>
        <v>-65000000</v>
      </c>
      <c r="MYO69" s="61">
        <f t="shared" si="1687"/>
        <v>-65000000</v>
      </c>
      <c r="MYP69" s="61">
        <f t="shared" si="1687"/>
        <v>-65000000</v>
      </c>
      <c r="MYQ69" s="61">
        <f t="shared" si="1687"/>
        <v>-65000000</v>
      </c>
      <c r="MYR69" s="61">
        <f t="shared" si="1687"/>
        <v>-65000000</v>
      </c>
      <c r="MYS69" s="61">
        <f t="shared" si="1687"/>
        <v>-65000000</v>
      </c>
      <c r="MYT69" s="61">
        <f t="shared" si="1687"/>
        <v>-65000000</v>
      </c>
      <c r="MYU69" s="61">
        <f t="shared" si="1687"/>
        <v>-65000000</v>
      </c>
      <c r="MYV69" s="61">
        <f t="shared" si="1687"/>
        <v>-65000000</v>
      </c>
      <c r="MYW69" s="61">
        <f t="shared" si="1687"/>
        <v>-65000000</v>
      </c>
      <c r="MYX69" s="61">
        <f t="shared" si="1687"/>
        <v>-65000000</v>
      </c>
      <c r="MYY69" s="61">
        <f t="shared" si="1687"/>
        <v>-65000000</v>
      </c>
      <c r="MYZ69" s="61">
        <f t="shared" si="1687"/>
        <v>-65000000</v>
      </c>
      <c r="MZA69" s="61">
        <f t="shared" si="1687"/>
        <v>-65000000</v>
      </c>
      <c r="MZB69" s="61">
        <f t="shared" si="1687"/>
        <v>-65000000</v>
      </c>
      <c r="MZC69" s="61">
        <f t="shared" si="1687"/>
        <v>-65000000</v>
      </c>
      <c r="MZD69" s="61">
        <f t="shared" si="1687"/>
        <v>-65000000</v>
      </c>
      <c r="MZE69" s="61">
        <f t="shared" si="1687"/>
        <v>-65000000</v>
      </c>
      <c r="MZF69" s="61">
        <f t="shared" si="1687"/>
        <v>-65000000</v>
      </c>
      <c r="MZG69" s="61">
        <f t="shared" si="1687"/>
        <v>-65000000</v>
      </c>
      <c r="MZH69" s="61">
        <f t="shared" si="1687"/>
        <v>-65000000</v>
      </c>
      <c r="MZI69" s="61">
        <f t="shared" si="1687"/>
        <v>-65000000</v>
      </c>
      <c r="MZJ69" s="61">
        <f t="shared" si="1687"/>
        <v>-65000000</v>
      </c>
      <c r="MZK69" s="61">
        <f t="shared" si="1687"/>
        <v>-65000000</v>
      </c>
      <c r="MZL69" s="61">
        <f t="shared" si="1687"/>
        <v>-65000000</v>
      </c>
      <c r="MZM69" s="61">
        <f t="shared" si="1687"/>
        <v>-65000000</v>
      </c>
      <c r="MZN69" s="61">
        <f t="shared" si="1687"/>
        <v>-65000000</v>
      </c>
      <c r="MZO69" s="61">
        <f t="shared" si="1687"/>
        <v>-65000000</v>
      </c>
      <c r="MZP69" s="61">
        <f t="shared" si="1687"/>
        <v>-65000000</v>
      </c>
      <c r="MZQ69" s="61">
        <f t="shared" si="1687"/>
        <v>-65000000</v>
      </c>
      <c r="MZR69" s="61">
        <f t="shared" si="1687"/>
        <v>-65000000</v>
      </c>
      <c r="MZS69" s="61">
        <f t="shared" si="1687"/>
        <v>-65000000</v>
      </c>
      <c r="MZT69" s="61">
        <f t="shared" si="1687"/>
        <v>-65000000</v>
      </c>
      <c r="MZU69" s="61">
        <f t="shared" si="1687"/>
        <v>-65000000</v>
      </c>
      <c r="MZV69" s="61">
        <f t="shared" si="1687"/>
        <v>-65000000</v>
      </c>
      <c r="MZW69" s="61">
        <f t="shared" si="1687"/>
        <v>-65000000</v>
      </c>
      <c r="MZX69" s="61">
        <f t="shared" si="1687"/>
        <v>-65000000</v>
      </c>
      <c r="MZY69" s="61">
        <f t="shared" si="1687"/>
        <v>-65000000</v>
      </c>
      <c r="MZZ69" s="61">
        <f t="shared" si="1687"/>
        <v>-65000000</v>
      </c>
      <c r="NAA69" s="61">
        <f t="shared" si="1687"/>
        <v>-65000000</v>
      </c>
      <c r="NAB69" s="61">
        <f t="shared" si="1687"/>
        <v>-65000000</v>
      </c>
      <c r="NAC69" s="61">
        <f t="shared" si="1687"/>
        <v>-65000000</v>
      </c>
      <c r="NAD69" s="61">
        <f t="shared" si="1687"/>
        <v>-65000000</v>
      </c>
      <c r="NAE69" s="61">
        <f t="shared" si="1687"/>
        <v>-65000000</v>
      </c>
      <c r="NAF69" s="61">
        <f t="shared" si="1687"/>
        <v>-65000000</v>
      </c>
      <c r="NAG69" s="61">
        <f t="shared" si="1687"/>
        <v>-65000000</v>
      </c>
      <c r="NAH69" s="61">
        <f t="shared" si="1687"/>
        <v>-65000000</v>
      </c>
      <c r="NAI69" s="61">
        <f t="shared" si="1687"/>
        <v>-65000000</v>
      </c>
      <c r="NAJ69" s="61">
        <f t="shared" si="1687"/>
        <v>-65000000</v>
      </c>
      <c r="NAK69" s="61">
        <f t="shared" si="1687"/>
        <v>-65000000</v>
      </c>
      <c r="NAL69" s="61">
        <f t="shared" si="1687"/>
        <v>-65000000</v>
      </c>
      <c r="NAM69" s="61">
        <f t="shared" ref="NAM69:NCX69" si="1688">NAM68-$EC$11-NAM11</f>
        <v>-65000000</v>
      </c>
      <c r="NAN69" s="61">
        <f t="shared" si="1688"/>
        <v>-65000000</v>
      </c>
      <c r="NAO69" s="61">
        <f t="shared" si="1688"/>
        <v>-65000000</v>
      </c>
      <c r="NAP69" s="61">
        <f t="shared" si="1688"/>
        <v>-65000000</v>
      </c>
      <c r="NAQ69" s="61">
        <f t="shared" si="1688"/>
        <v>-65000000</v>
      </c>
      <c r="NAR69" s="61">
        <f t="shared" si="1688"/>
        <v>-65000000</v>
      </c>
      <c r="NAS69" s="61">
        <f t="shared" si="1688"/>
        <v>-65000000</v>
      </c>
      <c r="NAT69" s="61">
        <f t="shared" si="1688"/>
        <v>-65000000</v>
      </c>
      <c r="NAU69" s="61">
        <f t="shared" si="1688"/>
        <v>-65000000</v>
      </c>
      <c r="NAV69" s="61">
        <f t="shared" si="1688"/>
        <v>-65000000</v>
      </c>
      <c r="NAW69" s="61">
        <f t="shared" si="1688"/>
        <v>-65000000</v>
      </c>
      <c r="NAX69" s="61">
        <f t="shared" si="1688"/>
        <v>-65000000</v>
      </c>
      <c r="NAY69" s="61">
        <f t="shared" si="1688"/>
        <v>-65000000</v>
      </c>
      <c r="NAZ69" s="61">
        <f t="shared" si="1688"/>
        <v>-65000000</v>
      </c>
      <c r="NBA69" s="61">
        <f t="shared" si="1688"/>
        <v>-65000000</v>
      </c>
      <c r="NBB69" s="61">
        <f t="shared" si="1688"/>
        <v>-65000000</v>
      </c>
      <c r="NBC69" s="61">
        <f t="shared" si="1688"/>
        <v>-65000000</v>
      </c>
      <c r="NBD69" s="61">
        <f t="shared" si="1688"/>
        <v>-65000000</v>
      </c>
      <c r="NBE69" s="61">
        <f t="shared" si="1688"/>
        <v>-65000000</v>
      </c>
      <c r="NBF69" s="61">
        <f t="shared" si="1688"/>
        <v>-65000000</v>
      </c>
      <c r="NBG69" s="61">
        <f t="shared" si="1688"/>
        <v>-65000000</v>
      </c>
      <c r="NBH69" s="61">
        <f t="shared" si="1688"/>
        <v>-65000000</v>
      </c>
      <c r="NBI69" s="61">
        <f t="shared" si="1688"/>
        <v>-65000000</v>
      </c>
      <c r="NBJ69" s="61">
        <f t="shared" si="1688"/>
        <v>-65000000</v>
      </c>
      <c r="NBK69" s="61">
        <f t="shared" si="1688"/>
        <v>-65000000</v>
      </c>
      <c r="NBL69" s="61">
        <f t="shared" si="1688"/>
        <v>-65000000</v>
      </c>
      <c r="NBM69" s="61">
        <f t="shared" si="1688"/>
        <v>-65000000</v>
      </c>
      <c r="NBN69" s="61">
        <f t="shared" si="1688"/>
        <v>-65000000</v>
      </c>
      <c r="NBO69" s="61">
        <f t="shared" si="1688"/>
        <v>-65000000</v>
      </c>
      <c r="NBP69" s="61">
        <f t="shared" si="1688"/>
        <v>-65000000</v>
      </c>
      <c r="NBQ69" s="61">
        <f t="shared" si="1688"/>
        <v>-65000000</v>
      </c>
      <c r="NBR69" s="61">
        <f t="shared" si="1688"/>
        <v>-65000000</v>
      </c>
      <c r="NBS69" s="61">
        <f t="shared" si="1688"/>
        <v>-65000000</v>
      </c>
      <c r="NBT69" s="61">
        <f t="shared" si="1688"/>
        <v>-65000000</v>
      </c>
      <c r="NBU69" s="61">
        <f t="shared" si="1688"/>
        <v>-65000000</v>
      </c>
      <c r="NBV69" s="61">
        <f t="shared" si="1688"/>
        <v>-65000000</v>
      </c>
      <c r="NBW69" s="61">
        <f t="shared" si="1688"/>
        <v>-65000000</v>
      </c>
      <c r="NBX69" s="61">
        <f t="shared" si="1688"/>
        <v>-65000000</v>
      </c>
      <c r="NBY69" s="61">
        <f t="shared" si="1688"/>
        <v>-65000000</v>
      </c>
      <c r="NBZ69" s="61">
        <f t="shared" si="1688"/>
        <v>-65000000</v>
      </c>
      <c r="NCA69" s="61">
        <f t="shared" si="1688"/>
        <v>-65000000</v>
      </c>
      <c r="NCB69" s="61">
        <f t="shared" si="1688"/>
        <v>-65000000</v>
      </c>
      <c r="NCC69" s="61">
        <f t="shared" si="1688"/>
        <v>-65000000</v>
      </c>
      <c r="NCD69" s="61">
        <f t="shared" si="1688"/>
        <v>-65000000</v>
      </c>
      <c r="NCE69" s="61">
        <f t="shared" si="1688"/>
        <v>-65000000</v>
      </c>
      <c r="NCF69" s="61">
        <f t="shared" si="1688"/>
        <v>-65000000</v>
      </c>
      <c r="NCG69" s="61">
        <f t="shared" si="1688"/>
        <v>-65000000</v>
      </c>
      <c r="NCH69" s="61">
        <f t="shared" si="1688"/>
        <v>-65000000</v>
      </c>
      <c r="NCI69" s="61">
        <f t="shared" si="1688"/>
        <v>-65000000</v>
      </c>
      <c r="NCJ69" s="61">
        <f t="shared" si="1688"/>
        <v>-65000000</v>
      </c>
      <c r="NCK69" s="61">
        <f t="shared" si="1688"/>
        <v>-65000000</v>
      </c>
      <c r="NCL69" s="61">
        <f t="shared" si="1688"/>
        <v>-65000000</v>
      </c>
      <c r="NCM69" s="61">
        <f t="shared" si="1688"/>
        <v>-65000000</v>
      </c>
      <c r="NCN69" s="61">
        <f t="shared" si="1688"/>
        <v>-65000000</v>
      </c>
      <c r="NCO69" s="61">
        <f t="shared" si="1688"/>
        <v>-65000000</v>
      </c>
      <c r="NCP69" s="61">
        <f t="shared" si="1688"/>
        <v>-65000000</v>
      </c>
      <c r="NCQ69" s="61">
        <f t="shared" si="1688"/>
        <v>-65000000</v>
      </c>
      <c r="NCR69" s="61">
        <f t="shared" si="1688"/>
        <v>-65000000</v>
      </c>
      <c r="NCS69" s="61">
        <f t="shared" si="1688"/>
        <v>-65000000</v>
      </c>
      <c r="NCT69" s="61">
        <f t="shared" si="1688"/>
        <v>-65000000</v>
      </c>
      <c r="NCU69" s="61">
        <f t="shared" si="1688"/>
        <v>-65000000</v>
      </c>
      <c r="NCV69" s="61">
        <f t="shared" si="1688"/>
        <v>-65000000</v>
      </c>
      <c r="NCW69" s="61">
        <f t="shared" si="1688"/>
        <v>-65000000</v>
      </c>
      <c r="NCX69" s="61">
        <f t="shared" si="1688"/>
        <v>-65000000</v>
      </c>
      <c r="NCY69" s="61">
        <f t="shared" ref="NCY69:NFJ69" si="1689">NCY68-$EC$11-NCY11</f>
        <v>-65000000</v>
      </c>
      <c r="NCZ69" s="61">
        <f t="shared" si="1689"/>
        <v>-65000000</v>
      </c>
      <c r="NDA69" s="61">
        <f t="shared" si="1689"/>
        <v>-65000000</v>
      </c>
      <c r="NDB69" s="61">
        <f t="shared" si="1689"/>
        <v>-65000000</v>
      </c>
      <c r="NDC69" s="61">
        <f t="shared" si="1689"/>
        <v>-65000000</v>
      </c>
      <c r="NDD69" s="61">
        <f t="shared" si="1689"/>
        <v>-65000000</v>
      </c>
      <c r="NDE69" s="61">
        <f t="shared" si="1689"/>
        <v>-65000000</v>
      </c>
      <c r="NDF69" s="61">
        <f t="shared" si="1689"/>
        <v>-65000000</v>
      </c>
      <c r="NDG69" s="61">
        <f t="shared" si="1689"/>
        <v>-65000000</v>
      </c>
      <c r="NDH69" s="61">
        <f t="shared" si="1689"/>
        <v>-65000000</v>
      </c>
      <c r="NDI69" s="61">
        <f t="shared" si="1689"/>
        <v>-65000000</v>
      </c>
      <c r="NDJ69" s="61">
        <f t="shared" si="1689"/>
        <v>-65000000</v>
      </c>
      <c r="NDK69" s="61">
        <f t="shared" si="1689"/>
        <v>-65000000</v>
      </c>
      <c r="NDL69" s="61">
        <f t="shared" si="1689"/>
        <v>-65000000</v>
      </c>
      <c r="NDM69" s="61">
        <f t="shared" si="1689"/>
        <v>-65000000</v>
      </c>
      <c r="NDN69" s="61">
        <f t="shared" si="1689"/>
        <v>-65000000</v>
      </c>
      <c r="NDO69" s="61">
        <f t="shared" si="1689"/>
        <v>-65000000</v>
      </c>
      <c r="NDP69" s="61">
        <f t="shared" si="1689"/>
        <v>-65000000</v>
      </c>
      <c r="NDQ69" s="61">
        <f t="shared" si="1689"/>
        <v>-65000000</v>
      </c>
      <c r="NDR69" s="61">
        <f t="shared" si="1689"/>
        <v>-65000000</v>
      </c>
      <c r="NDS69" s="61">
        <f t="shared" si="1689"/>
        <v>-65000000</v>
      </c>
      <c r="NDT69" s="61">
        <f t="shared" si="1689"/>
        <v>-65000000</v>
      </c>
      <c r="NDU69" s="61">
        <f t="shared" si="1689"/>
        <v>-65000000</v>
      </c>
      <c r="NDV69" s="61">
        <f t="shared" si="1689"/>
        <v>-65000000</v>
      </c>
      <c r="NDW69" s="61">
        <f t="shared" si="1689"/>
        <v>-65000000</v>
      </c>
      <c r="NDX69" s="61">
        <f t="shared" si="1689"/>
        <v>-65000000</v>
      </c>
      <c r="NDY69" s="61">
        <f t="shared" si="1689"/>
        <v>-65000000</v>
      </c>
      <c r="NDZ69" s="61">
        <f t="shared" si="1689"/>
        <v>-65000000</v>
      </c>
      <c r="NEA69" s="61">
        <f t="shared" si="1689"/>
        <v>-65000000</v>
      </c>
      <c r="NEB69" s="61">
        <f t="shared" si="1689"/>
        <v>-65000000</v>
      </c>
      <c r="NEC69" s="61">
        <f t="shared" si="1689"/>
        <v>-65000000</v>
      </c>
      <c r="NED69" s="61">
        <f t="shared" si="1689"/>
        <v>-65000000</v>
      </c>
      <c r="NEE69" s="61">
        <f t="shared" si="1689"/>
        <v>-65000000</v>
      </c>
      <c r="NEF69" s="61">
        <f t="shared" si="1689"/>
        <v>-65000000</v>
      </c>
      <c r="NEG69" s="61">
        <f t="shared" si="1689"/>
        <v>-65000000</v>
      </c>
      <c r="NEH69" s="61">
        <f t="shared" si="1689"/>
        <v>-65000000</v>
      </c>
      <c r="NEI69" s="61">
        <f t="shared" si="1689"/>
        <v>-65000000</v>
      </c>
      <c r="NEJ69" s="61">
        <f t="shared" si="1689"/>
        <v>-65000000</v>
      </c>
      <c r="NEK69" s="61">
        <f t="shared" si="1689"/>
        <v>-65000000</v>
      </c>
      <c r="NEL69" s="61">
        <f t="shared" si="1689"/>
        <v>-65000000</v>
      </c>
      <c r="NEM69" s="61">
        <f t="shared" si="1689"/>
        <v>-65000000</v>
      </c>
      <c r="NEN69" s="61">
        <f t="shared" si="1689"/>
        <v>-65000000</v>
      </c>
      <c r="NEO69" s="61">
        <f t="shared" si="1689"/>
        <v>-65000000</v>
      </c>
      <c r="NEP69" s="61">
        <f t="shared" si="1689"/>
        <v>-65000000</v>
      </c>
      <c r="NEQ69" s="61">
        <f t="shared" si="1689"/>
        <v>-65000000</v>
      </c>
      <c r="NER69" s="61">
        <f t="shared" si="1689"/>
        <v>-65000000</v>
      </c>
      <c r="NES69" s="61">
        <f t="shared" si="1689"/>
        <v>-65000000</v>
      </c>
      <c r="NET69" s="61">
        <f t="shared" si="1689"/>
        <v>-65000000</v>
      </c>
      <c r="NEU69" s="61">
        <f t="shared" si="1689"/>
        <v>-65000000</v>
      </c>
      <c r="NEV69" s="61">
        <f t="shared" si="1689"/>
        <v>-65000000</v>
      </c>
      <c r="NEW69" s="61">
        <f t="shared" si="1689"/>
        <v>-65000000</v>
      </c>
      <c r="NEX69" s="61">
        <f t="shared" si="1689"/>
        <v>-65000000</v>
      </c>
      <c r="NEY69" s="61">
        <f t="shared" si="1689"/>
        <v>-65000000</v>
      </c>
      <c r="NEZ69" s="61">
        <f t="shared" si="1689"/>
        <v>-65000000</v>
      </c>
      <c r="NFA69" s="61">
        <f t="shared" si="1689"/>
        <v>-65000000</v>
      </c>
      <c r="NFB69" s="61">
        <f t="shared" si="1689"/>
        <v>-65000000</v>
      </c>
      <c r="NFC69" s="61">
        <f t="shared" si="1689"/>
        <v>-65000000</v>
      </c>
      <c r="NFD69" s="61">
        <f t="shared" si="1689"/>
        <v>-65000000</v>
      </c>
      <c r="NFE69" s="61">
        <f t="shared" si="1689"/>
        <v>-65000000</v>
      </c>
      <c r="NFF69" s="61">
        <f t="shared" si="1689"/>
        <v>-65000000</v>
      </c>
      <c r="NFG69" s="61">
        <f t="shared" si="1689"/>
        <v>-65000000</v>
      </c>
      <c r="NFH69" s="61">
        <f t="shared" si="1689"/>
        <v>-65000000</v>
      </c>
      <c r="NFI69" s="61">
        <f t="shared" si="1689"/>
        <v>-65000000</v>
      </c>
      <c r="NFJ69" s="61">
        <f t="shared" si="1689"/>
        <v>-65000000</v>
      </c>
      <c r="NFK69" s="61">
        <f t="shared" ref="NFK69:NHV69" si="1690">NFK68-$EC$11-NFK11</f>
        <v>-65000000</v>
      </c>
      <c r="NFL69" s="61">
        <f t="shared" si="1690"/>
        <v>-65000000</v>
      </c>
      <c r="NFM69" s="61">
        <f t="shared" si="1690"/>
        <v>-65000000</v>
      </c>
      <c r="NFN69" s="61">
        <f t="shared" si="1690"/>
        <v>-65000000</v>
      </c>
      <c r="NFO69" s="61">
        <f t="shared" si="1690"/>
        <v>-65000000</v>
      </c>
      <c r="NFP69" s="61">
        <f t="shared" si="1690"/>
        <v>-65000000</v>
      </c>
      <c r="NFQ69" s="61">
        <f t="shared" si="1690"/>
        <v>-65000000</v>
      </c>
      <c r="NFR69" s="61">
        <f t="shared" si="1690"/>
        <v>-65000000</v>
      </c>
      <c r="NFS69" s="61">
        <f t="shared" si="1690"/>
        <v>-65000000</v>
      </c>
      <c r="NFT69" s="61">
        <f t="shared" si="1690"/>
        <v>-65000000</v>
      </c>
      <c r="NFU69" s="61">
        <f t="shared" si="1690"/>
        <v>-65000000</v>
      </c>
      <c r="NFV69" s="61">
        <f t="shared" si="1690"/>
        <v>-65000000</v>
      </c>
      <c r="NFW69" s="61">
        <f t="shared" si="1690"/>
        <v>-65000000</v>
      </c>
      <c r="NFX69" s="61">
        <f t="shared" si="1690"/>
        <v>-65000000</v>
      </c>
      <c r="NFY69" s="61">
        <f t="shared" si="1690"/>
        <v>-65000000</v>
      </c>
      <c r="NFZ69" s="61">
        <f t="shared" si="1690"/>
        <v>-65000000</v>
      </c>
      <c r="NGA69" s="61">
        <f t="shared" si="1690"/>
        <v>-65000000</v>
      </c>
      <c r="NGB69" s="61">
        <f t="shared" si="1690"/>
        <v>-65000000</v>
      </c>
      <c r="NGC69" s="61">
        <f t="shared" si="1690"/>
        <v>-65000000</v>
      </c>
      <c r="NGD69" s="61">
        <f t="shared" si="1690"/>
        <v>-65000000</v>
      </c>
      <c r="NGE69" s="61">
        <f t="shared" si="1690"/>
        <v>-65000000</v>
      </c>
      <c r="NGF69" s="61">
        <f t="shared" si="1690"/>
        <v>-65000000</v>
      </c>
      <c r="NGG69" s="61">
        <f t="shared" si="1690"/>
        <v>-65000000</v>
      </c>
      <c r="NGH69" s="61">
        <f t="shared" si="1690"/>
        <v>-65000000</v>
      </c>
      <c r="NGI69" s="61">
        <f t="shared" si="1690"/>
        <v>-65000000</v>
      </c>
      <c r="NGJ69" s="61">
        <f t="shared" si="1690"/>
        <v>-65000000</v>
      </c>
      <c r="NGK69" s="61">
        <f t="shared" si="1690"/>
        <v>-65000000</v>
      </c>
      <c r="NGL69" s="61">
        <f t="shared" si="1690"/>
        <v>-65000000</v>
      </c>
      <c r="NGM69" s="61">
        <f t="shared" si="1690"/>
        <v>-65000000</v>
      </c>
      <c r="NGN69" s="61">
        <f t="shared" si="1690"/>
        <v>-65000000</v>
      </c>
      <c r="NGO69" s="61">
        <f t="shared" si="1690"/>
        <v>-65000000</v>
      </c>
      <c r="NGP69" s="61">
        <f t="shared" si="1690"/>
        <v>-65000000</v>
      </c>
      <c r="NGQ69" s="61">
        <f t="shared" si="1690"/>
        <v>-65000000</v>
      </c>
      <c r="NGR69" s="61">
        <f t="shared" si="1690"/>
        <v>-65000000</v>
      </c>
      <c r="NGS69" s="61">
        <f t="shared" si="1690"/>
        <v>-65000000</v>
      </c>
      <c r="NGT69" s="61">
        <f t="shared" si="1690"/>
        <v>-65000000</v>
      </c>
      <c r="NGU69" s="61">
        <f t="shared" si="1690"/>
        <v>-65000000</v>
      </c>
      <c r="NGV69" s="61">
        <f t="shared" si="1690"/>
        <v>-65000000</v>
      </c>
      <c r="NGW69" s="61">
        <f t="shared" si="1690"/>
        <v>-65000000</v>
      </c>
      <c r="NGX69" s="61">
        <f t="shared" si="1690"/>
        <v>-65000000</v>
      </c>
      <c r="NGY69" s="61">
        <f t="shared" si="1690"/>
        <v>-65000000</v>
      </c>
      <c r="NGZ69" s="61">
        <f t="shared" si="1690"/>
        <v>-65000000</v>
      </c>
      <c r="NHA69" s="61">
        <f t="shared" si="1690"/>
        <v>-65000000</v>
      </c>
      <c r="NHB69" s="61">
        <f t="shared" si="1690"/>
        <v>-65000000</v>
      </c>
      <c r="NHC69" s="61">
        <f t="shared" si="1690"/>
        <v>-65000000</v>
      </c>
      <c r="NHD69" s="61">
        <f t="shared" si="1690"/>
        <v>-65000000</v>
      </c>
      <c r="NHE69" s="61">
        <f t="shared" si="1690"/>
        <v>-65000000</v>
      </c>
      <c r="NHF69" s="61">
        <f t="shared" si="1690"/>
        <v>-65000000</v>
      </c>
      <c r="NHG69" s="61">
        <f t="shared" si="1690"/>
        <v>-65000000</v>
      </c>
      <c r="NHH69" s="61">
        <f t="shared" si="1690"/>
        <v>-65000000</v>
      </c>
      <c r="NHI69" s="61">
        <f t="shared" si="1690"/>
        <v>-65000000</v>
      </c>
      <c r="NHJ69" s="61">
        <f t="shared" si="1690"/>
        <v>-65000000</v>
      </c>
      <c r="NHK69" s="61">
        <f t="shared" si="1690"/>
        <v>-65000000</v>
      </c>
      <c r="NHL69" s="61">
        <f t="shared" si="1690"/>
        <v>-65000000</v>
      </c>
      <c r="NHM69" s="61">
        <f t="shared" si="1690"/>
        <v>-65000000</v>
      </c>
      <c r="NHN69" s="61">
        <f t="shared" si="1690"/>
        <v>-65000000</v>
      </c>
      <c r="NHO69" s="61">
        <f t="shared" si="1690"/>
        <v>-65000000</v>
      </c>
      <c r="NHP69" s="61">
        <f t="shared" si="1690"/>
        <v>-65000000</v>
      </c>
      <c r="NHQ69" s="61">
        <f t="shared" si="1690"/>
        <v>-65000000</v>
      </c>
      <c r="NHR69" s="61">
        <f t="shared" si="1690"/>
        <v>-65000000</v>
      </c>
      <c r="NHS69" s="61">
        <f t="shared" si="1690"/>
        <v>-65000000</v>
      </c>
      <c r="NHT69" s="61">
        <f t="shared" si="1690"/>
        <v>-65000000</v>
      </c>
      <c r="NHU69" s="61">
        <f t="shared" si="1690"/>
        <v>-65000000</v>
      </c>
      <c r="NHV69" s="61">
        <f t="shared" si="1690"/>
        <v>-65000000</v>
      </c>
      <c r="NHW69" s="61">
        <f t="shared" ref="NHW69:NKH69" si="1691">NHW68-$EC$11-NHW11</f>
        <v>-65000000</v>
      </c>
      <c r="NHX69" s="61">
        <f t="shared" si="1691"/>
        <v>-65000000</v>
      </c>
      <c r="NHY69" s="61">
        <f t="shared" si="1691"/>
        <v>-65000000</v>
      </c>
      <c r="NHZ69" s="61">
        <f t="shared" si="1691"/>
        <v>-65000000</v>
      </c>
      <c r="NIA69" s="61">
        <f t="shared" si="1691"/>
        <v>-65000000</v>
      </c>
      <c r="NIB69" s="61">
        <f t="shared" si="1691"/>
        <v>-65000000</v>
      </c>
      <c r="NIC69" s="61">
        <f t="shared" si="1691"/>
        <v>-65000000</v>
      </c>
      <c r="NID69" s="61">
        <f t="shared" si="1691"/>
        <v>-65000000</v>
      </c>
      <c r="NIE69" s="61">
        <f t="shared" si="1691"/>
        <v>-65000000</v>
      </c>
      <c r="NIF69" s="61">
        <f t="shared" si="1691"/>
        <v>-65000000</v>
      </c>
      <c r="NIG69" s="61">
        <f t="shared" si="1691"/>
        <v>-65000000</v>
      </c>
      <c r="NIH69" s="61">
        <f t="shared" si="1691"/>
        <v>-65000000</v>
      </c>
      <c r="NII69" s="61">
        <f t="shared" si="1691"/>
        <v>-65000000</v>
      </c>
      <c r="NIJ69" s="61">
        <f t="shared" si="1691"/>
        <v>-65000000</v>
      </c>
      <c r="NIK69" s="61">
        <f t="shared" si="1691"/>
        <v>-65000000</v>
      </c>
      <c r="NIL69" s="61">
        <f t="shared" si="1691"/>
        <v>-65000000</v>
      </c>
      <c r="NIM69" s="61">
        <f t="shared" si="1691"/>
        <v>-65000000</v>
      </c>
      <c r="NIN69" s="61">
        <f t="shared" si="1691"/>
        <v>-65000000</v>
      </c>
      <c r="NIO69" s="61">
        <f t="shared" si="1691"/>
        <v>-65000000</v>
      </c>
      <c r="NIP69" s="61">
        <f t="shared" si="1691"/>
        <v>-65000000</v>
      </c>
      <c r="NIQ69" s="61">
        <f t="shared" si="1691"/>
        <v>-65000000</v>
      </c>
      <c r="NIR69" s="61">
        <f t="shared" si="1691"/>
        <v>-65000000</v>
      </c>
      <c r="NIS69" s="61">
        <f t="shared" si="1691"/>
        <v>-65000000</v>
      </c>
      <c r="NIT69" s="61">
        <f t="shared" si="1691"/>
        <v>-65000000</v>
      </c>
      <c r="NIU69" s="61">
        <f t="shared" si="1691"/>
        <v>-65000000</v>
      </c>
      <c r="NIV69" s="61">
        <f t="shared" si="1691"/>
        <v>-65000000</v>
      </c>
      <c r="NIW69" s="61">
        <f t="shared" si="1691"/>
        <v>-65000000</v>
      </c>
      <c r="NIX69" s="61">
        <f t="shared" si="1691"/>
        <v>-65000000</v>
      </c>
      <c r="NIY69" s="61">
        <f t="shared" si="1691"/>
        <v>-65000000</v>
      </c>
      <c r="NIZ69" s="61">
        <f t="shared" si="1691"/>
        <v>-65000000</v>
      </c>
      <c r="NJA69" s="61">
        <f t="shared" si="1691"/>
        <v>-65000000</v>
      </c>
      <c r="NJB69" s="61">
        <f t="shared" si="1691"/>
        <v>-65000000</v>
      </c>
      <c r="NJC69" s="61">
        <f t="shared" si="1691"/>
        <v>-65000000</v>
      </c>
      <c r="NJD69" s="61">
        <f t="shared" si="1691"/>
        <v>-65000000</v>
      </c>
      <c r="NJE69" s="61">
        <f t="shared" si="1691"/>
        <v>-65000000</v>
      </c>
      <c r="NJF69" s="61">
        <f t="shared" si="1691"/>
        <v>-65000000</v>
      </c>
      <c r="NJG69" s="61">
        <f t="shared" si="1691"/>
        <v>-65000000</v>
      </c>
      <c r="NJH69" s="61">
        <f t="shared" si="1691"/>
        <v>-65000000</v>
      </c>
      <c r="NJI69" s="61">
        <f t="shared" si="1691"/>
        <v>-65000000</v>
      </c>
      <c r="NJJ69" s="61">
        <f t="shared" si="1691"/>
        <v>-65000000</v>
      </c>
      <c r="NJK69" s="61">
        <f t="shared" si="1691"/>
        <v>-65000000</v>
      </c>
      <c r="NJL69" s="61">
        <f t="shared" si="1691"/>
        <v>-65000000</v>
      </c>
      <c r="NJM69" s="61">
        <f t="shared" si="1691"/>
        <v>-65000000</v>
      </c>
      <c r="NJN69" s="61">
        <f t="shared" si="1691"/>
        <v>-65000000</v>
      </c>
      <c r="NJO69" s="61">
        <f t="shared" si="1691"/>
        <v>-65000000</v>
      </c>
      <c r="NJP69" s="61">
        <f t="shared" si="1691"/>
        <v>-65000000</v>
      </c>
      <c r="NJQ69" s="61">
        <f t="shared" si="1691"/>
        <v>-65000000</v>
      </c>
      <c r="NJR69" s="61">
        <f t="shared" si="1691"/>
        <v>-65000000</v>
      </c>
      <c r="NJS69" s="61">
        <f t="shared" si="1691"/>
        <v>-65000000</v>
      </c>
      <c r="NJT69" s="61">
        <f t="shared" si="1691"/>
        <v>-65000000</v>
      </c>
      <c r="NJU69" s="61">
        <f t="shared" si="1691"/>
        <v>-65000000</v>
      </c>
      <c r="NJV69" s="61">
        <f t="shared" si="1691"/>
        <v>-65000000</v>
      </c>
      <c r="NJW69" s="61">
        <f t="shared" si="1691"/>
        <v>-65000000</v>
      </c>
      <c r="NJX69" s="61">
        <f t="shared" si="1691"/>
        <v>-65000000</v>
      </c>
      <c r="NJY69" s="61">
        <f t="shared" si="1691"/>
        <v>-65000000</v>
      </c>
      <c r="NJZ69" s="61">
        <f t="shared" si="1691"/>
        <v>-65000000</v>
      </c>
      <c r="NKA69" s="61">
        <f t="shared" si="1691"/>
        <v>-65000000</v>
      </c>
      <c r="NKB69" s="61">
        <f t="shared" si="1691"/>
        <v>-65000000</v>
      </c>
      <c r="NKC69" s="61">
        <f t="shared" si="1691"/>
        <v>-65000000</v>
      </c>
      <c r="NKD69" s="61">
        <f t="shared" si="1691"/>
        <v>-65000000</v>
      </c>
      <c r="NKE69" s="61">
        <f t="shared" si="1691"/>
        <v>-65000000</v>
      </c>
      <c r="NKF69" s="61">
        <f t="shared" si="1691"/>
        <v>-65000000</v>
      </c>
      <c r="NKG69" s="61">
        <f t="shared" si="1691"/>
        <v>-65000000</v>
      </c>
      <c r="NKH69" s="61">
        <f t="shared" si="1691"/>
        <v>-65000000</v>
      </c>
      <c r="NKI69" s="61">
        <f t="shared" ref="NKI69:NMT69" si="1692">NKI68-$EC$11-NKI11</f>
        <v>-65000000</v>
      </c>
      <c r="NKJ69" s="61">
        <f t="shared" si="1692"/>
        <v>-65000000</v>
      </c>
      <c r="NKK69" s="61">
        <f t="shared" si="1692"/>
        <v>-65000000</v>
      </c>
      <c r="NKL69" s="61">
        <f t="shared" si="1692"/>
        <v>-65000000</v>
      </c>
      <c r="NKM69" s="61">
        <f t="shared" si="1692"/>
        <v>-65000000</v>
      </c>
      <c r="NKN69" s="61">
        <f t="shared" si="1692"/>
        <v>-65000000</v>
      </c>
      <c r="NKO69" s="61">
        <f t="shared" si="1692"/>
        <v>-65000000</v>
      </c>
      <c r="NKP69" s="61">
        <f t="shared" si="1692"/>
        <v>-65000000</v>
      </c>
      <c r="NKQ69" s="61">
        <f t="shared" si="1692"/>
        <v>-65000000</v>
      </c>
      <c r="NKR69" s="61">
        <f t="shared" si="1692"/>
        <v>-65000000</v>
      </c>
      <c r="NKS69" s="61">
        <f t="shared" si="1692"/>
        <v>-65000000</v>
      </c>
      <c r="NKT69" s="61">
        <f t="shared" si="1692"/>
        <v>-65000000</v>
      </c>
      <c r="NKU69" s="61">
        <f t="shared" si="1692"/>
        <v>-65000000</v>
      </c>
      <c r="NKV69" s="61">
        <f t="shared" si="1692"/>
        <v>-65000000</v>
      </c>
      <c r="NKW69" s="61">
        <f t="shared" si="1692"/>
        <v>-65000000</v>
      </c>
      <c r="NKX69" s="61">
        <f t="shared" si="1692"/>
        <v>-65000000</v>
      </c>
      <c r="NKY69" s="61">
        <f t="shared" si="1692"/>
        <v>-65000000</v>
      </c>
      <c r="NKZ69" s="61">
        <f t="shared" si="1692"/>
        <v>-65000000</v>
      </c>
      <c r="NLA69" s="61">
        <f t="shared" si="1692"/>
        <v>-65000000</v>
      </c>
      <c r="NLB69" s="61">
        <f t="shared" si="1692"/>
        <v>-65000000</v>
      </c>
      <c r="NLC69" s="61">
        <f t="shared" si="1692"/>
        <v>-65000000</v>
      </c>
      <c r="NLD69" s="61">
        <f t="shared" si="1692"/>
        <v>-65000000</v>
      </c>
      <c r="NLE69" s="61">
        <f t="shared" si="1692"/>
        <v>-65000000</v>
      </c>
      <c r="NLF69" s="61">
        <f t="shared" si="1692"/>
        <v>-65000000</v>
      </c>
      <c r="NLG69" s="61">
        <f t="shared" si="1692"/>
        <v>-65000000</v>
      </c>
      <c r="NLH69" s="61">
        <f t="shared" si="1692"/>
        <v>-65000000</v>
      </c>
      <c r="NLI69" s="61">
        <f t="shared" si="1692"/>
        <v>-65000000</v>
      </c>
      <c r="NLJ69" s="61">
        <f t="shared" si="1692"/>
        <v>-65000000</v>
      </c>
      <c r="NLK69" s="61">
        <f t="shared" si="1692"/>
        <v>-65000000</v>
      </c>
      <c r="NLL69" s="61">
        <f t="shared" si="1692"/>
        <v>-65000000</v>
      </c>
      <c r="NLM69" s="61">
        <f t="shared" si="1692"/>
        <v>-65000000</v>
      </c>
      <c r="NLN69" s="61">
        <f t="shared" si="1692"/>
        <v>-65000000</v>
      </c>
      <c r="NLO69" s="61">
        <f t="shared" si="1692"/>
        <v>-65000000</v>
      </c>
      <c r="NLP69" s="61">
        <f t="shared" si="1692"/>
        <v>-65000000</v>
      </c>
      <c r="NLQ69" s="61">
        <f t="shared" si="1692"/>
        <v>-65000000</v>
      </c>
      <c r="NLR69" s="61">
        <f t="shared" si="1692"/>
        <v>-65000000</v>
      </c>
      <c r="NLS69" s="61">
        <f t="shared" si="1692"/>
        <v>-65000000</v>
      </c>
      <c r="NLT69" s="61">
        <f t="shared" si="1692"/>
        <v>-65000000</v>
      </c>
      <c r="NLU69" s="61">
        <f t="shared" si="1692"/>
        <v>-65000000</v>
      </c>
      <c r="NLV69" s="61">
        <f t="shared" si="1692"/>
        <v>-65000000</v>
      </c>
      <c r="NLW69" s="61">
        <f t="shared" si="1692"/>
        <v>-65000000</v>
      </c>
      <c r="NLX69" s="61">
        <f t="shared" si="1692"/>
        <v>-65000000</v>
      </c>
      <c r="NLY69" s="61">
        <f t="shared" si="1692"/>
        <v>-65000000</v>
      </c>
      <c r="NLZ69" s="61">
        <f t="shared" si="1692"/>
        <v>-65000000</v>
      </c>
      <c r="NMA69" s="61">
        <f t="shared" si="1692"/>
        <v>-65000000</v>
      </c>
      <c r="NMB69" s="61">
        <f t="shared" si="1692"/>
        <v>-65000000</v>
      </c>
      <c r="NMC69" s="61">
        <f t="shared" si="1692"/>
        <v>-65000000</v>
      </c>
      <c r="NMD69" s="61">
        <f t="shared" si="1692"/>
        <v>-65000000</v>
      </c>
      <c r="NME69" s="61">
        <f t="shared" si="1692"/>
        <v>-65000000</v>
      </c>
      <c r="NMF69" s="61">
        <f t="shared" si="1692"/>
        <v>-65000000</v>
      </c>
      <c r="NMG69" s="61">
        <f t="shared" si="1692"/>
        <v>-65000000</v>
      </c>
      <c r="NMH69" s="61">
        <f t="shared" si="1692"/>
        <v>-65000000</v>
      </c>
      <c r="NMI69" s="61">
        <f t="shared" si="1692"/>
        <v>-65000000</v>
      </c>
      <c r="NMJ69" s="61">
        <f t="shared" si="1692"/>
        <v>-65000000</v>
      </c>
      <c r="NMK69" s="61">
        <f t="shared" si="1692"/>
        <v>-65000000</v>
      </c>
      <c r="NML69" s="61">
        <f t="shared" si="1692"/>
        <v>-65000000</v>
      </c>
      <c r="NMM69" s="61">
        <f t="shared" si="1692"/>
        <v>-65000000</v>
      </c>
      <c r="NMN69" s="61">
        <f t="shared" si="1692"/>
        <v>-65000000</v>
      </c>
      <c r="NMO69" s="61">
        <f t="shared" si="1692"/>
        <v>-65000000</v>
      </c>
      <c r="NMP69" s="61">
        <f t="shared" si="1692"/>
        <v>-65000000</v>
      </c>
      <c r="NMQ69" s="61">
        <f t="shared" si="1692"/>
        <v>-65000000</v>
      </c>
      <c r="NMR69" s="61">
        <f t="shared" si="1692"/>
        <v>-65000000</v>
      </c>
      <c r="NMS69" s="61">
        <f t="shared" si="1692"/>
        <v>-65000000</v>
      </c>
      <c r="NMT69" s="61">
        <f t="shared" si="1692"/>
        <v>-65000000</v>
      </c>
      <c r="NMU69" s="61">
        <f t="shared" ref="NMU69:NPF69" si="1693">NMU68-$EC$11-NMU11</f>
        <v>-65000000</v>
      </c>
      <c r="NMV69" s="61">
        <f t="shared" si="1693"/>
        <v>-65000000</v>
      </c>
      <c r="NMW69" s="61">
        <f t="shared" si="1693"/>
        <v>-65000000</v>
      </c>
      <c r="NMX69" s="61">
        <f t="shared" si="1693"/>
        <v>-65000000</v>
      </c>
      <c r="NMY69" s="61">
        <f t="shared" si="1693"/>
        <v>-65000000</v>
      </c>
      <c r="NMZ69" s="61">
        <f t="shared" si="1693"/>
        <v>-65000000</v>
      </c>
      <c r="NNA69" s="61">
        <f t="shared" si="1693"/>
        <v>-65000000</v>
      </c>
      <c r="NNB69" s="61">
        <f t="shared" si="1693"/>
        <v>-65000000</v>
      </c>
      <c r="NNC69" s="61">
        <f t="shared" si="1693"/>
        <v>-65000000</v>
      </c>
      <c r="NND69" s="61">
        <f t="shared" si="1693"/>
        <v>-65000000</v>
      </c>
      <c r="NNE69" s="61">
        <f t="shared" si="1693"/>
        <v>-65000000</v>
      </c>
      <c r="NNF69" s="61">
        <f t="shared" si="1693"/>
        <v>-65000000</v>
      </c>
      <c r="NNG69" s="61">
        <f t="shared" si="1693"/>
        <v>-65000000</v>
      </c>
      <c r="NNH69" s="61">
        <f t="shared" si="1693"/>
        <v>-65000000</v>
      </c>
      <c r="NNI69" s="61">
        <f t="shared" si="1693"/>
        <v>-65000000</v>
      </c>
      <c r="NNJ69" s="61">
        <f t="shared" si="1693"/>
        <v>-65000000</v>
      </c>
      <c r="NNK69" s="61">
        <f t="shared" si="1693"/>
        <v>-65000000</v>
      </c>
      <c r="NNL69" s="61">
        <f t="shared" si="1693"/>
        <v>-65000000</v>
      </c>
      <c r="NNM69" s="61">
        <f t="shared" si="1693"/>
        <v>-65000000</v>
      </c>
      <c r="NNN69" s="61">
        <f t="shared" si="1693"/>
        <v>-65000000</v>
      </c>
      <c r="NNO69" s="61">
        <f t="shared" si="1693"/>
        <v>-65000000</v>
      </c>
      <c r="NNP69" s="61">
        <f t="shared" si="1693"/>
        <v>-65000000</v>
      </c>
      <c r="NNQ69" s="61">
        <f t="shared" si="1693"/>
        <v>-65000000</v>
      </c>
      <c r="NNR69" s="61">
        <f t="shared" si="1693"/>
        <v>-65000000</v>
      </c>
      <c r="NNS69" s="61">
        <f t="shared" si="1693"/>
        <v>-65000000</v>
      </c>
      <c r="NNT69" s="61">
        <f t="shared" si="1693"/>
        <v>-65000000</v>
      </c>
      <c r="NNU69" s="61">
        <f t="shared" si="1693"/>
        <v>-65000000</v>
      </c>
      <c r="NNV69" s="61">
        <f t="shared" si="1693"/>
        <v>-65000000</v>
      </c>
      <c r="NNW69" s="61">
        <f t="shared" si="1693"/>
        <v>-65000000</v>
      </c>
      <c r="NNX69" s="61">
        <f t="shared" si="1693"/>
        <v>-65000000</v>
      </c>
      <c r="NNY69" s="61">
        <f t="shared" si="1693"/>
        <v>-65000000</v>
      </c>
      <c r="NNZ69" s="61">
        <f t="shared" si="1693"/>
        <v>-65000000</v>
      </c>
      <c r="NOA69" s="61">
        <f t="shared" si="1693"/>
        <v>-65000000</v>
      </c>
      <c r="NOB69" s="61">
        <f t="shared" si="1693"/>
        <v>-65000000</v>
      </c>
      <c r="NOC69" s="61">
        <f t="shared" si="1693"/>
        <v>-65000000</v>
      </c>
      <c r="NOD69" s="61">
        <f t="shared" si="1693"/>
        <v>-65000000</v>
      </c>
      <c r="NOE69" s="61">
        <f t="shared" si="1693"/>
        <v>-65000000</v>
      </c>
      <c r="NOF69" s="61">
        <f t="shared" si="1693"/>
        <v>-65000000</v>
      </c>
      <c r="NOG69" s="61">
        <f t="shared" si="1693"/>
        <v>-65000000</v>
      </c>
      <c r="NOH69" s="61">
        <f t="shared" si="1693"/>
        <v>-65000000</v>
      </c>
      <c r="NOI69" s="61">
        <f t="shared" si="1693"/>
        <v>-65000000</v>
      </c>
      <c r="NOJ69" s="61">
        <f t="shared" si="1693"/>
        <v>-65000000</v>
      </c>
      <c r="NOK69" s="61">
        <f t="shared" si="1693"/>
        <v>-65000000</v>
      </c>
      <c r="NOL69" s="61">
        <f t="shared" si="1693"/>
        <v>-65000000</v>
      </c>
      <c r="NOM69" s="61">
        <f t="shared" si="1693"/>
        <v>-65000000</v>
      </c>
      <c r="NON69" s="61">
        <f t="shared" si="1693"/>
        <v>-65000000</v>
      </c>
      <c r="NOO69" s="61">
        <f t="shared" si="1693"/>
        <v>-65000000</v>
      </c>
      <c r="NOP69" s="61">
        <f t="shared" si="1693"/>
        <v>-65000000</v>
      </c>
      <c r="NOQ69" s="61">
        <f t="shared" si="1693"/>
        <v>-65000000</v>
      </c>
      <c r="NOR69" s="61">
        <f t="shared" si="1693"/>
        <v>-65000000</v>
      </c>
      <c r="NOS69" s="61">
        <f t="shared" si="1693"/>
        <v>-65000000</v>
      </c>
      <c r="NOT69" s="61">
        <f t="shared" si="1693"/>
        <v>-65000000</v>
      </c>
      <c r="NOU69" s="61">
        <f t="shared" si="1693"/>
        <v>-65000000</v>
      </c>
      <c r="NOV69" s="61">
        <f t="shared" si="1693"/>
        <v>-65000000</v>
      </c>
      <c r="NOW69" s="61">
        <f t="shared" si="1693"/>
        <v>-65000000</v>
      </c>
      <c r="NOX69" s="61">
        <f t="shared" si="1693"/>
        <v>-65000000</v>
      </c>
      <c r="NOY69" s="61">
        <f t="shared" si="1693"/>
        <v>-65000000</v>
      </c>
      <c r="NOZ69" s="61">
        <f t="shared" si="1693"/>
        <v>-65000000</v>
      </c>
      <c r="NPA69" s="61">
        <f t="shared" si="1693"/>
        <v>-65000000</v>
      </c>
      <c r="NPB69" s="61">
        <f t="shared" si="1693"/>
        <v>-65000000</v>
      </c>
      <c r="NPC69" s="61">
        <f t="shared" si="1693"/>
        <v>-65000000</v>
      </c>
      <c r="NPD69" s="61">
        <f t="shared" si="1693"/>
        <v>-65000000</v>
      </c>
      <c r="NPE69" s="61">
        <f t="shared" si="1693"/>
        <v>-65000000</v>
      </c>
      <c r="NPF69" s="61">
        <f t="shared" si="1693"/>
        <v>-65000000</v>
      </c>
      <c r="NPG69" s="61">
        <f t="shared" ref="NPG69:NRR69" si="1694">NPG68-$EC$11-NPG11</f>
        <v>-65000000</v>
      </c>
      <c r="NPH69" s="61">
        <f t="shared" si="1694"/>
        <v>-65000000</v>
      </c>
      <c r="NPI69" s="61">
        <f t="shared" si="1694"/>
        <v>-65000000</v>
      </c>
      <c r="NPJ69" s="61">
        <f t="shared" si="1694"/>
        <v>-65000000</v>
      </c>
      <c r="NPK69" s="61">
        <f t="shared" si="1694"/>
        <v>-65000000</v>
      </c>
      <c r="NPL69" s="61">
        <f t="shared" si="1694"/>
        <v>-65000000</v>
      </c>
      <c r="NPM69" s="61">
        <f t="shared" si="1694"/>
        <v>-65000000</v>
      </c>
      <c r="NPN69" s="61">
        <f t="shared" si="1694"/>
        <v>-65000000</v>
      </c>
      <c r="NPO69" s="61">
        <f t="shared" si="1694"/>
        <v>-65000000</v>
      </c>
      <c r="NPP69" s="61">
        <f t="shared" si="1694"/>
        <v>-65000000</v>
      </c>
      <c r="NPQ69" s="61">
        <f t="shared" si="1694"/>
        <v>-65000000</v>
      </c>
      <c r="NPR69" s="61">
        <f t="shared" si="1694"/>
        <v>-65000000</v>
      </c>
      <c r="NPS69" s="61">
        <f t="shared" si="1694"/>
        <v>-65000000</v>
      </c>
      <c r="NPT69" s="61">
        <f t="shared" si="1694"/>
        <v>-65000000</v>
      </c>
      <c r="NPU69" s="61">
        <f t="shared" si="1694"/>
        <v>-65000000</v>
      </c>
      <c r="NPV69" s="61">
        <f t="shared" si="1694"/>
        <v>-65000000</v>
      </c>
      <c r="NPW69" s="61">
        <f t="shared" si="1694"/>
        <v>-65000000</v>
      </c>
      <c r="NPX69" s="61">
        <f t="shared" si="1694"/>
        <v>-65000000</v>
      </c>
      <c r="NPY69" s="61">
        <f t="shared" si="1694"/>
        <v>-65000000</v>
      </c>
      <c r="NPZ69" s="61">
        <f t="shared" si="1694"/>
        <v>-65000000</v>
      </c>
      <c r="NQA69" s="61">
        <f t="shared" si="1694"/>
        <v>-65000000</v>
      </c>
      <c r="NQB69" s="61">
        <f t="shared" si="1694"/>
        <v>-65000000</v>
      </c>
      <c r="NQC69" s="61">
        <f t="shared" si="1694"/>
        <v>-65000000</v>
      </c>
      <c r="NQD69" s="61">
        <f t="shared" si="1694"/>
        <v>-65000000</v>
      </c>
      <c r="NQE69" s="61">
        <f t="shared" si="1694"/>
        <v>-65000000</v>
      </c>
      <c r="NQF69" s="61">
        <f t="shared" si="1694"/>
        <v>-65000000</v>
      </c>
      <c r="NQG69" s="61">
        <f t="shared" si="1694"/>
        <v>-65000000</v>
      </c>
      <c r="NQH69" s="61">
        <f t="shared" si="1694"/>
        <v>-65000000</v>
      </c>
      <c r="NQI69" s="61">
        <f t="shared" si="1694"/>
        <v>-65000000</v>
      </c>
      <c r="NQJ69" s="61">
        <f t="shared" si="1694"/>
        <v>-65000000</v>
      </c>
      <c r="NQK69" s="61">
        <f t="shared" si="1694"/>
        <v>-65000000</v>
      </c>
      <c r="NQL69" s="61">
        <f t="shared" si="1694"/>
        <v>-65000000</v>
      </c>
      <c r="NQM69" s="61">
        <f t="shared" si="1694"/>
        <v>-65000000</v>
      </c>
      <c r="NQN69" s="61">
        <f t="shared" si="1694"/>
        <v>-65000000</v>
      </c>
      <c r="NQO69" s="61">
        <f t="shared" si="1694"/>
        <v>-65000000</v>
      </c>
      <c r="NQP69" s="61">
        <f t="shared" si="1694"/>
        <v>-65000000</v>
      </c>
      <c r="NQQ69" s="61">
        <f t="shared" si="1694"/>
        <v>-65000000</v>
      </c>
      <c r="NQR69" s="61">
        <f t="shared" si="1694"/>
        <v>-65000000</v>
      </c>
      <c r="NQS69" s="61">
        <f t="shared" si="1694"/>
        <v>-65000000</v>
      </c>
      <c r="NQT69" s="61">
        <f t="shared" si="1694"/>
        <v>-65000000</v>
      </c>
      <c r="NQU69" s="61">
        <f t="shared" si="1694"/>
        <v>-65000000</v>
      </c>
      <c r="NQV69" s="61">
        <f t="shared" si="1694"/>
        <v>-65000000</v>
      </c>
      <c r="NQW69" s="61">
        <f t="shared" si="1694"/>
        <v>-65000000</v>
      </c>
      <c r="NQX69" s="61">
        <f t="shared" si="1694"/>
        <v>-65000000</v>
      </c>
      <c r="NQY69" s="61">
        <f t="shared" si="1694"/>
        <v>-65000000</v>
      </c>
      <c r="NQZ69" s="61">
        <f t="shared" si="1694"/>
        <v>-65000000</v>
      </c>
      <c r="NRA69" s="61">
        <f t="shared" si="1694"/>
        <v>-65000000</v>
      </c>
      <c r="NRB69" s="61">
        <f t="shared" si="1694"/>
        <v>-65000000</v>
      </c>
      <c r="NRC69" s="61">
        <f t="shared" si="1694"/>
        <v>-65000000</v>
      </c>
      <c r="NRD69" s="61">
        <f t="shared" si="1694"/>
        <v>-65000000</v>
      </c>
      <c r="NRE69" s="61">
        <f t="shared" si="1694"/>
        <v>-65000000</v>
      </c>
      <c r="NRF69" s="61">
        <f t="shared" si="1694"/>
        <v>-65000000</v>
      </c>
      <c r="NRG69" s="61">
        <f t="shared" si="1694"/>
        <v>-65000000</v>
      </c>
      <c r="NRH69" s="61">
        <f t="shared" si="1694"/>
        <v>-65000000</v>
      </c>
      <c r="NRI69" s="61">
        <f t="shared" si="1694"/>
        <v>-65000000</v>
      </c>
      <c r="NRJ69" s="61">
        <f t="shared" si="1694"/>
        <v>-65000000</v>
      </c>
      <c r="NRK69" s="61">
        <f t="shared" si="1694"/>
        <v>-65000000</v>
      </c>
      <c r="NRL69" s="61">
        <f t="shared" si="1694"/>
        <v>-65000000</v>
      </c>
      <c r="NRM69" s="61">
        <f t="shared" si="1694"/>
        <v>-65000000</v>
      </c>
      <c r="NRN69" s="61">
        <f t="shared" si="1694"/>
        <v>-65000000</v>
      </c>
      <c r="NRO69" s="61">
        <f t="shared" si="1694"/>
        <v>-65000000</v>
      </c>
      <c r="NRP69" s="61">
        <f t="shared" si="1694"/>
        <v>-65000000</v>
      </c>
      <c r="NRQ69" s="61">
        <f t="shared" si="1694"/>
        <v>-65000000</v>
      </c>
      <c r="NRR69" s="61">
        <f t="shared" si="1694"/>
        <v>-65000000</v>
      </c>
      <c r="NRS69" s="61">
        <f t="shared" ref="NRS69:NUD69" si="1695">NRS68-$EC$11-NRS11</f>
        <v>-65000000</v>
      </c>
      <c r="NRT69" s="61">
        <f t="shared" si="1695"/>
        <v>-65000000</v>
      </c>
      <c r="NRU69" s="61">
        <f t="shared" si="1695"/>
        <v>-65000000</v>
      </c>
      <c r="NRV69" s="61">
        <f t="shared" si="1695"/>
        <v>-65000000</v>
      </c>
      <c r="NRW69" s="61">
        <f t="shared" si="1695"/>
        <v>-65000000</v>
      </c>
      <c r="NRX69" s="61">
        <f t="shared" si="1695"/>
        <v>-65000000</v>
      </c>
      <c r="NRY69" s="61">
        <f t="shared" si="1695"/>
        <v>-65000000</v>
      </c>
      <c r="NRZ69" s="61">
        <f t="shared" si="1695"/>
        <v>-65000000</v>
      </c>
      <c r="NSA69" s="61">
        <f t="shared" si="1695"/>
        <v>-65000000</v>
      </c>
      <c r="NSB69" s="61">
        <f t="shared" si="1695"/>
        <v>-65000000</v>
      </c>
      <c r="NSC69" s="61">
        <f t="shared" si="1695"/>
        <v>-65000000</v>
      </c>
      <c r="NSD69" s="61">
        <f t="shared" si="1695"/>
        <v>-65000000</v>
      </c>
      <c r="NSE69" s="61">
        <f t="shared" si="1695"/>
        <v>-65000000</v>
      </c>
      <c r="NSF69" s="61">
        <f t="shared" si="1695"/>
        <v>-65000000</v>
      </c>
      <c r="NSG69" s="61">
        <f t="shared" si="1695"/>
        <v>-65000000</v>
      </c>
      <c r="NSH69" s="61">
        <f t="shared" si="1695"/>
        <v>-65000000</v>
      </c>
      <c r="NSI69" s="61">
        <f t="shared" si="1695"/>
        <v>-65000000</v>
      </c>
      <c r="NSJ69" s="61">
        <f t="shared" si="1695"/>
        <v>-65000000</v>
      </c>
      <c r="NSK69" s="61">
        <f t="shared" si="1695"/>
        <v>-65000000</v>
      </c>
      <c r="NSL69" s="61">
        <f t="shared" si="1695"/>
        <v>-65000000</v>
      </c>
      <c r="NSM69" s="61">
        <f t="shared" si="1695"/>
        <v>-65000000</v>
      </c>
      <c r="NSN69" s="61">
        <f t="shared" si="1695"/>
        <v>-65000000</v>
      </c>
      <c r="NSO69" s="61">
        <f t="shared" si="1695"/>
        <v>-65000000</v>
      </c>
      <c r="NSP69" s="61">
        <f t="shared" si="1695"/>
        <v>-65000000</v>
      </c>
      <c r="NSQ69" s="61">
        <f t="shared" si="1695"/>
        <v>-65000000</v>
      </c>
      <c r="NSR69" s="61">
        <f t="shared" si="1695"/>
        <v>-65000000</v>
      </c>
      <c r="NSS69" s="61">
        <f t="shared" si="1695"/>
        <v>-65000000</v>
      </c>
      <c r="NST69" s="61">
        <f t="shared" si="1695"/>
        <v>-65000000</v>
      </c>
      <c r="NSU69" s="61">
        <f t="shared" si="1695"/>
        <v>-65000000</v>
      </c>
      <c r="NSV69" s="61">
        <f t="shared" si="1695"/>
        <v>-65000000</v>
      </c>
      <c r="NSW69" s="61">
        <f t="shared" si="1695"/>
        <v>-65000000</v>
      </c>
      <c r="NSX69" s="61">
        <f t="shared" si="1695"/>
        <v>-65000000</v>
      </c>
      <c r="NSY69" s="61">
        <f t="shared" si="1695"/>
        <v>-65000000</v>
      </c>
      <c r="NSZ69" s="61">
        <f t="shared" si="1695"/>
        <v>-65000000</v>
      </c>
      <c r="NTA69" s="61">
        <f t="shared" si="1695"/>
        <v>-65000000</v>
      </c>
      <c r="NTB69" s="61">
        <f t="shared" si="1695"/>
        <v>-65000000</v>
      </c>
      <c r="NTC69" s="61">
        <f t="shared" si="1695"/>
        <v>-65000000</v>
      </c>
      <c r="NTD69" s="61">
        <f t="shared" si="1695"/>
        <v>-65000000</v>
      </c>
      <c r="NTE69" s="61">
        <f t="shared" si="1695"/>
        <v>-65000000</v>
      </c>
      <c r="NTF69" s="61">
        <f t="shared" si="1695"/>
        <v>-65000000</v>
      </c>
      <c r="NTG69" s="61">
        <f t="shared" si="1695"/>
        <v>-65000000</v>
      </c>
      <c r="NTH69" s="61">
        <f t="shared" si="1695"/>
        <v>-65000000</v>
      </c>
      <c r="NTI69" s="61">
        <f t="shared" si="1695"/>
        <v>-65000000</v>
      </c>
      <c r="NTJ69" s="61">
        <f t="shared" si="1695"/>
        <v>-65000000</v>
      </c>
      <c r="NTK69" s="61">
        <f t="shared" si="1695"/>
        <v>-65000000</v>
      </c>
      <c r="NTL69" s="61">
        <f t="shared" si="1695"/>
        <v>-65000000</v>
      </c>
      <c r="NTM69" s="61">
        <f t="shared" si="1695"/>
        <v>-65000000</v>
      </c>
      <c r="NTN69" s="61">
        <f t="shared" si="1695"/>
        <v>-65000000</v>
      </c>
      <c r="NTO69" s="61">
        <f t="shared" si="1695"/>
        <v>-65000000</v>
      </c>
      <c r="NTP69" s="61">
        <f t="shared" si="1695"/>
        <v>-65000000</v>
      </c>
      <c r="NTQ69" s="61">
        <f t="shared" si="1695"/>
        <v>-65000000</v>
      </c>
      <c r="NTR69" s="61">
        <f t="shared" si="1695"/>
        <v>-65000000</v>
      </c>
      <c r="NTS69" s="61">
        <f t="shared" si="1695"/>
        <v>-65000000</v>
      </c>
      <c r="NTT69" s="61">
        <f t="shared" si="1695"/>
        <v>-65000000</v>
      </c>
      <c r="NTU69" s="61">
        <f t="shared" si="1695"/>
        <v>-65000000</v>
      </c>
      <c r="NTV69" s="61">
        <f t="shared" si="1695"/>
        <v>-65000000</v>
      </c>
      <c r="NTW69" s="61">
        <f t="shared" si="1695"/>
        <v>-65000000</v>
      </c>
      <c r="NTX69" s="61">
        <f t="shared" si="1695"/>
        <v>-65000000</v>
      </c>
      <c r="NTY69" s="61">
        <f t="shared" si="1695"/>
        <v>-65000000</v>
      </c>
      <c r="NTZ69" s="61">
        <f t="shared" si="1695"/>
        <v>-65000000</v>
      </c>
      <c r="NUA69" s="61">
        <f t="shared" si="1695"/>
        <v>-65000000</v>
      </c>
      <c r="NUB69" s="61">
        <f t="shared" si="1695"/>
        <v>-65000000</v>
      </c>
      <c r="NUC69" s="61">
        <f t="shared" si="1695"/>
        <v>-65000000</v>
      </c>
      <c r="NUD69" s="61">
        <f t="shared" si="1695"/>
        <v>-65000000</v>
      </c>
      <c r="NUE69" s="61">
        <f t="shared" ref="NUE69:NWP69" si="1696">NUE68-$EC$11-NUE11</f>
        <v>-65000000</v>
      </c>
      <c r="NUF69" s="61">
        <f t="shared" si="1696"/>
        <v>-65000000</v>
      </c>
      <c r="NUG69" s="61">
        <f t="shared" si="1696"/>
        <v>-65000000</v>
      </c>
      <c r="NUH69" s="61">
        <f t="shared" si="1696"/>
        <v>-65000000</v>
      </c>
      <c r="NUI69" s="61">
        <f t="shared" si="1696"/>
        <v>-65000000</v>
      </c>
      <c r="NUJ69" s="61">
        <f t="shared" si="1696"/>
        <v>-65000000</v>
      </c>
      <c r="NUK69" s="61">
        <f t="shared" si="1696"/>
        <v>-65000000</v>
      </c>
      <c r="NUL69" s="61">
        <f t="shared" si="1696"/>
        <v>-65000000</v>
      </c>
      <c r="NUM69" s="61">
        <f t="shared" si="1696"/>
        <v>-65000000</v>
      </c>
      <c r="NUN69" s="61">
        <f t="shared" si="1696"/>
        <v>-65000000</v>
      </c>
      <c r="NUO69" s="61">
        <f t="shared" si="1696"/>
        <v>-65000000</v>
      </c>
      <c r="NUP69" s="61">
        <f t="shared" si="1696"/>
        <v>-65000000</v>
      </c>
      <c r="NUQ69" s="61">
        <f t="shared" si="1696"/>
        <v>-65000000</v>
      </c>
      <c r="NUR69" s="61">
        <f t="shared" si="1696"/>
        <v>-65000000</v>
      </c>
      <c r="NUS69" s="61">
        <f t="shared" si="1696"/>
        <v>-65000000</v>
      </c>
      <c r="NUT69" s="61">
        <f t="shared" si="1696"/>
        <v>-65000000</v>
      </c>
      <c r="NUU69" s="61">
        <f t="shared" si="1696"/>
        <v>-65000000</v>
      </c>
      <c r="NUV69" s="61">
        <f t="shared" si="1696"/>
        <v>-65000000</v>
      </c>
      <c r="NUW69" s="61">
        <f t="shared" si="1696"/>
        <v>-65000000</v>
      </c>
      <c r="NUX69" s="61">
        <f t="shared" si="1696"/>
        <v>-65000000</v>
      </c>
      <c r="NUY69" s="61">
        <f t="shared" si="1696"/>
        <v>-65000000</v>
      </c>
      <c r="NUZ69" s="61">
        <f t="shared" si="1696"/>
        <v>-65000000</v>
      </c>
      <c r="NVA69" s="61">
        <f t="shared" si="1696"/>
        <v>-65000000</v>
      </c>
      <c r="NVB69" s="61">
        <f t="shared" si="1696"/>
        <v>-65000000</v>
      </c>
      <c r="NVC69" s="61">
        <f t="shared" si="1696"/>
        <v>-65000000</v>
      </c>
      <c r="NVD69" s="61">
        <f t="shared" si="1696"/>
        <v>-65000000</v>
      </c>
      <c r="NVE69" s="61">
        <f t="shared" si="1696"/>
        <v>-65000000</v>
      </c>
      <c r="NVF69" s="61">
        <f t="shared" si="1696"/>
        <v>-65000000</v>
      </c>
      <c r="NVG69" s="61">
        <f t="shared" si="1696"/>
        <v>-65000000</v>
      </c>
      <c r="NVH69" s="61">
        <f t="shared" si="1696"/>
        <v>-65000000</v>
      </c>
      <c r="NVI69" s="61">
        <f t="shared" si="1696"/>
        <v>-65000000</v>
      </c>
      <c r="NVJ69" s="61">
        <f t="shared" si="1696"/>
        <v>-65000000</v>
      </c>
      <c r="NVK69" s="61">
        <f t="shared" si="1696"/>
        <v>-65000000</v>
      </c>
      <c r="NVL69" s="61">
        <f t="shared" si="1696"/>
        <v>-65000000</v>
      </c>
      <c r="NVM69" s="61">
        <f t="shared" si="1696"/>
        <v>-65000000</v>
      </c>
      <c r="NVN69" s="61">
        <f t="shared" si="1696"/>
        <v>-65000000</v>
      </c>
      <c r="NVO69" s="61">
        <f t="shared" si="1696"/>
        <v>-65000000</v>
      </c>
      <c r="NVP69" s="61">
        <f t="shared" si="1696"/>
        <v>-65000000</v>
      </c>
      <c r="NVQ69" s="61">
        <f t="shared" si="1696"/>
        <v>-65000000</v>
      </c>
      <c r="NVR69" s="61">
        <f t="shared" si="1696"/>
        <v>-65000000</v>
      </c>
      <c r="NVS69" s="61">
        <f t="shared" si="1696"/>
        <v>-65000000</v>
      </c>
      <c r="NVT69" s="61">
        <f t="shared" si="1696"/>
        <v>-65000000</v>
      </c>
      <c r="NVU69" s="61">
        <f t="shared" si="1696"/>
        <v>-65000000</v>
      </c>
      <c r="NVV69" s="61">
        <f t="shared" si="1696"/>
        <v>-65000000</v>
      </c>
      <c r="NVW69" s="61">
        <f t="shared" si="1696"/>
        <v>-65000000</v>
      </c>
      <c r="NVX69" s="61">
        <f t="shared" si="1696"/>
        <v>-65000000</v>
      </c>
      <c r="NVY69" s="61">
        <f t="shared" si="1696"/>
        <v>-65000000</v>
      </c>
      <c r="NVZ69" s="61">
        <f t="shared" si="1696"/>
        <v>-65000000</v>
      </c>
      <c r="NWA69" s="61">
        <f t="shared" si="1696"/>
        <v>-65000000</v>
      </c>
      <c r="NWB69" s="61">
        <f t="shared" si="1696"/>
        <v>-65000000</v>
      </c>
      <c r="NWC69" s="61">
        <f t="shared" si="1696"/>
        <v>-65000000</v>
      </c>
      <c r="NWD69" s="61">
        <f t="shared" si="1696"/>
        <v>-65000000</v>
      </c>
      <c r="NWE69" s="61">
        <f t="shared" si="1696"/>
        <v>-65000000</v>
      </c>
      <c r="NWF69" s="61">
        <f t="shared" si="1696"/>
        <v>-65000000</v>
      </c>
      <c r="NWG69" s="61">
        <f t="shared" si="1696"/>
        <v>-65000000</v>
      </c>
      <c r="NWH69" s="61">
        <f t="shared" si="1696"/>
        <v>-65000000</v>
      </c>
      <c r="NWI69" s="61">
        <f t="shared" si="1696"/>
        <v>-65000000</v>
      </c>
      <c r="NWJ69" s="61">
        <f t="shared" si="1696"/>
        <v>-65000000</v>
      </c>
      <c r="NWK69" s="61">
        <f t="shared" si="1696"/>
        <v>-65000000</v>
      </c>
      <c r="NWL69" s="61">
        <f t="shared" si="1696"/>
        <v>-65000000</v>
      </c>
      <c r="NWM69" s="61">
        <f t="shared" si="1696"/>
        <v>-65000000</v>
      </c>
      <c r="NWN69" s="61">
        <f t="shared" si="1696"/>
        <v>-65000000</v>
      </c>
      <c r="NWO69" s="61">
        <f t="shared" si="1696"/>
        <v>-65000000</v>
      </c>
      <c r="NWP69" s="61">
        <f t="shared" si="1696"/>
        <v>-65000000</v>
      </c>
      <c r="NWQ69" s="61">
        <f t="shared" ref="NWQ69:NZB69" si="1697">NWQ68-$EC$11-NWQ11</f>
        <v>-65000000</v>
      </c>
      <c r="NWR69" s="61">
        <f t="shared" si="1697"/>
        <v>-65000000</v>
      </c>
      <c r="NWS69" s="61">
        <f t="shared" si="1697"/>
        <v>-65000000</v>
      </c>
      <c r="NWT69" s="61">
        <f t="shared" si="1697"/>
        <v>-65000000</v>
      </c>
      <c r="NWU69" s="61">
        <f t="shared" si="1697"/>
        <v>-65000000</v>
      </c>
      <c r="NWV69" s="61">
        <f t="shared" si="1697"/>
        <v>-65000000</v>
      </c>
      <c r="NWW69" s="61">
        <f t="shared" si="1697"/>
        <v>-65000000</v>
      </c>
      <c r="NWX69" s="61">
        <f t="shared" si="1697"/>
        <v>-65000000</v>
      </c>
      <c r="NWY69" s="61">
        <f t="shared" si="1697"/>
        <v>-65000000</v>
      </c>
      <c r="NWZ69" s="61">
        <f t="shared" si="1697"/>
        <v>-65000000</v>
      </c>
      <c r="NXA69" s="61">
        <f t="shared" si="1697"/>
        <v>-65000000</v>
      </c>
      <c r="NXB69" s="61">
        <f t="shared" si="1697"/>
        <v>-65000000</v>
      </c>
      <c r="NXC69" s="61">
        <f t="shared" si="1697"/>
        <v>-65000000</v>
      </c>
      <c r="NXD69" s="61">
        <f t="shared" si="1697"/>
        <v>-65000000</v>
      </c>
      <c r="NXE69" s="61">
        <f t="shared" si="1697"/>
        <v>-65000000</v>
      </c>
      <c r="NXF69" s="61">
        <f t="shared" si="1697"/>
        <v>-65000000</v>
      </c>
      <c r="NXG69" s="61">
        <f t="shared" si="1697"/>
        <v>-65000000</v>
      </c>
      <c r="NXH69" s="61">
        <f t="shared" si="1697"/>
        <v>-65000000</v>
      </c>
      <c r="NXI69" s="61">
        <f t="shared" si="1697"/>
        <v>-65000000</v>
      </c>
      <c r="NXJ69" s="61">
        <f t="shared" si="1697"/>
        <v>-65000000</v>
      </c>
      <c r="NXK69" s="61">
        <f t="shared" si="1697"/>
        <v>-65000000</v>
      </c>
      <c r="NXL69" s="61">
        <f t="shared" si="1697"/>
        <v>-65000000</v>
      </c>
      <c r="NXM69" s="61">
        <f t="shared" si="1697"/>
        <v>-65000000</v>
      </c>
      <c r="NXN69" s="61">
        <f t="shared" si="1697"/>
        <v>-65000000</v>
      </c>
      <c r="NXO69" s="61">
        <f t="shared" si="1697"/>
        <v>-65000000</v>
      </c>
      <c r="NXP69" s="61">
        <f t="shared" si="1697"/>
        <v>-65000000</v>
      </c>
      <c r="NXQ69" s="61">
        <f t="shared" si="1697"/>
        <v>-65000000</v>
      </c>
      <c r="NXR69" s="61">
        <f t="shared" si="1697"/>
        <v>-65000000</v>
      </c>
      <c r="NXS69" s="61">
        <f t="shared" si="1697"/>
        <v>-65000000</v>
      </c>
      <c r="NXT69" s="61">
        <f t="shared" si="1697"/>
        <v>-65000000</v>
      </c>
      <c r="NXU69" s="61">
        <f t="shared" si="1697"/>
        <v>-65000000</v>
      </c>
      <c r="NXV69" s="61">
        <f t="shared" si="1697"/>
        <v>-65000000</v>
      </c>
      <c r="NXW69" s="61">
        <f t="shared" si="1697"/>
        <v>-65000000</v>
      </c>
      <c r="NXX69" s="61">
        <f t="shared" si="1697"/>
        <v>-65000000</v>
      </c>
      <c r="NXY69" s="61">
        <f t="shared" si="1697"/>
        <v>-65000000</v>
      </c>
      <c r="NXZ69" s="61">
        <f t="shared" si="1697"/>
        <v>-65000000</v>
      </c>
      <c r="NYA69" s="61">
        <f t="shared" si="1697"/>
        <v>-65000000</v>
      </c>
      <c r="NYB69" s="61">
        <f t="shared" si="1697"/>
        <v>-65000000</v>
      </c>
      <c r="NYC69" s="61">
        <f t="shared" si="1697"/>
        <v>-65000000</v>
      </c>
      <c r="NYD69" s="61">
        <f t="shared" si="1697"/>
        <v>-65000000</v>
      </c>
      <c r="NYE69" s="61">
        <f t="shared" si="1697"/>
        <v>-65000000</v>
      </c>
      <c r="NYF69" s="61">
        <f t="shared" si="1697"/>
        <v>-65000000</v>
      </c>
      <c r="NYG69" s="61">
        <f t="shared" si="1697"/>
        <v>-65000000</v>
      </c>
      <c r="NYH69" s="61">
        <f t="shared" si="1697"/>
        <v>-65000000</v>
      </c>
      <c r="NYI69" s="61">
        <f t="shared" si="1697"/>
        <v>-65000000</v>
      </c>
      <c r="NYJ69" s="61">
        <f t="shared" si="1697"/>
        <v>-65000000</v>
      </c>
      <c r="NYK69" s="61">
        <f t="shared" si="1697"/>
        <v>-65000000</v>
      </c>
      <c r="NYL69" s="61">
        <f t="shared" si="1697"/>
        <v>-65000000</v>
      </c>
      <c r="NYM69" s="61">
        <f t="shared" si="1697"/>
        <v>-65000000</v>
      </c>
      <c r="NYN69" s="61">
        <f t="shared" si="1697"/>
        <v>-65000000</v>
      </c>
      <c r="NYO69" s="61">
        <f t="shared" si="1697"/>
        <v>-65000000</v>
      </c>
      <c r="NYP69" s="61">
        <f t="shared" si="1697"/>
        <v>-65000000</v>
      </c>
      <c r="NYQ69" s="61">
        <f t="shared" si="1697"/>
        <v>-65000000</v>
      </c>
      <c r="NYR69" s="61">
        <f t="shared" si="1697"/>
        <v>-65000000</v>
      </c>
      <c r="NYS69" s="61">
        <f t="shared" si="1697"/>
        <v>-65000000</v>
      </c>
      <c r="NYT69" s="61">
        <f t="shared" si="1697"/>
        <v>-65000000</v>
      </c>
      <c r="NYU69" s="61">
        <f t="shared" si="1697"/>
        <v>-65000000</v>
      </c>
      <c r="NYV69" s="61">
        <f t="shared" si="1697"/>
        <v>-65000000</v>
      </c>
      <c r="NYW69" s="61">
        <f t="shared" si="1697"/>
        <v>-65000000</v>
      </c>
      <c r="NYX69" s="61">
        <f t="shared" si="1697"/>
        <v>-65000000</v>
      </c>
      <c r="NYY69" s="61">
        <f t="shared" si="1697"/>
        <v>-65000000</v>
      </c>
      <c r="NYZ69" s="61">
        <f t="shared" si="1697"/>
        <v>-65000000</v>
      </c>
      <c r="NZA69" s="61">
        <f t="shared" si="1697"/>
        <v>-65000000</v>
      </c>
      <c r="NZB69" s="61">
        <f t="shared" si="1697"/>
        <v>-65000000</v>
      </c>
      <c r="NZC69" s="61">
        <f t="shared" ref="NZC69:OBN69" si="1698">NZC68-$EC$11-NZC11</f>
        <v>-65000000</v>
      </c>
      <c r="NZD69" s="61">
        <f t="shared" si="1698"/>
        <v>-65000000</v>
      </c>
      <c r="NZE69" s="61">
        <f t="shared" si="1698"/>
        <v>-65000000</v>
      </c>
      <c r="NZF69" s="61">
        <f t="shared" si="1698"/>
        <v>-65000000</v>
      </c>
      <c r="NZG69" s="61">
        <f t="shared" si="1698"/>
        <v>-65000000</v>
      </c>
      <c r="NZH69" s="61">
        <f t="shared" si="1698"/>
        <v>-65000000</v>
      </c>
      <c r="NZI69" s="61">
        <f t="shared" si="1698"/>
        <v>-65000000</v>
      </c>
      <c r="NZJ69" s="61">
        <f t="shared" si="1698"/>
        <v>-65000000</v>
      </c>
      <c r="NZK69" s="61">
        <f t="shared" si="1698"/>
        <v>-65000000</v>
      </c>
      <c r="NZL69" s="61">
        <f t="shared" si="1698"/>
        <v>-65000000</v>
      </c>
      <c r="NZM69" s="61">
        <f t="shared" si="1698"/>
        <v>-65000000</v>
      </c>
      <c r="NZN69" s="61">
        <f t="shared" si="1698"/>
        <v>-65000000</v>
      </c>
      <c r="NZO69" s="61">
        <f t="shared" si="1698"/>
        <v>-65000000</v>
      </c>
      <c r="NZP69" s="61">
        <f t="shared" si="1698"/>
        <v>-65000000</v>
      </c>
      <c r="NZQ69" s="61">
        <f t="shared" si="1698"/>
        <v>-65000000</v>
      </c>
      <c r="NZR69" s="61">
        <f t="shared" si="1698"/>
        <v>-65000000</v>
      </c>
      <c r="NZS69" s="61">
        <f t="shared" si="1698"/>
        <v>-65000000</v>
      </c>
      <c r="NZT69" s="61">
        <f t="shared" si="1698"/>
        <v>-65000000</v>
      </c>
      <c r="NZU69" s="61">
        <f t="shared" si="1698"/>
        <v>-65000000</v>
      </c>
      <c r="NZV69" s="61">
        <f t="shared" si="1698"/>
        <v>-65000000</v>
      </c>
      <c r="NZW69" s="61">
        <f t="shared" si="1698"/>
        <v>-65000000</v>
      </c>
      <c r="NZX69" s="61">
        <f t="shared" si="1698"/>
        <v>-65000000</v>
      </c>
      <c r="NZY69" s="61">
        <f t="shared" si="1698"/>
        <v>-65000000</v>
      </c>
      <c r="NZZ69" s="61">
        <f t="shared" si="1698"/>
        <v>-65000000</v>
      </c>
      <c r="OAA69" s="61">
        <f t="shared" si="1698"/>
        <v>-65000000</v>
      </c>
      <c r="OAB69" s="61">
        <f t="shared" si="1698"/>
        <v>-65000000</v>
      </c>
      <c r="OAC69" s="61">
        <f t="shared" si="1698"/>
        <v>-65000000</v>
      </c>
      <c r="OAD69" s="61">
        <f t="shared" si="1698"/>
        <v>-65000000</v>
      </c>
      <c r="OAE69" s="61">
        <f t="shared" si="1698"/>
        <v>-65000000</v>
      </c>
      <c r="OAF69" s="61">
        <f t="shared" si="1698"/>
        <v>-65000000</v>
      </c>
      <c r="OAG69" s="61">
        <f t="shared" si="1698"/>
        <v>-65000000</v>
      </c>
      <c r="OAH69" s="61">
        <f t="shared" si="1698"/>
        <v>-65000000</v>
      </c>
      <c r="OAI69" s="61">
        <f t="shared" si="1698"/>
        <v>-65000000</v>
      </c>
      <c r="OAJ69" s="61">
        <f t="shared" si="1698"/>
        <v>-65000000</v>
      </c>
      <c r="OAK69" s="61">
        <f t="shared" si="1698"/>
        <v>-65000000</v>
      </c>
      <c r="OAL69" s="61">
        <f t="shared" si="1698"/>
        <v>-65000000</v>
      </c>
      <c r="OAM69" s="61">
        <f t="shared" si="1698"/>
        <v>-65000000</v>
      </c>
      <c r="OAN69" s="61">
        <f t="shared" si="1698"/>
        <v>-65000000</v>
      </c>
      <c r="OAO69" s="61">
        <f t="shared" si="1698"/>
        <v>-65000000</v>
      </c>
      <c r="OAP69" s="61">
        <f t="shared" si="1698"/>
        <v>-65000000</v>
      </c>
      <c r="OAQ69" s="61">
        <f t="shared" si="1698"/>
        <v>-65000000</v>
      </c>
      <c r="OAR69" s="61">
        <f t="shared" si="1698"/>
        <v>-65000000</v>
      </c>
      <c r="OAS69" s="61">
        <f t="shared" si="1698"/>
        <v>-65000000</v>
      </c>
      <c r="OAT69" s="61">
        <f t="shared" si="1698"/>
        <v>-65000000</v>
      </c>
      <c r="OAU69" s="61">
        <f t="shared" si="1698"/>
        <v>-65000000</v>
      </c>
      <c r="OAV69" s="61">
        <f t="shared" si="1698"/>
        <v>-65000000</v>
      </c>
      <c r="OAW69" s="61">
        <f t="shared" si="1698"/>
        <v>-65000000</v>
      </c>
      <c r="OAX69" s="61">
        <f t="shared" si="1698"/>
        <v>-65000000</v>
      </c>
      <c r="OAY69" s="61">
        <f t="shared" si="1698"/>
        <v>-65000000</v>
      </c>
      <c r="OAZ69" s="61">
        <f t="shared" si="1698"/>
        <v>-65000000</v>
      </c>
      <c r="OBA69" s="61">
        <f t="shared" si="1698"/>
        <v>-65000000</v>
      </c>
      <c r="OBB69" s="61">
        <f t="shared" si="1698"/>
        <v>-65000000</v>
      </c>
      <c r="OBC69" s="61">
        <f t="shared" si="1698"/>
        <v>-65000000</v>
      </c>
      <c r="OBD69" s="61">
        <f t="shared" si="1698"/>
        <v>-65000000</v>
      </c>
      <c r="OBE69" s="61">
        <f t="shared" si="1698"/>
        <v>-65000000</v>
      </c>
      <c r="OBF69" s="61">
        <f t="shared" si="1698"/>
        <v>-65000000</v>
      </c>
      <c r="OBG69" s="61">
        <f t="shared" si="1698"/>
        <v>-65000000</v>
      </c>
      <c r="OBH69" s="61">
        <f t="shared" si="1698"/>
        <v>-65000000</v>
      </c>
      <c r="OBI69" s="61">
        <f t="shared" si="1698"/>
        <v>-65000000</v>
      </c>
      <c r="OBJ69" s="61">
        <f t="shared" si="1698"/>
        <v>-65000000</v>
      </c>
      <c r="OBK69" s="61">
        <f t="shared" si="1698"/>
        <v>-65000000</v>
      </c>
      <c r="OBL69" s="61">
        <f t="shared" si="1698"/>
        <v>-65000000</v>
      </c>
      <c r="OBM69" s="61">
        <f t="shared" si="1698"/>
        <v>-65000000</v>
      </c>
      <c r="OBN69" s="61">
        <f t="shared" si="1698"/>
        <v>-65000000</v>
      </c>
      <c r="OBO69" s="61">
        <f t="shared" ref="OBO69:ODZ69" si="1699">OBO68-$EC$11-OBO11</f>
        <v>-65000000</v>
      </c>
      <c r="OBP69" s="61">
        <f t="shared" si="1699"/>
        <v>-65000000</v>
      </c>
      <c r="OBQ69" s="61">
        <f t="shared" si="1699"/>
        <v>-65000000</v>
      </c>
      <c r="OBR69" s="61">
        <f t="shared" si="1699"/>
        <v>-65000000</v>
      </c>
      <c r="OBS69" s="61">
        <f t="shared" si="1699"/>
        <v>-65000000</v>
      </c>
      <c r="OBT69" s="61">
        <f t="shared" si="1699"/>
        <v>-65000000</v>
      </c>
      <c r="OBU69" s="61">
        <f t="shared" si="1699"/>
        <v>-65000000</v>
      </c>
      <c r="OBV69" s="61">
        <f t="shared" si="1699"/>
        <v>-65000000</v>
      </c>
      <c r="OBW69" s="61">
        <f t="shared" si="1699"/>
        <v>-65000000</v>
      </c>
      <c r="OBX69" s="61">
        <f t="shared" si="1699"/>
        <v>-65000000</v>
      </c>
      <c r="OBY69" s="61">
        <f t="shared" si="1699"/>
        <v>-65000000</v>
      </c>
      <c r="OBZ69" s="61">
        <f t="shared" si="1699"/>
        <v>-65000000</v>
      </c>
      <c r="OCA69" s="61">
        <f t="shared" si="1699"/>
        <v>-65000000</v>
      </c>
      <c r="OCB69" s="61">
        <f t="shared" si="1699"/>
        <v>-65000000</v>
      </c>
      <c r="OCC69" s="61">
        <f t="shared" si="1699"/>
        <v>-65000000</v>
      </c>
      <c r="OCD69" s="61">
        <f t="shared" si="1699"/>
        <v>-65000000</v>
      </c>
      <c r="OCE69" s="61">
        <f t="shared" si="1699"/>
        <v>-65000000</v>
      </c>
      <c r="OCF69" s="61">
        <f t="shared" si="1699"/>
        <v>-65000000</v>
      </c>
      <c r="OCG69" s="61">
        <f t="shared" si="1699"/>
        <v>-65000000</v>
      </c>
      <c r="OCH69" s="61">
        <f t="shared" si="1699"/>
        <v>-65000000</v>
      </c>
      <c r="OCI69" s="61">
        <f t="shared" si="1699"/>
        <v>-65000000</v>
      </c>
      <c r="OCJ69" s="61">
        <f t="shared" si="1699"/>
        <v>-65000000</v>
      </c>
      <c r="OCK69" s="61">
        <f t="shared" si="1699"/>
        <v>-65000000</v>
      </c>
      <c r="OCL69" s="61">
        <f t="shared" si="1699"/>
        <v>-65000000</v>
      </c>
      <c r="OCM69" s="61">
        <f t="shared" si="1699"/>
        <v>-65000000</v>
      </c>
      <c r="OCN69" s="61">
        <f t="shared" si="1699"/>
        <v>-65000000</v>
      </c>
      <c r="OCO69" s="61">
        <f t="shared" si="1699"/>
        <v>-65000000</v>
      </c>
      <c r="OCP69" s="61">
        <f t="shared" si="1699"/>
        <v>-65000000</v>
      </c>
      <c r="OCQ69" s="61">
        <f t="shared" si="1699"/>
        <v>-65000000</v>
      </c>
      <c r="OCR69" s="61">
        <f t="shared" si="1699"/>
        <v>-65000000</v>
      </c>
      <c r="OCS69" s="61">
        <f t="shared" si="1699"/>
        <v>-65000000</v>
      </c>
      <c r="OCT69" s="61">
        <f t="shared" si="1699"/>
        <v>-65000000</v>
      </c>
      <c r="OCU69" s="61">
        <f t="shared" si="1699"/>
        <v>-65000000</v>
      </c>
      <c r="OCV69" s="61">
        <f t="shared" si="1699"/>
        <v>-65000000</v>
      </c>
      <c r="OCW69" s="61">
        <f t="shared" si="1699"/>
        <v>-65000000</v>
      </c>
      <c r="OCX69" s="61">
        <f t="shared" si="1699"/>
        <v>-65000000</v>
      </c>
      <c r="OCY69" s="61">
        <f t="shared" si="1699"/>
        <v>-65000000</v>
      </c>
      <c r="OCZ69" s="61">
        <f t="shared" si="1699"/>
        <v>-65000000</v>
      </c>
      <c r="ODA69" s="61">
        <f t="shared" si="1699"/>
        <v>-65000000</v>
      </c>
      <c r="ODB69" s="61">
        <f t="shared" si="1699"/>
        <v>-65000000</v>
      </c>
      <c r="ODC69" s="61">
        <f t="shared" si="1699"/>
        <v>-65000000</v>
      </c>
      <c r="ODD69" s="61">
        <f t="shared" si="1699"/>
        <v>-65000000</v>
      </c>
      <c r="ODE69" s="61">
        <f t="shared" si="1699"/>
        <v>-65000000</v>
      </c>
      <c r="ODF69" s="61">
        <f t="shared" si="1699"/>
        <v>-65000000</v>
      </c>
      <c r="ODG69" s="61">
        <f t="shared" si="1699"/>
        <v>-65000000</v>
      </c>
      <c r="ODH69" s="61">
        <f t="shared" si="1699"/>
        <v>-65000000</v>
      </c>
      <c r="ODI69" s="61">
        <f t="shared" si="1699"/>
        <v>-65000000</v>
      </c>
      <c r="ODJ69" s="61">
        <f t="shared" si="1699"/>
        <v>-65000000</v>
      </c>
      <c r="ODK69" s="61">
        <f t="shared" si="1699"/>
        <v>-65000000</v>
      </c>
      <c r="ODL69" s="61">
        <f t="shared" si="1699"/>
        <v>-65000000</v>
      </c>
      <c r="ODM69" s="61">
        <f t="shared" si="1699"/>
        <v>-65000000</v>
      </c>
      <c r="ODN69" s="61">
        <f t="shared" si="1699"/>
        <v>-65000000</v>
      </c>
      <c r="ODO69" s="61">
        <f t="shared" si="1699"/>
        <v>-65000000</v>
      </c>
      <c r="ODP69" s="61">
        <f t="shared" si="1699"/>
        <v>-65000000</v>
      </c>
      <c r="ODQ69" s="61">
        <f t="shared" si="1699"/>
        <v>-65000000</v>
      </c>
      <c r="ODR69" s="61">
        <f t="shared" si="1699"/>
        <v>-65000000</v>
      </c>
      <c r="ODS69" s="61">
        <f t="shared" si="1699"/>
        <v>-65000000</v>
      </c>
      <c r="ODT69" s="61">
        <f t="shared" si="1699"/>
        <v>-65000000</v>
      </c>
      <c r="ODU69" s="61">
        <f t="shared" si="1699"/>
        <v>-65000000</v>
      </c>
      <c r="ODV69" s="61">
        <f t="shared" si="1699"/>
        <v>-65000000</v>
      </c>
      <c r="ODW69" s="61">
        <f t="shared" si="1699"/>
        <v>-65000000</v>
      </c>
      <c r="ODX69" s="61">
        <f t="shared" si="1699"/>
        <v>-65000000</v>
      </c>
      <c r="ODY69" s="61">
        <f t="shared" si="1699"/>
        <v>-65000000</v>
      </c>
      <c r="ODZ69" s="61">
        <f t="shared" si="1699"/>
        <v>-65000000</v>
      </c>
      <c r="OEA69" s="61">
        <f t="shared" ref="OEA69:OGL69" si="1700">OEA68-$EC$11-OEA11</f>
        <v>-65000000</v>
      </c>
      <c r="OEB69" s="61">
        <f t="shared" si="1700"/>
        <v>-65000000</v>
      </c>
      <c r="OEC69" s="61">
        <f t="shared" si="1700"/>
        <v>-65000000</v>
      </c>
      <c r="OED69" s="61">
        <f t="shared" si="1700"/>
        <v>-65000000</v>
      </c>
      <c r="OEE69" s="61">
        <f t="shared" si="1700"/>
        <v>-65000000</v>
      </c>
      <c r="OEF69" s="61">
        <f t="shared" si="1700"/>
        <v>-65000000</v>
      </c>
      <c r="OEG69" s="61">
        <f t="shared" si="1700"/>
        <v>-65000000</v>
      </c>
      <c r="OEH69" s="61">
        <f t="shared" si="1700"/>
        <v>-65000000</v>
      </c>
      <c r="OEI69" s="61">
        <f t="shared" si="1700"/>
        <v>-65000000</v>
      </c>
      <c r="OEJ69" s="61">
        <f t="shared" si="1700"/>
        <v>-65000000</v>
      </c>
      <c r="OEK69" s="61">
        <f t="shared" si="1700"/>
        <v>-65000000</v>
      </c>
      <c r="OEL69" s="61">
        <f t="shared" si="1700"/>
        <v>-65000000</v>
      </c>
      <c r="OEM69" s="61">
        <f t="shared" si="1700"/>
        <v>-65000000</v>
      </c>
      <c r="OEN69" s="61">
        <f t="shared" si="1700"/>
        <v>-65000000</v>
      </c>
      <c r="OEO69" s="61">
        <f t="shared" si="1700"/>
        <v>-65000000</v>
      </c>
      <c r="OEP69" s="61">
        <f t="shared" si="1700"/>
        <v>-65000000</v>
      </c>
      <c r="OEQ69" s="61">
        <f t="shared" si="1700"/>
        <v>-65000000</v>
      </c>
      <c r="OER69" s="61">
        <f t="shared" si="1700"/>
        <v>-65000000</v>
      </c>
      <c r="OES69" s="61">
        <f t="shared" si="1700"/>
        <v>-65000000</v>
      </c>
      <c r="OET69" s="61">
        <f t="shared" si="1700"/>
        <v>-65000000</v>
      </c>
      <c r="OEU69" s="61">
        <f t="shared" si="1700"/>
        <v>-65000000</v>
      </c>
      <c r="OEV69" s="61">
        <f t="shared" si="1700"/>
        <v>-65000000</v>
      </c>
      <c r="OEW69" s="61">
        <f t="shared" si="1700"/>
        <v>-65000000</v>
      </c>
      <c r="OEX69" s="61">
        <f t="shared" si="1700"/>
        <v>-65000000</v>
      </c>
      <c r="OEY69" s="61">
        <f t="shared" si="1700"/>
        <v>-65000000</v>
      </c>
      <c r="OEZ69" s="61">
        <f t="shared" si="1700"/>
        <v>-65000000</v>
      </c>
      <c r="OFA69" s="61">
        <f t="shared" si="1700"/>
        <v>-65000000</v>
      </c>
      <c r="OFB69" s="61">
        <f t="shared" si="1700"/>
        <v>-65000000</v>
      </c>
      <c r="OFC69" s="61">
        <f t="shared" si="1700"/>
        <v>-65000000</v>
      </c>
      <c r="OFD69" s="61">
        <f t="shared" si="1700"/>
        <v>-65000000</v>
      </c>
      <c r="OFE69" s="61">
        <f t="shared" si="1700"/>
        <v>-65000000</v>
      </c>
      <c r="OFF69" s="61">
        <f t="shared" si="1700"/>
        <v>-65000000</v>
      </c>
      <c r="OFG69" s="61">
        <f t="shared" si="1700"/>
        <v>-65000000</v>
      </c>
      <c r="OFH69" s="61">
        <f t="shared" si="1700"/>
        <v>-65000000</v>
      </c>
      <c r="OFI69" s="61">
        <f t="shared" si="1700"/>
        <v>-65000000</v>
      </c>
      <c r="OFJ69" s="61">
        <f t="shared" si="1700"/>
        <v>-65000000</v>
      </c>
      <c r="OFK69" s="61">
        <f t="shared" si="1700"/>
        <v>-65000000</v>
      </c>
      <c r="OFL69" s="61">
        <f t="shared" si="1700"/>
        <v>-65000000</v>
      </c>
      <c r="OFM69" s="61">
        <f t="shared" si="1700"/>
        <v>-65000000</v>
      </c>
      <c r="OFN69" s="61">
        <f t="shared" si="1700"/>
        <v>-65000000</v>
      </c>
      <c r="OFO69" s="61">
        <f t="shared" si="1700"/>
        <v>-65000000</v>
      </c>
      <c r="OFP69" s="61">
        <f t="shared" si="1700"/>
        <v>-65000000</v>
      </c>
      <c r="OFQ69" s="61">
        <f t="shared" si="1700"/>
        <v>-65000000</v>
      </c>
      <c r="OFR69" s="61">
        <f t="shared" si="1700"/>
        <v>-65000000</v>
      </c>
      <c r="OFS69" s="61">
        <f t="shared" si="1700"/>
        <v>-65000000</v>
      </c>
      <c r="OFT69" s="61">
        <f t="shared" si="1700"/>
        <v>-65000000</v>
      </c>
      <c r="OFU69" s="61">
        <f t="shared" si="1700"/>
        <v>-65000000</v>
      </c>
      <c r="OFV69" s="61">
        <f t="shared" si="1700"/>
        <v>-65000000</v>
      </c>
      <c r="OFW69" s="61">
        <f t="shared" si="1700"/>
        <v>-65000000</v>
      </c>
      <c r="OFX69" s="61">
        <f t="shared" si="1700"/>
        <v>-65000000</v>
      </c>
      <c r="OFY69" s="61">
        <f t="shared" si="1700"/>
        <v>-65000000</v>
      </c>
      <c r="OFZ69" s="61">
        <f t="shared" si="1700"/>
        <v>-65000000</v>
      </c>
      <c r="OGA69" s="61">
        <f t="shared" si="1700"/>
        <v>-65000000</v>
      </c>
      <c r="OGB69" s="61">
        <f t="shared" si="1700"/>
        <v>-65000000</v>
      </c>
      <c r="OGC69" s="61">
        <f t="shared" si="1700"/>
        <v>-65000000</v>
      </c>
      <c r="OGD69" s="61">
        <f t="shared" si="1700"/>
        <v>-65000000</v>
      </c>
      <c r="OGE69" s="61">
        <f t="shared" si="1700"/>
        <v>-65000000</v>
      </c>
      <c r="OGF69" s="61">
        <f t="shared" si="1700"/>
        <v>-65000000</v>
      </c>
      <c r="OGG69" s="61">
        <f t="shared" si="1700"/>
        <v>-65000000</v>
      </c>
      <c r="OGH69" s="61">
        <f t="shared" si="1700"/>
        <v>-65000000</v>
      </c>
      <c r="OGI69" s="61">
        <f t="shared" si="1700"/>
        <v>-65000000</v>
      </c>
      <c r="OGJ69" s="61">
        <f t="shared" si="1700"/>
        <v>-65000000</v>
      </c>
      <c r="OGK69" s="61">
        <f t="shared" si="1700"/>
        <v>-65000000</v>
      </c>
      <c r="OGL69" s="61">
        <f t="shared" si="1700"/>
        <v>-65000000</v>
      </c>
      <c r="OGM69" s="61">
        <f t="shared" ref="OGM69:OIX69" si="1701">OGM68-$EC$11-OGM11</f>
        <v>-65000000</v>
      </c>
      <c r="OGN69" s="61">
        <f t="shared" si="1701"/>
        <v>-65000000</v>
      </c>
      <c r="OGO69" s="61">
        <f t="shared" si="1701"/>
        <v>-65000000</v>
      </c>
      <c r="OGP69" s="61">
        <f t="shared" si="1701"/>
        <v>-65000000</v>
      </c>
      <c r="OGQ69" s="61">
        <f t="shared" si="1701"/>
        <v>-65000000</v>
      </c>
      <c r="OGR69" s="61">
        <f t="shared" si="1701"/>
        <v>-65000000</v>
      </c>
      <c r="OGS69" s="61">
        <f t="shared" si="1701"/>
        <v>-65000000</v>
      </c>
      <c r="OGT69" s="61">
        <f t="shared" si="1701"/>
        <v>-65000000</v>
      </c>
      <c r="OGU69" s="61">
        <f t="shared" si="1701"/>
        <v>-65000000</v>
      </c>
      <c r="OGV69" s="61">
        <f t="shared" si="1701"/>
        <v>-65000000</v>
      </c>
      <c r="OGW69" s="61">
        <f t="shared" si="1701"/>
        <v>-65000000</v>
      </c>
      <c r="OGX69" s="61">
        <f t="shared" si="1701"/>
        <v>-65000000</v>
      </c>
      <c r="OGY69" s="61">
        <f t="shared" si="1701"/>
        <v>-65000000</v>
      </c>
      <c r="OGZ69" s="61">
        <f t="shared" si="1701"/>
        <v>-65000000</v>
      </c>
      <c r="OHA69" s="61">
        <f t="shared" si="1701"/>
        <v>-65000000</v>
      </c>
      <c r="OHB69" s="61">
        <f t="shared" si="1701"/>
        <v>-65000000</v>
      </c>
      <c r="OHC69" s="61">
        <f t="shared" si="1701"/>
        <v>-65000000</v>
      </c>
      <c r="OHD69" s="61">
        <f t="shared" si="1701"/>
        <v>-65000000</v>
      </c>
      <c r="OHE69" s="61">
        <f t="shared" si="1701"/>
        <v>-65000000</v>
      </c>
      <c r="OHF69" s="61">
        <f t="shared" si="1701"/>
        <v>-65000000</v>
      </c>
      <c r="OHG69" s="61">
        <f t="shared" si="1701"/>
        <v>-65000000</v>
      </c>
      <c r="OHH69" s="61">
        <f t="shared" si="1701"/>
        <v>-65000000</v>
      </c>
      <c r="OHI69" s="61">
        <f t="shared" si="1701"/>
        <v>-65000000</v>
      </c>
      <c r="OHJ69" s="61">
        <f t="shared" si="1701"/>
        <v>-65000000</v>
      </c>
      <c r="OHK69" s="61">
        <f t="shared" si="1701"/>
        <v>-65000000</v>
      </c>
      <c r="OHL69" s="61">
        <f t="shared" si="1701"/>
        <v>-65000000</v>
      </c>
      <c r="OHM69" s="61">
        <f t="shared" si="1701"/>
        <v>-65000000</v>
      </c>
      <c r="OHN69" s="61">
        <f t="shared" si="1701"/>
        <v>-65000000</v>
      </c>
      <c r="OHO69" s="61">
        <f t="shared" si="1701"/>
        <v>-65000000</v>
      </c>
      <c r="OHP69" s="61">
        <f t="shared" si="1701"/>
        <v>-65000000</v>
      </c>
      <c r="OHQ69" s="61">
        <f t="shared" si="1701"/>
        <v>-65000000</v>
      </c>
      <c r="OHR69" s="61">
        <f t="shared" si="1701"/>
        <v>-65000000</v>
      </c>
      <c r="OHS69" s="61">
        <f t="shared" si="1701"/>
        <v>-65000000</v>
      </c>
      <c r="OHT69" s="61">
        <f t="shared" si="1701"/>
        <v>-65000000</v>
      </c>
      <c r="OHU69" s="61">
        <f t="shared" si="1701"/>
        <v>-65000000</v>
      </c>
      <c r="OHV69" s="61">
        <f t="shared" si="1701"/>
        <v>-65000000</v>
      </c>
      <c r="OHW69" s="61">
        <f t="shared" si="1701"/>
        <v>-65000000</v>
      </c>
      <c r="OHX69" s="61">
        <f t="shared" si="1701"/>
        <v>-65000000</v>
      </c>
      <c r="OHY69" s="61">
        <f t="shared" si="1701"/>
        <v>-65000000</v>
      </c>
      <c r="OHZ69" s="61">
        <f t="shared" si="1701"/>
        <v>-65000000</v>
      </c>
      <c r="OIA69" s="61">
        <f t="shared" si="1701"/>
        <v>-65000000</v>
      </c>
      <c r="OIB69" s="61">
        <f t="shared" si="1701"/>
        <v>-65000000</v>
      </c>
      <c r="OIC69" s="61">
        <f t="shared" si="1701"/>
        <v>-65000000</v>
      </c>
      <c r="OID69" s="61">
        <f t="shared" si="1701"/>
        <v>-65000000</v>
      </c>
      <c r="OIE69" s="61">
        <f t="shared" si="1701"/>
        <v>-65000000</v>
      </c>
      <c r="OIF69" s="61">
        <f t="shared" si="1701"/>
        <v>-65000000</v>
      </c>
      <c r="OIG69" s="61">
        <f t="shared" si="1701"/>
        <v>-65000000</v>
      </c>
      <c r="OIH69" s="61">
        <f t="shared" si="1701"/>
        <v>-65000000</v>
      </c>
      <c r="OII69" s="61">
        <f t="shared" si="1701"/>
        <v>-65000000</v>
      </c>
      <c r="OIJ69" s="61">
        <f t="shared" si="1701"/>
        <v>-65000000</v>
      </c>
      <c r="OIK69" s="61">
        <f t="shared" si="1701"/>
        <v>-65000000</v>
      </c>
      <c r="OIL69" s="61">
        <f t="shared" si="1701"/>
        <v>-65000000</v>
      </c>
      <c r="OIM69" s="61">
        <f t="shared" si="1701"/>
        <v>-65000000</v>
      </c>
      <c r="OIN69" s="61">
        <f t="shared" si="1701"/>
        <v>-65000000</v>
      </c>
      <c r="OIO69" s="61">
        <f t="shared" si="1701"/>
        <v>-65000000</v>
      </c>
      <c r="OIP69" s="61">
        <f t="shared" si="1701"/>
        <v>-65000000</v>
      </c>
      <c r="OIQ69" s="61">
        <f t="shared" si="1701"/>
        <v>-65000000</v>
      </c>
      <c r="OIR69" s="61">
        <f t="shared" si="1701"/>
        <v>-65000000</v>
      </c>
      <c r="OIS69" s="61">
        <f t="shared" si="1701"/>
        <v>-65000000</v>
      </c>
      <c r="OIT69" s="61">
        <f t="shared" si="1701"/>
        <v>-65000000</v>
      </c>
      <c r="OIU69" s="61">
        <f t="shared" si="1701"/>
        <v>-65000000</v>
      </c>
      <c r="OIV69" s="61">
        <f t="shared" si="1701"/>
        <v>-65000000</v>
      </c>
      <c r="OIW69" s="61">
        <f t="shared" si="1701"/>
        <v>-65000000</v>
      </c>
      <c r="OIX69" s="61">
        <f t="shared" si="1701"/>
        <v>-65000000</v>
      </c>
      <c r="OIY69" s="61">
        <f t="shared" ref="OIY69:OLJ69" si="1702">OIY68-$EC$11-OIY11</f>
        <v>-65000000</v>
      </c>
      <c r="OIZ69" s="61">
        <f t="shared" si="1702"/>
        <v>-65000000</v>
      </c>
      <c r="OJA69" s="61">
        <f t="shared" si="1702"/>
        <v>-65000000</v>
      </c>
      <c r="OJB69" s="61">
        <f t="shared" si="1702"/>
        <v>-65000000</v>
      </c>
      <c r="OJC69" s="61">
        <f t="shared" si="1702"/>
        <v>-65000000</v>
      </c>
      <c r="OJD69" s="61">
        <f t="shared" si="1702"/>
        <v>-65000000</v>
      </c>
      <c r="OJE69" s="61">
        <f t="shared" si="1702"/>
        <v>-65000000</v>
      </c>
      <c r="OJF69" s="61">
        <f t="shared" si="1702"/>
        <v>-65000000</v>
      </c>
      <c r="OJG69" s="61">
        <f t="shared" si="1702"/>
        <v>-65000000</v>
      </c>
      <c r="OJH69" s="61">
        <f t="shared" si="1702"/>
        <v>-65000000</v>
      </c>
      <c r="OJI69" s="61">
        <f t="shared" si="1702"/>
        <v>-65000000</v>
      </c>
      <c r="OJJ69" s="61">
        <f t="shared" si="1702"/>
        <v>-65000000</v>
      </c>
      <c r="OJK69" s="61">
        <f t="shared" si="1702"/>
        <v>-65000000</v>
      </c>
      <c r="OJL69" s="61">
        <f t="shared" si="1702"/>
        <v>-65000000</v>
      </c>
      <c r="OJM69" s="61">
        <f t="shared" si="1702"/>
        <v>-65000000</v>
      </c>
      <c r="OJN69" s="61">
        <f t="shared" si="1702"/>
        <v>-65000000</v>
      </c>
      <c r="OJO69" s="61">
        <f t="shared" si="1702"/>
        <v>-65000000</v>
      </c>
      <c r="OJP69" s="61">
        <f t="shared" si="1702"/>
        <v>-65000000</v>
      </c>
      <c r="OJQ69" s="61">
        <f t="shared" si="1702"/>
        <v>-65000000</v>
      </c>
      <c r="OJR69" s="61">
        <f t="shared" si="1702"/>
        <v>-65000000</v>
      </c>
      <c r="OJS69" s="61">
        <f t="shared" si="1702"/>
        <v>-65000000</v>
      </c>
      <c r="OJT69" s="61">
        <f t="shared" si="1702"/>
        <v>-65000000</v>
      </c>
      <c r="OJU69" s="61">
        <f t="shared" si="1702"/>
        <v>-65000000</v>
      </c>
      <c r="OJV69" s="61">
        <f t="shared" si="1702"/>
        <v>-65000000</v>
      </c>
      <c r="OJW69" s="61">
        <f t="shared" si="1702"/>
        <v>-65000000</v>
      </c>
      <c r="OJX69" s="61">
        <f t="shared" si="1702"/>
        <v>-65000000</v>
      </c>
      <c r="OJY69" s="61">
        <f t="shared" si="1702"/>
        <v>-65000000</v>
      </c>
      <c r="OJZ69" s="61">
        <f t="shared" si="1702"/>
        <v>-65000000</v>
      </c>
      <c r="OKA69" s="61">
        <f t="shared" si="1702"/>
        <v>-65000000</v>
      </c>
      <c r="OKB69" s="61">
        <f t="shared" si="1702"/>
        <v>-65000000</v>
      </c>
      <c r="OKC69" s="61">
        <f t="shared" si="1702"/>
        <v>-65000000</v>
      </c>
      <c r="OKD69" s="61">
        <f t="shared" si="1702"/>
        <v>-65000000</v>
      </c>
      <c r="OKE69" s="61">
        <f t="shared" si="1702"/>
        <v>-65000000</v>
      </c>
      <c r="OKF69" s="61">
        <f t="shared" si="1702"/>
        <v>-65000000</v>
      </c>
      <c r="OKG69" s="61">
        <f t="shared" si="1702"/>
        <v>-65000000</v>
      </c>
      <c r="OKH69" s="61">
        <f t="shared" si="1702"/>
        <v>-65000000</v>
      </c>
      <c r="OKI69" s="61">
        <f t="shared" si="1702"/>
        <v>-65000000</v>
      </c>
      <c r="OKJ69" s="61">
        <f t="shared" si="1702"/>
        <v>-65000000</v>
      </c>
      <c r="OKK69" s="61">
        <f t="shared" si="1702"/>
        <v>-65000000</v>
      </c>
      <c r="OKL69" s="61">
        <f t="shared" si="1702"/>
        <v>-65000000</v>
      </c>
      <c r="OKM69" s="61">
        <f t="shared" si="1702"/>
        <v>-65000000</v>
      </c>
      <c r="OKN69" s="61">
        <f t="shared" si="1702"/>
        <v>-65000000</v>
      </c>
      <c r="OKO69" s="61">
        <f t="shared" si="1702"/>
        <v>-65000000</v>
      </c>
      <c r="OKP69" s="61">
        <f t="shared" si="1702"/>
        <v>-65000000</v>
      </c>
      <c r="OKQ69" s="61">
        <f t="shared" si="1702"/>
        <v>-65000000</v>
      </c>
      <c r="OKR69" s="61">
        <f t="shared" si="1702"/>
        <v>-65000000</v>
      </c>
      <c r="OKS69" s="61">
        <f t="shared" si="1702"/>
        <v>-65000000</v>
      </c>
      <c r="OKT69" s="61">
        <f t="shared" si="1702"/>
        <v>-65000000</v>
      </c>
      <c r="OKU69" s="61">
        <f t="shared" si="1702"/>
        <v>-65000000</v>
      </c>
      <c r="OKV69" s="61">
        <f t="shared" si="1702"/>
        <v>-65000000</v>
      </c>
      <c r="OKW69" s="61">
        <f t="shared" si="1702"/>
        <v>-65000000</v>
      </c>
      <c r="OKX69" s="61">
        <f t="shared" si="1702"/>
        <v>-65000000</v>
      </c>
      <c r="OKY69" s="61">
        <f t="shared" si="1702"/>
        <v>-65000000</v>
      </c>
      <c r="OKZ69" s="61">
        <f t="shared" si="1702"/>
        <v>-65000000</v>
      </c>
      <c r="OLA69" s="61">
        <f t="shared" si="1702"/>
        <v>-65000000</v>
      </c>
      <c r="OLB69" s="61">
        <f t="shared" si="1702"/>
        <v>-65000000</v>
      </c>
      <c r="OLC69" s="61">
        <f t="shared" si="1702"/>
        <v>-65000000</v>
      </c>
      <c r="OLD69" s="61">
        <f t="shared" si="1702"/>
        <v>-65000000</v>
      </c>
      <c r="OLE69" s="61">
        <f t="shared" si="1702"/>
        <v>-65000000</v>
      </c>
      <c r="OLF69" s="61">
        <f t="shared" si="1702"/>
        <v>-65000000</v>
      </c>
      <c r="OLG69" s="61">
        <f t="shared" si="1702"/>
        <v>-65000000</v>
      </c>
      <c r="OLH69" s="61">
        <f t="shared" si="1702"/>
        <v>-65000000</v>
      </c>
      <c r="OLI69" s="61">
        <f t="shared" si="1702"/>
        <v>-65000000</v>
      </c>
      <c r="OLJ69" s="61">
        <f t="shared" si="1702"/>
        <v>-65000000</v>
      </c>
      <c r="OLK69" s="61">
        <f t="shared" ref="OLK69:ONV69" si="1703">OLK68-$EC$11-OLK11</f>
        <v>-65000000</v>
      </c>
      <c r="OLL69" s="61">
        <f t="shared" si="1703"/>
        <v>-65000000</v>
      </c>
      <c r="OLM69" s="61">
        <f t="shared" si="1703"/>
        <v>-65000000</v>
      </c>
      <c r="OLN69" s="61">
        <f t="shared" si="1703"/>
        <v>-65000000</v>
      </c>
      <c r="OLO69" s="61">
        <f t="shared" si="1703"/>
        <v>-65000000</v>
      </c>
      <c r="OLP69" s="61">
        <f t="shared" si="1703"/>
        <v>-65000000</v>
      </c>
      <c r="OLQ69" s="61">
        <f t="shared" si="1703"/>
        <v>-65000000</v>
      </c>
      <c r="OLR69" s="61">
        <f t="shared" si="1703"/>
        <v>-65000000</v>
      </c>
      <c r="OLS69" s="61">
        <f t="shared" si="1703"/>
        <v>-65000000</v>
      </c>
      <c r="OLT69" s="61">
        <f t="shared" si="1703"/>
        <v>-65000000</v>
      </c>
      <c r="OLU69" s="61">
        <f t="shared" si="1703"/>
        <v>-65000000</v>
      </c>
      <c r="OLV69" s="61">
        <f t="shared" si="1703"/>
        <v>-65000000</v>
      </c>
      <c r="OLW69" s="61">
        <f t="shared" si="1703"/>
        <v>-65000000</v>
      </c>
      <c r="OLX69" s="61">
        <f t="shared" si="1703"/>
        <v>-65000000</v>
      </c>
      <c r="OLY69" s="61">
        <f t="shared" si="1703"/>
        <v>-65000000</v>
      </c>
      <c r="OLZ69" s="61">
        <f t="shared" si="1703"/>
        <v>-65000000</v>
      </c>
      <c r="OMA69" s="61">
        <f t="shared" si="1703"/>
        <v>-65000000</v>
      </c>
      <c r="OMB69" s="61">
        <f t="shared" si="1703"/>
        <v>-65000000</v>
      </c>
      <c r="OMC69" s="61">
        <f t="shared" si="1703"/>
        <v>-65000000</v>
      </c>
      <c r="OMD69" s="61">
        <f t="shared" si="1703"/>
        <v>-65000000</v>
      </c>
      <c r="OME69" s="61">
        <f t="shared" si="1703"/>
        <v>-65000000</v>
      </c>
      <c r="OMF69" s="61">
        <f t="shared" si="1703"/>
        <v>-65000000</v>
      </c>
      <c r="OMG69" s="61">
        <f t="shared" si="1703"/>
        <v>-65000000</v>
      </c>
      <c r="OMH69" s="61">
        <f t="shared" si="1703"/>
        <v>-65000000</v>
      </c>
      <c r="OMI69" s="61">
        <f t="shared" si="1703"/>
        <v>-65000000</v>
      </c>
      <c r="OMJ69" s="61">
        <f t="shared" si="1703"/>
        <v>-65000000</v>
      </c>
      <c r="OMK69" s="61">
        <f t="shared" si="1703"/>
        <v>-65000000</v>
      </c>
      <c r="OML69" s="61">
        <f t="shared" si="1703"/>
        <v>-65000000</v>
      </c>
      <c r="OMM69" s="61">
        <f t="shared" si="1703"/>
        <v>-65000000</v>
      </c>
      <c r="OMN69" s="61">
        <f t="shared" si="1703"/>
        <v>-65000000</v>
      </c>
      <c r="OMO69" s="61">
        <f t="shared" si="1703"/>
        <v>-65000000</v>
      </c>
      <c r="OMP69" s="61">
        <f t="shared" si="1703"/>
        <v>-65000000</v>
      </c>
      <c r="OMQ69" s="61">
        <f t="shared" si="1703"/>
        <v>-65000000</v>
      </c>
      <c r="OMR69" s="61">
        <f t="shared" si="1703"/>
        <v>-65000000</v>
      </c>
      <c r="OMS69" s="61">
        <f t="shared" si="1703"/>
        <v>-65000000</v>
      </c>
      <c r="OMT69" s="61">
        <f t="shared" si="1703"/>
        <v>-65000000</v>
      </c>
      <c r="OMU69" s="61">
        <f t="shared" si="1703"/>
        <v>-65000000</v>
      </c>
      <c r="OMV69" s="61">
        <f t="shared" si="1703"/>
        <v>-65000000</v>
      </c>
      <c r="OMW69" s="61">
        <f t="shared" si="1703"/>
        <v>-65000000</v>
      </c>
      <c r="OMX69" s="61">
        <f t="shared" si="1703"/>
        <v>-65000000</v>
      </c>
      <c r="OMY69" s="61">
        <f t="shared" si="1703"/>
        <v>-65000000</v>
      </c>
      <c r="OMZ69" s="61">
        <f t="shared" si="1703"/>
        <v>-65000000</v>
      </c>
      <c r="ONA69" s="61">
        <f t="shared" si="1703"/>
        <v>-65000000</v>
      </c>
      <c r="ONB69" s="61">
        <f t="shared" si="1703"/>
        <v>-65000000</v>
      </c>
      <c r="ONC69" s="61">
        <f t="shared" si="1703"/>
        <v>-65000000</v>
      </c>
      <c r="OND69" s="61">
        <f t="shared" si="1703"/>
        <v>-65000000</v>
      </c>
      <c r="ONE69" s="61">
        <f t="shared" si="1703"/>
        <v>-65000000</v>
      </c>
      <c r="ONF69" s="61">
        <f t="shared" si="1703"/>
        <v>-65000000</v>
      </c>
      <c r="ONG69" s="61">
        <f t="shared" si="1703"/>
        <v>-65000000</v>
      </c>
      <c r="ONH69" s="61">
        <f t="shared" si="1703"/>
        <v>-65000000</v>
      </c>
      <c r="ONI69" s="61">
        <f t="shared" si="1703"/>
        <v>-65000000</v>
      </c>
      <c r="ONJ69" s="61">
        <f t="shared" si="1703"/>
        <v>-65000000</v>
      </c>
      <c r="ONK69" s="61">
        <f t="shared" si="1703"/>
        <v>-65000000</v>
      </c>
      <c r="ONL69" s="61">
        <f t="shared" si="1703"/>
        <v>-65000000</v>
      </c>
      <c r="ONM69" s="61">
        <f t="shared" si="1703"/>
        <v>-65000000</v>
      </c>
      <c r="ONN69" s="61">
        <f t="shared" si="1703"/>
        <v>-65000000</v>
      </c>
      <c r="ONO69" s="61">
        <f t="shared" si="1703"/>
        <v>-65000000</v>
      </c>
      <c r="ONP69" s="61">
        <f t="shared" si="1703"/>
        <v>-65000000</v>
      </c>
      <c r="ONQ69" s="61">
        <f t="shared" si="1703"/>
        <v>-65000000</v>
      </c>
      <c r="ONR69" s="61">
        <f t="shared" si="1703"/>
        <v>-65000000</v>
      </c>
      <c r="ONS69" s="61">
        <f t="shared" si="1703"/>
        <v>-65000000</v>
      </c>
      <c r="ONT69" s="61">
        <f t="shared" si="1703"/>
        <v>-65000000</v>
      </c>
      <c r="ONU69" s="61">
        <f t="shared" si="1703"/>
        <v>-65000000</v>
      </c>
      <c r="ONV69" s="61">
        <f t="shared" si="1703"/>
        <v>-65000000</v>
      </c>
      <c r="ONW69" s="61">
        <f t="shared" ref="ONW69:OQH69" si="1704">ONW68-$EC$11-ONW11</f>
        <v>-65000000</v>
      </c>
      <c r="ONX69" s="61">
        <f t="shared" si="1704"/>
        <v>-65000000</v>
      </c>
      <c r="ONY69" s="61">
        <f t="shared" si="1704"/>
        <v>-65000000</v>
      </c>
      <c r="ONZ69" s="61">
        <f t="shared" si="1704"/>
        <v>-65000000</v>
      </c>
      <c r="OOA69" s="61">
        <f t="shared" si="1704"/>
        <v>-65000000</v>
      </c>
      <c r="OOB69" s="61">
        <f t="shared" si="1704"/>
        <v>-65000000</v>
      </c>
      <c r="OOC69" s="61">
        <f t="shared" si="1704"/>
        <v>-65000000</v>
      </c>
      <c r="OOD69" s="61">
        <f t="shared" si="1704"/>
        <v>-65000000</v>
      </c>
      <c r="OOE69" s="61">
        <f t="shared" si="1704"/>
        <v>-65000000</v>
      </c>
      <c r="OOF69" s="61">
        <f t="shared" si="1704"/>
        <v>-65000000</v>
      </c>
      <c r="OOG69" s="61">
        <f t="shared" si="1704"/>
        <v>-65000000</v>
      </c>
      <c r="OOH69" s="61">
        <f t="shared" si="1704"/>
        <v>-65000000</v>
      </c>
      <c r="OOI69" s="61">
        <f t="shared" si="1704"/>
        <v>-65000000</v>
      </c>
      <c r="OOJ69" s="61">
        <f t="shared" si="1704"/>
        <v>-65000000</v>
      </c>
      <c r="OOK69" s="61">
        <f t="shared" si="1704"/>
        <v>-65000000</v>
      </c>
      <c r="OOL69" s="61">
        <f t="shared" si="1704"/>
        <v>-65000000</v>
      </c>
      <c r="OOM69" s="61">
        <f t="shared" si="1704"/>
        <v>-65000000</v>
      </c>
      <c r="OON69" s="61">
        <f t="shared" si="1704"/>
        <v>-65000000</v>
      </c>
      <c r="OOO69" s="61">
        <f t="shared" si="1704"/>
        <v>-65000000</v>
      </c>
      <c r="OOP69" s="61">
        <f t="shared" si="1704"/>
        <v>-65000000</v>
      </c>
      <c r="OOQ69" s="61">
        <f t="shared" si="1704"/>
        <v>-65000000</v>
      </c>
      <c r="OOR69" s="61">
        <f t="shared" si="1704"/>
        <v>-65000000</v>
      </c>
      <c r="OOS69" s="61">
        <f t="shared" si="1704"/>
        <v>-65000000</v>
      </c>
      <c r="OOT69" s="61">
        <f t="shared" si="1704"/>
        <v>-65000000</v>
      </c>
      <c r="OOU69" s="61">
        <f t="shared" si="1704"/>
        <v>-65000000</v>
      </c>
      <c r="OOV69" s="61">
        <f t="shared" si="1704"/>
        <v>-65000000</v>
      </c>
      <c r="OOW69" s="61">
        <f t="shared" si="1704"/>
        <v>-65000000</v>
      </c>
      <c r="OOX69" s="61">
        <f t="shared" si="1704"/>
        <v>-65000000</v>
      </c>
      <c r="OOY69" s="61">
        <f t="shared" si="1704"/>
        <v>-65000000</v>
      </c>
      <c r="OOZ69" s="61">
        <f t="shared" si="1704"/>
        <v>-65000000</v>
      </c>
      <c r="OPA69" s="61">
        <f t="shared" si="1704"/>
        <v>-65000000</v>
      </c>
      <c r="OPB69" s="61">
        <f t="shared" si="1704"/>
        <v>-65000000</v>
      </c>
      <c r="OPC69" s="61">
        <f t="shared" si="1704"/>
        <v>-65000000</v>
      </c>
      <c r="OPD69" s="61">
        <f t="shared" si="1704"/>
        <v>-65000000</v>
      </c>
      <c r="OPE69" s="61">
        <f t="shared" si="1704"/>
        <v>-65000000</v>
      </c>
      <c r="OPF69" s="61">
        <f t="shared" si="1704"/>
        <v>-65000000</v>
      </c>
      <c r="OPG69" s="61">
        <f t="shared" si="1704"/>
        <v>-65000000</v>
      </c>
      <c r="OPH69" s="61">
        <f t="shared" si="1704"/>
        <v>-65000000</v>
      </c>
      <c r="OPI69" s="61">
        <f t="shared" si="1704"/>
        <v>-65000000</v>
      </c>
      <c r="OPJ69" s="61">
        <f t="shared" si="1704"/>
        <v>-65000000</v>
      </c>
      <c r="OPK69" s="61">
        <f t="shared" si="1704"/>
        <v>-65000000</v>
      </c>
      <c r="OPL69" s="61">
        <f t="shared" si="1704"/>
        <v>-65000000</v>
      </c>
      <c r="OPM69" s="61">
        <f t="shared" si="1704"/>
        <v>-65000000</v>
      </c>
      <c r="OPN69" s="61">
        <f t="shared" si="1704"/>
        <v>-65000000</v>
      </c>
      <c r="OPO69" s="61">
        <f t="shared" si="1704"/>
        <v>-65000000</v>
      </c>
      <c r="OPP69" s="61">
        <f t="shared" si="1704"/>
        <v>-65000000</v>
      </c>
      <c r="OPQ69" s="61">
        <f t="shared" si="1704"/>
        <v>-65000000</v>
      </c>
      <c r="OPR69" s="61">
        <f t="shared" si="1704"/>
        <v>-65000000</v>
      </c>
      <c r="OPS69" s="61">
        <f t="shared" si="1704"/>
        <v>-65000000</v>
      </c>
      <c r="OPT69" s="61">
        <f t="shared" si="1704"/>
        <v>-65000000</v>
      </c>
      <c r="OPU69" s="61">
        <f t="shared" si="1704"/>
        <v>-65000000</v>
      </c>
      <c r="OPV69" s="61">
        <f t="shared" si="1704"/>
        <v>-65000000</v>
      </c>
      <c r="OPW69" s="61">
        <f t="shared" si="1704"/>
        <v>-65000000</v>
      </c>
      <c r="OPX69" s="61">
        <f t="shared" si="1704"/>
        <v>-65000000</v>
      </c>
      <c r="OPY69" s="61">
        <f t="shared" si="1704"/>
        <v>-65000000</v>
      </c>
      <c r="OPZ69" s="61">
        <f t="shared" si="1704"/>
        <v>-65000000</v>
      </c>
      <c r="OQA69" s="61">
        <f t="shared" si="1704"/>
        <v>-65000000</v>
      </c>
      <c r="OQB69" s="61">
        <f t="shared" si="1704"/>
        <v>-65000000</v>
      </c>
      <c r="OQC69" s="61">
        <f t="shared" si="1704"/>
        <v>-65000000</v>
      </c>
      <c r="OQD69" s="61">
        <f t="shared" si="1704"/>
        <v>-65000000</v>
      </c>
      <c r="OQE69" s="61">
        <f t="shared" si="1704"/>
        <v>-65000000</v>
      </c>
      <c r="OQF69" s="61">
        <f t="shared" si="1704"/>
        <v>-65000000</v>
      </c>
      <c r="OQG69" s="61">
        <f t="shared" si="1704"/>
        <v>-65000000</v>
      </c>
      <c r="OQH69" s="61">
        <f t="shared" si="1704"/>
        <v>-65000000</v>
      </c>
      <c r="OQI69" s="61">
        <f t="shared" ref="OQI69:OST69" si="1705">OQI68-$EC$11-OQI11</f>
        <v>-65000000</v>
      </c>
      <c r="OQJ69" s="61">
        <f t="shared" si="1705"/>
        <v>-65000000</v>
      </c>
      <c r="OQK69" s="61">
        <f t="shared" si="1705"/>
        <v>-65000000</v>
      </c>
      <c r="OQL69" s="61">
        <f t="shared" si="1705"/>
        <v>-65000000</v>
      </c>
      <c r="OQM69" s="61">
        <f t="shared" si="1705"/>
        <v>-65000000</v>
      </c>
      <c r="OQN69" s="61">
        <f t="shared" si="1705"/>
        <v>-65000000</v>
      </c>
      <c r="OQO69" s="61">
        <f t="shared" si="1705"/>
        <v>-65000000</v>
      </c>
      <c r="OQP69" s="61">
        <f t="shared" si="1705"/>
        <v>-65000000</v>
      </c>
      <c r="OQQ69" s="61">
        <f t="shared" si="1705"/>
        <v>-65000000</v>
      </c>
      <c r="OQR69" s="61">
        <f t="shared" si="1705"/>
        <v>-65000000</v>
      </c>
      <c r="OQS69" s="61">
        <f t="shared" si="1705"/>
        <v>-65000000</v>
      </c>
      <c r="OQT69" s="61">
        <f t="shared" si="1705"/>
        <v>-65000000</v>
      </c>
      <c r="OQU69" s="61">
        <f t="shared" si="1705"/>
        <v>-65000000</v>
      </c>
      <c r="OQV69" s="61">
        <f t="shared" si="1705"/>
        <v>-65000000</v>
      </c>
      <c r="OQW69" s="61">
        <f t="shared" si="1705"/>
        <v>-65000000</v>
      </c>
      <c r="OQX69" s="61">
        <f t="shared" si="1705"/>
        <v>-65000000</v>
      </c>
      <c r="OQY69" s="61">
        <f t="shared" si="1705"/>
        <v>-65000000</v>
      </c>
      <c r="OQZ69" s="61">
        <f t="shared" si="1705"/>
        <v>-65000000</v>
      </c>
      <c r="ORA69" s="61">
        <f t="shared" si="1705"/>
        <v>-65000000</v>
      </c>
      <c r="ORB69" s="61">
        <f t="shared" si="1705"/>
        <v>-65000000</v>
      </c>
      <c r="ORC69" s="61">
        <f t="shared" si="1705"/>
        <v>-65000000</v>
      </c>
      <c r="ORD69" s="61">
        <f t="shared" si="1705"/>
        <v>-65000000</v>
      </c>
      <c r="ORE69" s="61">
        <f t="shared" si="1705"/>
        <v>-65000000</v>
      </c>
      <c r="ORF69" s="61">
        <f t="shared" si="1705"/>
        <v>-65000000</v>
      </c>
      <c r="ORG69" s="61">
        <f t="shared" si="1705"/>
        <v>-65000000</v>
      </c>
      <c r="ORH69" s="61">
        <f t="shared" si="1705"/>
        <v>-65000000</v>
      </c>
      <c r="ORI69" s="61">
        <f t="shared" si="1705"/>
        <v>-65000000</v>
      </c>
      <c r="ORJ69" s="61">
        <f t="shared" si="1705"/>
        <v>-65000000</v>
      </c>
      <c r="ORK69" s="61">
        <f t="shared" si="1705"/>
        <v>-65000000</v>
      </c>
      <c r="ORL69" s="61">
        <f t="shared" si="1705"/>
        <v>-65000000</v>
      </c>
      <c r="ORM69" s="61">
        <f t="shared" si="1705"/>
        <v>-65000000</v>
      </c>
      <c r="ORN69" s="61">
        <f t="shared" si="1705"/>
        <v>-65000000</v>
      </c>
      <c r="ORO69" s="61">
        <f t="shared" si="1705"/>
        <v>-65000000</v>
      </c>
      <c r="ORP69" s="61">
        <f t="shared" si="1705"/>
        <v>-65000000</v>
      </c>
      <c r="ORQ69" s="61">
        <f t="shared" si="1705"/>
        <v>-65000000</v>
      </c>
      <c r="ORR69" s="61">
        <f t="shared" si="1705"/>
        <v>-65000000</v>
      </c>
      <c r="ORS69" s="61">
        <f t="shared" si="1705"/>
        <v>-65000000</v>
      </c>
      <c r="ORT69" s="61">
        <f t="shared" si="1705"/>
        <v>-65000000</v>
      </c>
      <c r="ORU69" s="61">
        <f t="shared" si="1705"/>
        <v>-65000000</v>
      </c>
      <c r="ORV69" s="61">
        <f t="shared" si="1705"/>
        <v>-65000000</v>
      </c>
      <c r="ORW69" s="61">
        <f t="shared" si="1705"/>
        <v>-65000000</v>
      </c>
      <c r="ORX69" s="61">
        <f t="shared" si="1705"/>
        <v>-65000000</v>
      </c>
      <c r="ORY69" s="61">
        <f t="shared" si="1705"/>
        <v>-65000000</v>
      </c>
      <c r="ORZ69" s="61">
        <f t="shared" si="1705"/>
        <v>-65000000</v>
      </c>
      <c r="OSA69" s="61">
        <f t="shared" si="1705"/>
        <v>-65000000</v>
      </c>
      <c r="OSB69" s="61">
        <f t="shared" si="1705"/>
        <v>-65000000</v>
      </c>
      <c r="OSC69" s="61">
        <f t="shared" si="1705"/>
        <v>-65000000</v>
      </c>
      <c r="OSD69" s="61">
        <f t="shared" si="1705"/>
        <v>-65000000</v>
      </c>
      <c r="OSE69" s="61">
        <f t="shared" si="1705"/>
        <v>-65000000</v>
      </c>
      <c r="OSF69" s="61">
        <f t="shared" si="1705"/>
        <v>-65000000</v>
      </c>
      <c r="OSG69" s="61">
        <f t="shared" si="1705"/>
        <v>-65000000</v>
      </c>
      <c r="OSH69" s="61">
        <f t="shared" si="1705"/>
        <v>-65000000</v>
      </c>
      <c r="OSI69" s="61">
        <f t="shared" si="1705"/>
        <v>-65000000</v>
      </c>
      <c r="OSJ69" s="61">
        <f t="shared" si="1705"/>
        <v>-65000000</v>
      </c>
      <c r="OSK69" s="61">
        <f t="shared" si="1705"/>
        <v>-65000000</v>
      </c>
      <c r="OSL69" s="61">
        <f t="shared" si="1705"/>
        <v>-65000000</v>
      </c>
      <c r="OSM69" s="61">
        <f t="shared" si="1705"/>
        <v>-65000000</v>
      </c>
      <c r="OSN69" s="61">
        <f t="shared" si="1705"/>
        <v>-65000000</v>
      </c>
      <c r="OSO69" s="61">
        <f t="shared" si="1705"/>
        <v>-65000000</v>
      </c>
      <c r="OSP69" s="61">
        <f t="shared" si="1705"/>
        <v>-65000000</v>
      </c>
      <c r="OSQ69" s="61">
        <f t="shared" si="1705"/>
        <v>-65000000</v>
      </c>
      <c r="OSR69" s="61">
        <f t="shared" si="1705"/>
        <v>-65000000</v>
      </c>
      <c r="OSS69" s="61">
        <f t="shared" si="1705"/>
        <v>-65000000</v>
      </c>
      <c r="OST69" s="61">
        <f t="shared" si="1705"/>
        <v>-65000000</v>
      </c>
      <c r="OSU69" s="61">
        <f t="shared" ref="OSU69:OVF69" si="1706">OSU68-$EC$11-OSU11</f>
        <v>-65000000</v>
      </c>
      <c r="OSV69" s="61">
        <f t="shared" si="1706"/>
        <v>-65000000</v>
      </c>
      <c r="OSW69" s="61">
        <f t="shared" si="1706"/>
        <v>-65000000</v>
      </c>
      <c r="OSX69" s="61">
        <f t="shared" si="1706"/>
        <v>-65000000</v>
      </c>
      <c r="OSY69" s="61">
        <f t="shared" si="1706"/>
        <v>-65000000</v>
      </c>
      <c r="OSZ69" s="61">
        <f t="shared" si="1706"/>
        <v>-65000000</v>
      </c>
      <c r="OTA69" s="61">
        <f t="shared" si="1706"/>
        <v>-65000000</v>
      </c>
      <c r="OTB69" s="61">
        <f t="shared" si="1706"/>
        <v>-65000000</v>
      </c>
      <c r="OTC69" s="61">
        <f t="shared" si="1706"/>
        <v>-65000000</v>
      </c>
      <c r="OTD69" s="61">
        <f t="shared" si="1706"/>
        <v>-65000000</v>
      </c>
      <c r="OTE69" s="61">
        <f t="shared" si="1706"/>
        <v>-65000000</v>
      </c>
      <c r="OTF69" s="61">
        <f t="shared" si="1706"/>
        <v>-65000000</v>
      </c>
      <c r="OTG69" s="61">
        <f t="shared" si="1706"/>
        <v>-65000000</v>
      </c>
      <c r="OTH69" s="61">
        <f t="shared" si="1706"/>
        <v>-65000000</v>
      </c>
      <c r="OTI69" s="61">
        <f t="shared" si="1706"/>
        <v>-65000000</v>
      </c>
      <c r="OTJ69" s="61">
        <f t="shared" si="1706"/>
        <v>-65000000</v>
      </c>
      <c r="OTK69" s="61">
        <f t="shared" si="1706"/>
        <v>-65000000</v>
      </c>
      <c r="OTL69" s="61">
        <f t="shared" si="1706"/>
        <v>-65000000</v>
      </c>
      <c r="OTM69" s="61">
        <f t="shared" si="1706"/>
        <v>-65000000</v>
      </c>
      <c r="OTN69" s="61">
        <f t="shared" si="1706"/>
        <v>-65000000</v>
      </c>
      <c r="OTO69" s="61">
        <f t="shared" si="1706"/>
        <v>-65000000</v>
      </c>
      <c r="OTP69" s="61">
        <f t="shared" si="1706"/>
        <v>-65000000</v>
      </c>
      <c r="OTQ69" s="61">
        <f t="shared" si="1706"/>
        <v>-65000000</v>
      </c>
      <c r="OTR69" s="61">
        <f t="shared" si="1706"/>
        <v>-65000000</v>
      </c>
      <c r="OTS69" s="61">
        <f t="shared" si="1706"/>
        <v>-65000000</v>
      </c>
      <c r="OTT69" s="61">
        <f t="shared" si="1706"/>
        <v>-65000000</v>
      </c>
      <c r="OTU69" s="61">
        <f t="shared" si="1706"/>
        <v>-65000000</v>
      </c>
      <c r="OTV69" s="61">
        <f t="shared" si="1706"/>
        <v>-65000000</v>
      </c>
      <c r="OTW69" s="61">
        <f t="shared" si="1706"/>
        <v>-65000000</v>
      </c>
      <c r="OTX69" s="61">
        <f t="shared" si="1706"/>
        <v>-65000000</v>
      </c>
      <c r="OTY69" s="61">
        <f t="shared" si="1706"/>
        <v>-65000000</v>
      </c>
      <c r="OTZ69" s="61">
        <f t="shared" si="1706"/>
        <v>-65000000</v>
      </c>
      <c r="OUA69" s="61">
        <f t="shared" si="1706"/>
        <v>-65000000</v>
      </c>
      <c r="OUB69" s="61">
        <f t="shared" si="1706"/>
        <v>-65000000</v>
      </c>
      <c r="OUC69" s="61">
        <f t="shared" si="1706"/>
        <v>-65000000</v>
      </c>
      <c r="OUD69" s="61">
        <f t="shared" si="1706"/>
        <v>-65000000</v>
      </c>
      <c r="OUE69" s="61">
        <f t="shared" si="1706"/>
        <v>-65000000</v>
      </c>
      <c r="OUF69" s="61">
        <f t="shared" si="1706"/>
        <v>-65000000</v>
      </c>
      <c r="OUG69" s="61">
        <f t="shared" si="1706"/>
        <v>-65000000</v>
      </c>
      <c r="OUH69" s="61">
        <f t="shared" si="1706"/>
        <v>-65000000</v>
      </c>
      <c r="OUI69" s="61">
        <f t="shared" si="1706"/>
        <v>-65000000</v>
      </c>
      <c r="OUJ69" s="61">
        <f t="shared" si="1706"/>
        <v>-65000000</v>
      </c>
      <c r="OUK69" s="61">
        <f t="shared" si="1706"/>
        <v>-65000000</v>
      </c>
      <c r="OUL69" s="61">
        <f t="shared" si="1706"/>
        <v>-65000000</v>
      </c>
      <c r="OUM69" s="61">
        <f t="shared" si="1706"/>
        <v>-65000000</v>
      </c>
      <c r="OUN69" s="61">
        <f t="shared" si="1706"/>
        <v>-65000000</v>
      </c>
      <c r="OUO69" s="61">
        <f t="shared" si="1706"/>
        <v>-65000000</v>
      </c>
      <c r="OUP69" s="61">
        <f t="shared" si="1706"/>
        <v>-65000000</v>
      </c>
      <c r="OUQ69" s="61">
        <f t="shared" si="1706"/>
        <v>-65000000</v>
      </c>
      <c r="OUR69" s="61">
        <f t="shared" si="1706"/>
        <v>-65000000</v>
      </c>
      <c r="OUS69" s="61">
        <f t="shared" si="1706"/>
        <v>-65000000</v>
      </c>
      <c r="OUT69" s="61">
        <f t="shared" si="1706"/>
        <v>-65000000</v>
      </c>
      <c r="OUU69" s="61">
        <f t="shared" si="1706"/>
        <v>-65000000</v>
      </c>
      <c r="OUV69" s="61">
        <f t="shared" si="1706"/>
        <v>-65000000</v>
      </c>
      <c r="OUW69" s="61">
        <f t="shared" si="1706"/>
        <v>-65000000</v>
      </c>
      <c r="OUX69" s="61">
        <f t="shared" si="1706"/>
        <v>-65000000</v>
      </c>
      <c r="OUY69" s="61">
        <f t="shared" si="1706"/>
        <v>-65000000</v>
      </c>
      <c r="OUZ69" s="61">
        <f t="shared" si="1706"/>
        <v>-65000000</v>
      </c>
      <c r="OVA69" s="61">
        <f t="shared" si="1706"/>
        <v>-65000000</v>
      </c>
      <c r="OVB69" s="61">
        <f t="shared" si="1706"/>
        <v>-65000000</v>
      </c>
      <c r="OVC69" s="61">
        <f t="shared" si="1706"/>
        <v>-65000000</v>
      </c>
      <c r="OVD69" s="61">
        <f t="shared" si="1706"/>
        <v>-65000000</v>
      </c>
      <c r="OVE69" s="61">
        <f t="shared" si="1706"/>
        <v>-65000000</v>
      </c>
      <c r="OVF69" s="61">
        <f t="shared" si="1706"/>
        <v>-65000000</v>
      </c>
      <c r="OVG69" s="61">
        <f t="shared" ref="OVG69:OXR69" si="1707">OVG68-$EC$11-OVG11</f>
        <v>-65000000</v>
      </c>
      <c r="OVH69" s="61">
        <f t="shared" si="1707"/>
        <v>-65000000</v>
      </c>
      <c r="OVI69" s="61">
        <f t="shared" si="1707"/>
        <v>-65000000</v>
      </c>
      <c r="OVJ69" s="61">
        <f t="shared" si="1707"/>
        <v>-65000000</v>
      </c>
      <c r="OVK69" s="61">
        <f t="shared" si="1707"/>
        <v>-65000000</v>
      </c>
      <c r="OVL69" s="61">
        <f t="shared" si="1707"/>
        <v>-65000000</v>
      </c>
      <c r="OVM69" s="61">
        <f t="shared" si="1707"/>
        <v>-65000000</v>
      </c>
      <c r="OVN69" s="61">
        <f t="shared" si="1707"/>
        <v>-65000000</v>
      </c>
      <c r="OVO69" s="61">
        <f t="shared" si="1707"/>
        <v>-65000000</v>
      </c>
      <c r="OVP69" s="61">
        <f t="shared" si="1707"/>
        <v>-65000000</v>
      </c>
      <c r="OVQ69" s="61">
        <f t="shared" si="1707"/>
        <v>-65000000</v>
      </c>
      <c r="OVR69" s="61">
        <f t="shared" si="1707"/>
        <v>-65000000</v>
      </c>
      <c r="OVS69" s="61">
        <f t="shared" si="1707"/>
        <v>-65000000</v>
      </c>
      <c r="OVT69" s="61">
        <f t="shared" si="1707"/>
        <v>-65000000</v>
      </c>
      <c r="OVU69" s="61">
        <f t="shared" si="1707"/>
        <v>-65000000</v>
      </c>
      <c r="OVV69" s="61">
        <f t="shared" si="1707"/>
        <v>-65000000</v>
      </c>
      <c r="OVW69" s="61">
        <f t="shared" si="1707"/>
        <v>-65000000</v>
      </c>
      <c r="OVX69" s="61">
        <f t="shared" si="1707"/>
        <v>-65000000</v>
      </c>
      <c r="OVY69" s="61">
        <f t="shared" si="1707"/>
        <v>-65000000</v>
      </c>
      <c r="OVZ69" s="61">
        <f t="shared" si="1707"/>
        <v>-65000000</v>
      </c>
      <c r="OWA69" s="61">
        <f t="shared" si="1707"/>
        <v>-65000000</v>
      </c>
      <c r="OWB69" s="61">
        <f t="shared" si="1707"/>
        <v>-65000000</v>
      </c>
      <c r="OWC69" s="61">
        <f t="shared" si="1707"/>
        <v>-65000000</v>
      </c>
      <c r="OWD69" s="61">
        <f t="shared" si="1707"/>
        <v>-65000000</v>
      </c>
      <c r="OWE69" s="61">
        <f t="shared" si="1707"/>
        <v>-65000000</v>
      </c>
      <c r="OWF69" s="61">
        <f t="shared" si="1707"/>
        <v>-65000000</v>
      </c>
      <c r="OWG69" s="61">
        <f t="shared" si="1707"/>
        <v>-65000000</v>
      </c>
      <c r="OWH69" s="61">
        <f t="shared" si="1707"/>
        <v>-65000000</v>
      </c>
      <c r="OWI69" s="61">
        <f t="shared" si="1707"/>
        <v>-65000000</v>
      </c>
      <c r="OWJ69" s="61">
        <f t="shared" si="1707"/>
        <v>-65000000</v>
      </c>
      <c r="OWK69" s="61">
        <f t="shared" si="1707"/>
        <v>-65000000</v>
      </c>
      <c r="OWL69" s="61">
        <f t="shared" si="1707"/>
        <v>-65000000</v>
      </c>
      <c r="OWM69" s="61">
        <f t="shared" si="1707"/>
        <v>-65000000</v>
      </c>
      <c r="OWN69" s="61">
        <f t="shared" si="1707"/>
        <v>-65000000</v>
      </c>
      <c r="OWO69" s="61">
        <f t="shared" si="1707"/>
        <v>-65000000</v>
      </c>
      <c r="OWP69" s="61">
        <f t="shared" si="1707"/>
        <v>-65000000</v>
      </c>
      <c r="OWQ69" s="61">
        <f t="shared" si="1707"/>
        <v>-65000000</v>
      </c>
      <c r="OWR69" s="61">
        <f t="shared" si="1707"/>
        <v>-65000000</v>
      </c>
      <c r="OWS69" s="61">
        <f t="shared" si="1707"/>
        <v>-65000000</v>
      </c>
      <c r="OWT69" s="61">
        <f t="shared" si="1707"/>
        <v>-65000000</v>
      </c>
      <c r="OWU69" s="61">
        <f t="shared" si="1707"/>
        <v>-65000000</v>
      </c>
      <c r="OWV69" s="61">
        <f t="shared" si="1707"/>
        <v>-65000000</v>
      </c>
      <c r="OWW69" s="61">
        <f t="shared" si="1707"/>
        <v>-65000000</v>
      </c>
      <c r="OWX69" s="61">
        <f t="shared" si="1707"/>
        <v>-65000000</v>
      </c>
      <c r="OWY69" s="61">
        <f t="shared" si="1707"/>
        <v>-65000000</v>
      </c>
      <c r="OWZ69" s="61">
        <f t="shared" si="1707"/>
        <v>-65000000</v>
      </c>
      <c r="OXA69" s="61">
        <f t="shared" si="1707"/>
        <v>-65000000</v>
      </c>
      <c r="OXB69" s="61">
        <f t="shared" si="1707"/>
        <v>-65000000</v>
      </c>
      <c r="OXC69" s="61">
        <f t="shared" si="1707"/>
        <v>-65000000</v>
      </c>
      <c r="OXD69" s="61">
        <f t="shared" si="1707"/>
        <v>-65000000</v>
      </c>
      <c r="OXE69" s="61">
        <f t="shared" si="1707"/>
        <v>-65000000</v>
      </c>
      <c r="OXF69" s="61">
        <f t="shared" si="1707"/>
        <v>-65000000</v>
      </c>
      <c r="OXG69" s="61">
        <f t="shared" si="1707"/>
        <v>-65000000</v>
      </c>
      <c r="OXH69" s="61">
        <f t="shared" si="1707"/>
        <v>-65000000</v>
      </c>
      <c r="OXI69" s="61">
        <f t="shared" si="1707"/>
        <v>-65000000</v>
      </c>
      <c r="OXJ69" s="61">
        <f t="shared" si="1707"/>
        <v>-65000000</v>
      </c>
      <c r="OXK69" s="61">
        <f t="shared" si="1707"/>
        <v>-65000000</v>
      </c>
      <c r="OXL69" s="61">
        <f t="shared" si="1707"/>
        <v>-65000000</v>
      </c>
      <c r="OXM69" s="61">
        <f t="shared" si="1707"/>
        <v>-65000000</v>
      </c>
      <c r="OXN69" s="61">
        <f t="shared" si="1707"/>
        <v>-65000000</v>
      </c>
      <c r="OXO69" s="61">
        <f t="shared" si="1707"/>
        <v>-65000000</v>
      </c>
      <c r="OXP69" s="61">
        <f t="shared" si="1707"/>
        <v>-65000000</v>
      </c>
      <c r="OXQ69" s="61">
        <f t="shared" si="1707"/>
        <v>-65000000</v>
      </c>
      <c r="OXR69" s="61">
        <f t="shared" si="1707"/>
        <v>-65000000</v>
      </c>
      <c r="OXS69" s="61">
        <f t="shared" ref="OXS69:PAD69" si="1708">OXS68-$EC$11-OXS11</f>
        <v>-65000000</v>
      </c>
      <c r="OXT69" s="61">
        <f t="shared" si="1708"/>
        <v>-65000000</v>
      </c>
      <c r="OXU69" s="61">
        <f t="shared" si="1708"/>
        <v>-65000000</v>
      </c>
      <c r="OXV69" s="61">
        <f t="shared" si="1708"/>
        <v>-65000000</v>
      </c>
      <c r="OXW69" s="61">
        <f t="shared" si="1708"/>
        <v>-65000000</v>
      </c>
      <c r="OXX69" s="61">
        <f t="shared" si="1708"/>
        <v>-65000000</v>
      </c>
      <c r="OXY69" s="61">
        <f t="shared" si="1708"/>
        <v>-65000000</v>
      </c>
      <c r="OXZ69" s="61">
        <f t="shared" si="1708"/>
        <v>-65000000</v>
      </c>
      <c r="OYA69" s="61">
        <f t="shared" si="1708"/>
        <v>-65000000</v>
      </c>
      <c r="OYB69" s="61">
        <f t="shared" si="1708"/>
        <v>-65000000</v>
      </c>
      <c r="OYC69" s="61">
        <f t="shared" si="1708"/>
        <v>-65000000</v>
      </c>
      <c r="OYD69" s="61">
        <f t="shared" si="1708"/>
        <v>-65000000</v>
      </c>
      <c r="OYE69" s="61">
        <f t="shared" si="1708"/>
        <v>-65000000</v>
      </c>
      <c r="OYF69" s="61">
        <f t="shared" si="1708"/>
        <v>-65000000</v>
      </c>
      <c r="OYG69" s="61">
        <f t="shared" si="1708"/>
        <v>-65000000</v>
      </c>
      <c r="OYH69" s="61">
        <f t="shared" si="1708"/>
        <v>-65000000</v>
      </c>
      <c r="OYI69" s="61">
        <f t="shared" si="1708"/>
        <v>-65000000</v>
      </c>
      <c r="OYJ69" s="61">
        <f t="shared" si="1708"/>
        <v>-65000000</v>
      </c>
      <c r="OYK69" s="61">
        <f t="shared" si="1708"/>
        <v>-65000000</v>
      </c>
      <c r="OYL69" s="61">
        <f t="shared" si="1708"/>
        <v>-65000000</v>
      </c>
      <c r="OYM69" s="61">
        <f t="shared" si="1708"/>
        <v>-65000000</v>
      </c>
      <c r="OYN69" s="61">
        <f t="shared" si="1708"/>
        <v>-65000000</v>
      </c>
      <c r="OYO69" s="61">
        <f t="shared" si="1708"/>
        <v>-65000000</v>
      </c>
      <c r="OYP69" s="61">
        <f t="shared" si="1708"/>
        <v>-65000000</v>
      </c>
      <c r="OYQ69" s="61">
        <f t="shared" si="1708"/>
        <v>-65000000</v>
      </c>
      <c r="OYR69" s="61">
        <f t="shared" si="1708"/>
        <v>-65000000</v>
      </c>
      <c r="OYS69" s="61">
        <f t="shared" si="1708"/>
        <v>-65000000</v>
      </c>
      <c r="OYT69" s="61">
        <f t="shared" si="1708"/>
        <v>-65000000</v>
      </c>
      <c r="OYU69" s="61">
        <f t="shared" si="1708"/>
        <v>-65000000</v>
      </c>
      <c r="OYV69" s="61">
        <f t="shared" si="1708"/>
        <v>-65000000</v>
      </c>
      <c r="OYW69" s="61">
        <f t="shared" si="1708"/>
        <v>-65000000</v>
      </c>
      <c r="OYX69" s="61">
        <f t="shared" si="1708"/>
        <v>-65000000</v>
      </c>
      <c r="OYY69" s="61">
        <f t="shared" si="1708"/>
        <v>-65000000</v>
      </c>
      <c r="OYZ69" s="61">
        <f t="shared" si="1708"/>
        <v>-65000000</v>
      </c>
      <c r="OZA69" s="61">
        <f t="shared" si="1708"/>
        <v>-65000000</v>
      </c>
      <c r="OZB69" s="61">
        <f t="shared" si="1708"/>
        <v>-65000000</v>
      </c>
      <c r="OZC69" s="61">
        <f t="shared" si="1708"/>
        <v>-65000000</v>
      </c>
      <c r="OZD69" s="61">
        <f t="shared" si="1708"/>
        <v>-65000000</v>
      </c>
      <c r="OZE69" s="61">
        <f t="shared" si="1708"/>
        <v>-65000000</v>
      </c>
      <c r="OZF69" s="61">
        <f t="shared" si="1708"/>
        <v>-65000000</v>
      </c>
      <c r="OZG69" s="61">
        <f t="shared" si="1708"/>
        <v>-65000000</v>
      </c>
      <c r="OZH69" s="61">
        <f t="shared" si="1708"/>
        <v>-65000000</v>
      </c>
      <c r="OZI69" s="61">
        <f t="shared" si="1708"/>
        <v>-65000000</v>
      </c>
      <c r="OZJ69" s="61">
        <f t="shared" si="1708"/>
        <v>-65000000</v>
      </c>
      <c r="OZK69" s="61">
        <f t="shared" si="1708"/>
        <v>-65000000</v>
      </c>
      <c r="OZL69" s="61">
        <f t="shared" si="1708"/>
        <v>-65000000</v>
      </c>
      <c r="OZM69" s="61">
        <f t="shared" si="1708"/>
        <v>-65000000</v>
      </c>
      <c r="OZN69" s="61">
        <f t="shared" si="1708"/>
        <v>-65000000</v>
      </c>
      <c r="OZO69" s="61">
        <f t="shared" si="1708"/>
        <v>-65000000</v>
      </c>
      <c r="OZP69" s="61">
        <f t="shared" si="1708"/>
        <v>-65000000</v>
      </c>
      <c r="OZQ69" s="61">
        <f t="shared" si="1708"/>
        <v>-65000000</v>
      </c>
      <c r="OZR69" s="61">
        <f t="shared" si="1708"/>
        <v>-65000000</v>
      </c>
      <c r="OZS69" s="61">
        <f t="shared" si="1708"/>
        <v>-65000000</v>
      </c>
      <c r="OZT69" s="61">
        <f t="shared" si="1708"/>
        <v>-65000000</v>
      </c>
      <c r="OZU69" s="61">
        <f t="shared" si="1708"/>
        <v>-65000000</v>
      </c>
      <c r="OZV69" s="61">
        <f t="shared" si="1708"/>
        <v>-65000000</v>
      </c>
      <c r="OZW69" s="61">
        <f t="shared" si="1708"/>
        <v>-65000000</v>
      </c>
      <c r="OZX69" s="61">
        <f t="shared" si="1708"/>
        <v>-65000000</v>
      </c>
      <c r="OZY69" s="61">
        <f t="shared" si="1708"/>
        <v>-65000000</v>
      </c>
      <c r="OZZ69" s="61">
        <f t="shared" si="1708"/>
        <v>-65000000</v>
      </c>
      <c r="PAA69" s="61">
        <f t="shared" si="1708"/>
        <v>-65000000</v>
      </c>
      <c r="PAB69" s="61">
        <f t="shared" si="1708"/>
        <v>-65000000</v>
      </c>
      <c r="PAC69" s="61">
        <f t="shared" si="1708"/>
        <v>-65000000</v>
      </c>
      <c r="PAD69" s="61">
        <f t="shared" si="1708"/>
        <v>-65000000</v>
      </c>
      <c r="PAE69" s="61">
        <f t="shared" ref="PAE69:PCP69" si="1709">PAE68-$EC$11-PAE11</f>
        <v>-65000000</v>
      </c>
      <c r="PAF69" s="61">
        <f t="shared" si="1709"/>
        <v>-65000000</v>
      </c>
      <c r="PAG69" s="61">
        <f t="shared" si="1709"/>
        <v>-65000000</v>
      </c>
      <c r="PAH69" s="61">
        <f t="shared" si="1709"/>
        <v>-65000000</v>
      </c>
      <c r="PAI69" s="61">
        <f t="shared" si="1709"/>
        <v>-65000000</v>
      </c>
      <c r="PAJ69" s="61">
        <f t="shared" si="1709"/>
        <v>-65000000</v>
      </c>
      <c r="PAK69" s="61">
        <f t="shared" si="1709"/>
        <v>-65000000</v>
      </c>
      <c r="PAL69" s="61">
        <f t="shared" si="1709"/>
        <v>-65000000</v>
      </c>
      <c r="PAM69" s="61">
        <f t="shared" si="1709"/>
        <v>-65000000</v>
      </c>
      <c r="PAN69" s="61">
        <f t="shared" si="1709"/>
        <v>-65000000</v>
      </c>
      <c r="PAO69" s="61">
        <f t="shared" si="1709"/>
        <v>-65000000</v>
      </c>
      <c r="PAP69" s="61">
        <f t="shared" si="1709"/>
        <v>-65000000</v>
      </c>
      <c r="PAQ69" s="61">
        <f t="shared" si="1709"/>
        <v>-65000000</v>
      </c>
      <c r="PAR69" s="61">
        <f t="shared" si="1709"/>
        <v>-65000000</v>
      </c>
      <c r="PAS69" s="61">
        <f t="shared" si="1709"/>
        <v>-65000000</v>
      </c>
      <c r="PAT69" s="61">
        <f t="shared" si="1709"/>
        <v>-65000000</v>
      </c>
      <c r="PAU69" s="61">
        <f t="shared" si="1709"/>
        <v>-65000000</v>
      </c>
      <c r="PAV69" s="61">
        <f t="shared" si="1709"/>
        <v>-65000000</v>
      </c>
      <c r="PAW69" s="61">
        <f t="shared" si="1709"/>
        <v>-65000000</v>
      </c>
      <c r="PAX69" s="61">
        <f t="shared" si="1709"/>
        <v>-65000000</v>
      </c>
      <c r="PAY69" s="61">
        <f t="shared" si="1709"/>
        <v>-65000000</v>
      </c>
      <c r="PAZ69" s="61">
        <f t="shared" si="1709"/>
        <v>-65000000</v>
      </c>
      <c r="PBA69" s="61">
        <f t="shared" si="1709"/>
        <v>-65000000</v>
      </c>
      <c r="PBB69" s="61">
        <f t="shared" si="1709"/>
        <v>-65000000</v>
      </c>
      <c r="PBC69" s="61">
        <f t="shared" si="1709"/>
        <v>-65000000</v>
      </c>
      <c r="PBD69" s="61">
        <f t="shared" si="1709"/>
        <v>-65000000</v>
      </c>
      <c r="PBE69" s="61">
        <f t="shared" si="1709"/>
        <v>-65000000</v>
      </c>
      <c r="PBF69" s="61">
        <f t="shared" si="1709"/>
        <v>-65000000</v>
      </c>
      <c r="PBG69" s="61">
        <f t="shared" si="1709"/>
        <v>-65000000</v>
      </c>
      <c r="PBH69" s="61">
        <f t="shared" si="1709"/>
        <v>-65000000</v>
      </c>
      <c r="PBI69" s="61">
        <f t="shared" si="1709"/>
        <v>-65000000</v>
      </c>
      <c r="PBJ69" s="61">
        <f t="shared" si="1709"/>
        <v>-65000000</v>
      </c>
      <c r="PBK69" s="61">
        <f t="shared" si="1709"/>
        <v>-65000000</v>
      </c>
      <c r="PBL69" s="61">
        <f t="shared" si="1709"/>
        <v>-65000000</v>
      </c>
      <c r="PBM69" s="61">
        <f t="shared" si="1709"/>
        <v>-65000000</v>
      </c>
      <c r="PBN69" s="61">
        <f t="shared" si="1709"/>
        <v>-65000000</v>
      </c>
      <c r="PBO69" s="61">
        <f t="shared" si="1709"/>
        <v>-65000000</v>
      </c>
      <c r="PBP69" s="61">
        <f t="shared" si="1709"/>
        <v>-65000000</v>
      </c>
      <c r="PBQ69" s="61">
        <f t="shared" si="1709"/>
        <v>-65000000</v>
      </c>
      <c r="PBR69" s="61">
        <f t="shared" si="1709"/>
        <v>-65000000</v>
      </c>
      <c r="PBS69" s="61">
        <f t="shared" si="1709"/>
        <v>-65000000</v>
      </c>
      <c r="PBT69" s="61">
        <f t="shared" si="1709"/>
        <v>-65000000</v>
      </c>
      <c r="PBU69" s="61">
        <f t="shared" si="1709"/>
        <v>-65000000</v>
      </c>
      <c r="PBV69" s="61">
        <f t="shared" si="1709"/>
        <v>-65000000</v>
      </c>
      <c r="PBW69" s="61">
        <f t="shared" si="1709"/>
        <v>-65000000</v>
      </c>
      <c r="PBX69" s="61">
        <f t="shared" si="1709"/>
        <v>-65000000</v>
      </c>
      <c r="PBY69" s="61">
        <f t="shared" si="1709"/>
        <v>-65000000</v>
      </c>
      <c r="PBZ69" s="61">
        <f t="shared" si="1709"/>
        <v>-65000000</v>
      </c>
      <c r="PCA69" s="61">
        <f t="shared" si="1709"/>
        <v>-65000000</v>
      </c>
      <c r="PCB69" s="61">
        <f t="shared" si="1709"/>
        <v>-65000000</v>
      </c>
      <c r="PCC69" s="61">
        <f t="shared" si="1709"/>
        <v>-65000000</v>
      </c>
      <c r="PCD69" s="61">
        <f t="shared" si="1709"/>
        <v>-65000000</v>
      </c>
      <c r="PCE69" s="61">
        <f t="shared" si="1709"/>
        <v>-65000000</v>
      </c>
      <c r="PCF69" s="61">
        <f t="shared" si="1709"/>
        <v>-65000000</v>
      </c>
      <c r="PCG69" s="61">
        <f t="shared" si="1709"/>
        <v>-65000000</v>
      </c>
      <c r="PCH69" s="61">
        <f t="shared" si="1709"/>
        <v>-65000000</v>
      </c>
      <c r="PCI69" s="61">
        <f t="shared" si="1709"/>
        <v>-65000000</v>
      </c>
      <c r="PCJ69" s="61">
        <f t="shared" si="1709"/>
        <v>-65000000</v>
      </c>
      <c r="PCK69" s="61">
        <f t="shared" si="1709"/>
        <v>-65000000</v>
      </c>
      <c r="PCL69" s="61">
        <f t="shared" si="1709"/>
        <v>-65000000</v>
      </c>
      <c r="PCM69" s="61">
        <f t="shared" si="1709"/>
        <v>-65000000</v>
      </c>
      <c r="PCN69" s="61">
        <f t="shared" si="1709"/>
        <v>-65000000</v>
      </c>
      <c r="PCO69" s="61">
        <f t="shared" si="1709"/>
        <v>-65000000</v>
      </c>
      <c r="PCP69" s="61">
        <f t="shared" si="1709"/>
        <v>-65000000</v>
      </c>
      <c r="PCQ69" s="61">
        <f t="shared" ref="PCQ69:PFB69" si="1710">PCQ68-$EC$11-PCQ11</f>
        <v>-65000000</v>
      </c>
      <c r="PCR69" s="61">
        <f t="shared" si="1710"/>
        <v>-65000000</v>
      </c>
      <c r="PCS69" s="61">
        <f t="shared" si="1710"/>
        <v>-65000000</v>
      </c>
      <c r="PCT69" s="61">
        <f t="shared" si="1710"/>
        <v>-65000000</v>
      </c>
      <c r="PCU69" s="61">
        <f t="shared" si="1710"/>
        <v>-65000000</v>
      </c>
      <c r="PCV69" s="61">
        <f t="shared" si="1710"/>
        <v>-65000000</v>
      </c>
      <c r="PCW69" s="61">
        <f t="shared" si="1710"/>
        <v>-65000000</v>
      </c>
      <c r="PCX69" s="61">
        <f t="shared" si="1710"/>
        <v>-65000000</v>
      </c>
      <c r="PCY69" s="61">
        <f t="shared" si="1710"/>
        <v>-65000000</v>
      </c>
      <c r="PCZ69" s="61">
        <f t="shared" si="1710"/>
        <v>-65000000</v>
      </c>
      <c r="PDA69" s="61">
        <f t="shared" si="1710"/>
        <v>-65000000</v>
      </c>
      <c r="PDB69" s="61">
        <f t="shared" si="1710"/>
        <v>-65000000</v>
      </c>
      <c r="PDC69" s="61">
        <f t="shared" si="1710"/>
        <v>-65000000</v>
      </c>
      <c r="PDD69" s="61">
        <f t="shared" si="1710"/>
        <v>-65000000</v>
      </c>
      <c r="PDE69" s="61">
        <f t="shared" si="1710"/>
        <v>-65000000</v>
      </c>
      <c r="PDF69" s="61">
        <f t="shared" si="1710"/>
        <v>-65000000</v>
      </c>
      <c r="PDG69" s="61">
        <f t="shared" si="1710"/>
        <v>-65000000</v>
      </c>
      <c r="PDH69" s="61">
        <f t="shared" si="1710"/>
        <v>-65000000</v>
      </c>
      <c r="PDI69" s="61">
        <f t="shared" si="1710"/>
        <v>-65000000</v>
      </c>
      <c r="PDJ69" s="61">
        <f t="shared" si="1710"/>
        <v>-65000000</v>
      </c>
      <c r="PDK69" s="61">
        <f t="shared" si="1710"/>
        <v>-65000000</v>
      </c>
      <c r="PDL69" s="61">
        <f t="shared" si="1710"/>
        <v>-65000000</v>
      </c>
      <c r="PDM69" s="61">
        <f t="shared" si="1710"/>
        <v>-65000000</v>
      </c>
      <c r="PDN69" s="61">
        <f t="shared" si="1710"/>
        <v>-65000000</v>
      </c>
      <c r="PDO69" s="61">
        <f t="shared" si="1710"/>
        <v>-65000000</v>
      </c>
      <c r="PDP69" s="61">
        <f t="shared" si="1710"/>
        <v>-65000000</v>
      </c>
      <c r="PDQ69" s="61">
        <f t="shared" si="1710"/>
        <v>-65000000</v>
      </c>
      <c r="PDR69" s="61">
        <f t="shared" si="1710"/>
        <v>-65000000</v>
      </c>
      <c r="PDS69" s="61">
        <f t="shared" si="1710"/>
        <v>-65000000</v>
      </c>
      <c r="PDT69" s="61">
        <f t="shared" si="1710"/>
        <v>-65000000</v>
      </c>
      <c r="PDU69" s="61">
        <f t="shared" si="1710"/>
        <v>-65000000</v>
      </c>
      <c r="PDV69" s="61">
        <f t="shared" si="1710"/>
        <v>-65000000</v>
      </c>
      <c r="PDW69" s="61">
        <f t="shared" si="1710"/>
        <v>-65000000</v>
      </c>
      <c r="PDX69" s="61">
        <f t="shared" si="1710"/>
        <v>-65000000</v>
      </c>
      <c r="PDY69" s="61">
        <f t="shared" si="1710"/>
        <v>-65000000</v>
      </c>
      <c r="PDZ69" s="61">
        <f t="shared" si="1710"/>
        <v>-65000000</v>
      </c>
      <c r="PEA69" s="61">
        <f t="shared" si="1710"/>
        <v>-65000000</v>
      </c>
      <c r="PEB69" s="61">
        <f t="shared" si="1710"/>
        <v>-65000000</v>
      </c>
      <c r="PEC69" s="61">
        <f t="shared" si="1710"/>
        <v>-65000000</v>
      </c>
      <c r="PED69" s="61">
        <f t="shared" si="1710"/>
        <v>-65000000</v>
      </c>
      <c r="PEE69" s="61">
        <f t="shared" si="1710"/>
        <v>-65000000</v>
      </c>
      <c r="PEF69" s="61">
        <f t="shared" si="1710"/>
        <v>-65000000</v>
      </c>
      <c r="PEG69" s="61">
        <f t="shared" si="1710"/>
        <v>-65000000</v>
      </c>
      <c r="PEH69" s="61">
        <f t="shared" si="1710"/>
        <v>-65000000</v>
      </c>
      <c r="PEI69" s="61">
        <f t="shared" si="1710"/>
        <v>-65000000</v>
      </c>
      <c r="PEJ69" s="61">
        <f t="shared" si="1710"/>
        <v>-65000000</v>
      </c>
      <c r="PEK69" s="61">
        <f t="shared" si="1710"/>
        <v>-65000000</v>
      </c>
      <c r="PEL69" s="61">
        <f t="shared" si="1710"/>
        <v>-65000000</v>
      </c>
      <c r="PEM69" s="61">
        <f t="shared" si="1710"/>
        <v>-65000000</v>
      </c>
      <c r="PEN69" s="61">
        <f t="shared" si="1710"/>
        <v>-65000000</v>
      </c>
      <c r="PEO69" s="61">
        <f t="shared" si="1710"/>
        <v>-65000000</v>
      </c>
      <c r="PEP69" s="61">
        <f t="shared" si="1710"/>
        <v>-65000000</v>
      </c>
      <c r="PEQ69" s="61">
        <f t="shared" si="1710"/>
        <v>-65000000</v>
      </c>
      <c r="PER69" s="61">
        <f t="shared" si="1710"/>
        <v>-65000000</v>
      </c>
      <c r="PES69" s="61">
        <f t="shared" si="1710"/>
        <v>-65000000</v>
      </c>
      <c r="PET69" s="61">
        <f t="shared" si="1710"/>
        <v>-65000000</v>
      </c>
      <c r="PEU69" s="61">
        <f t="shared" si="1710"/>
        <v>-65000000</v>
      </c>
      <c r="PEV69" s="61">
        <f t="shared" si="1710"/>
        <v>-65000000</v>
      </c>
      <c r="PEW69" s="61">
        <f t="shared" si="1710"/>
        <v>-65000000</v>
      </c>
      <c r="PEX69" s="61">
        <f t="shared" si="1710"/>
        <v>-65000000</v>
      </c>
      <c r="PEY69" s="61">
        <f t="shared" si="1710"/>
        <v>-65000000</v>
      </c>
      <c r="PEZ69" s="61">
        <f t="shared" si="1710"/>
        <v>-65000000</v>
      </c>
      <c r="PFA69" s="61">
        <f t="shared" si="1710"/>
        <v>-65000000</v>
      </c>
      <c r="PFB69" s="61">
        <f t="shared" si="1710"/>
        <v>-65000000</v>
      </c>
      <c r="PFC69" s="61">
        <f t="shared" ref="PFC69:PHN69" si="1711">PFC68-$EC$11-PFC11</f>
        <v>-65000000</v>
      </c>
      <c r="PFD69" s="61">
        <f t="shared" si="1711"/>
        <v>-65000000</v>
      </c>
      <c r="PFE69" s="61">
        <f t="shared" si="1711"/>
        <v>-65000000</v>
      </c>
      <c r="PFF69" s="61">
        <f t="shared" si="1711"/>
        <v>-65000000</v>
      </c>
      <c r="PFG69" s="61">
        <f t="shared" si="1711"/>
        <v>-65000000</v>
      </c>
      <c r="PFH69" s="61">
        <f t="shared" si="1711"/>
        <v>-65000000</v>
      </c>
      <c r="PFI69" s="61">
        <f t="shared" si="1711"/>
        <v>-65000000</v>
      </c>
      <c r="PFJ69" s="61">
        <f t="shared" si="1711"/>
        <v>-65000000</v>
      </c>
      <c r="PFK69" s="61">
        <f t="shared" si="1711"/>
        <v>-65000000</v>
      </c>
      <c r="PFL69" s="61">
        <f t="shared" si="1711"/>
        <v>-65000000</v>
      </c>
      <c r="PFM69" s="61">
        <f t="shared" si="1711"/>
        <v>-65000000</v>
      </c>
      <c r="PFN69" s="61">
        <f t="shared" si="1711"/>
        <v>-65000000</v>
      </c>
      <c r="PFO69" s="61">
        <f t="shared" si="1711"/>
        <v>-65000000</v>
      </c>
      <c r="PFP69" s="61">
        <f t="shared" si="1711"/>
        <v>-65000000</v>
      </c>
      <c r="PFQ69" s="61">
        <f t="shared" si="1711"/>
        <v>-65000000</v>
      </c>
      <c r="PFR69" s="61">
        <f t="shared" si="1711"/>
        <v>-65000000</v>
      </c>
      <c r="PFS69" s="61">
        <f t="shared" si="1711"/>
        <v>-65000000</v>
      </c>
      <c r="PFT69" s="61">
        <f t="shared" si="1711"/>
        <v>-65000000</v>
      </c>
      <c r="PFU69" s="61">
        <f t="shared" si="1711"/>
        <v>-65000000</v>
      </c>
      <c r="PFV69" s="61">
        <f t="shared" si="1711"/>
        <v>-65000000</v>
      </c>
      <c r="PFW69" s="61">
        <f t="shared" si="1711"/>
        <v>-65000000</v>
      </c>
      <c r="PFX69" s="61">
        <f t="shared" si="1711"/>
        <v>-65000000</v>
      </c>
      <c r="PFY69" s="61">
        <f t="shared" si="1711"/>
        <v>-65000000</v>
      </c>
      <c r="PFZ69" s="61">
        <f t="shared" si="1711"/>
        <v>-65000000</v>
      </c>
      <c r="PGA69" s="61">
        <f t="shared" si="1711"/>
        <v>-65000000</v>
      </c>
      <c r="PGB69" s="61">
        <f t="shared" si="1711"/>
        <v>-65000000</v>
      </c>
      <c r="PGC69" s="61">
        <f t="shared" si="1711"/>
        <v>-65000000</v>
      </c>
      <c r="PGD69" s="61">
        <f t="shared" si="1711"/>
        <v>-65000000</v>
      </c>
      <c r="PGE69" s="61">
        <f t="shared" si="1711"/>
        <v>-65000000</v>
      </c>
      <c r="PGF69" s="61">
        <f t="shared" si="1711"/>
        <v>-65000000</v>
      </c>
      <c r="PGG69" s="61">
        <f t="shared" si="1711"/>
        <v>-65000000</v>
      </c>
      <c r="PGH69" s="61">
        <f t="shared" si="1711"/>
        <v>-65000000</v>
      </c>
      <c r="PGI69" s="61">
        <f t="shared" si="1711"/>
        <v>-65000000</v>
      </c>
      <c r="PGJ69" s="61">
        <f t="shared" si="1711"/>
        <v>-65000000</v>
      </c>
      <c r="PGK69" s="61">
        <f t="shared" si="1711"/>
        <v>-65000000</v>
      </c>
      <c r="PGL69" s="61">
        <f t="shared" si="1711"/>
        <v>-65000000</v>
      </c>
      <c r="PGM69" s="61">
        <f t="shared" si="1711"/>
        <v>-65000000</v>
      </c>
      <c r="PGN69" s="61">
        <f t="shared" si="1711"/>
        <v>-65000000</v>
      </c>
      <c r="PGO69" s="61">
        <f t="shared" si="1711"/>
        <v>-65000000</v>
      </c>
      <c r="PGP69" s="61">
        <f t="shared" si="1711"/>
        <v>-65000000</v>
      </c>
      <c r="PGQ69" s="61">
        <f t="shared" si="1711"/>
        <v>-65000000</v>
      </c>
      <c r="PGR69" s="61">
        <f t="shared" si="1711"/>
        <v>-65000000</v>
      </c>
      <c r="PGS69" s="61">
        <f t="shared" si="1711"/>
        <v>-65000000</v>
      </c>
      <c r="PGT69" s="61">
        <f t="shared" si="1711"/>
        <v>-65000000</v>
      </c>
      <c r="PGU69" s="61">
        <f t="shared" si="1711"/>
        <v>-65000000</v>
      </c>
      <c r="PGV69" s="61">
        <f t="shared" si="1711"/>
        <v>-65000000</v>
      </c>
      <c r="PGW69" s="61">
        <f t="shared" si="1711"/>
        <v>-65000000</v>
      </c>
      <c r="PGX69" s="61">
        <f t="shared" si="1711"/>
        <v>-65000000</v>
      </c>
      <c r="PGY69" s="61">
        <f t="shared" si="1711"/>
        <v>-65000000</v>
      </c>
      <c r="PGZ69" s="61">
        <f t="shared" si="1711"/>
        <v>-65000000</v>
      </c>
      <c r="PHA69" s="61">
        <f t="shared" si="1711"/>
        <v>-65000000</v>
      </c>
      <c r="PHB69" s="61">
        <f t="shared" si="1711"/>
        <v>-65000000</v>
      </c>
      <c r="PHC69" s="61">
        <f t="shared" si="1711"/>
        <v>-65000000</v>
      </c>
      <c r="PHD69" s="61">
        <f t="shared" si="1711"/>
        <v>-65000000</v>
      </c>
      <c r="PHE69" s="61">
        <f t="shared" si="1711"/>
        <v>-65000000</v>
      </c>
      <c r="PHF69" s="61">
        <f t="shared" si="1711"/>
        <v>-65000000</v>
      </c>
      <c r="PHG69" s="61">
        <f t="shared" si="1711"/>
        <v>-65000000</v>
      </c>
      <c r="PHH69" s="61">
        <f t="shared" si="1711"/>
        <v>-65000000</v>
      </c>
      <c r="PHI69" s="61">
        <f t="shared" si="1711"/>
        <v>-65000000</v>
      </c>
      <c r="PHJ69" s="61">
        <f t="shared" si="1711"/>
        <v>-65000000</v>
      </c>
      <c r="PHK69" s="61">
        <f t="shared" si="1711"/>
        <v>-65000000</v>
      </c>
      <c r="PHL69" s="61">
        <f t="shared" si="1711"/>
        <v>-65000000</v>
      </c>
      <c r="PHM69" s="61">
        <f t="shared" si="1711"/>
        <v>-65000000</v>
      </c>
      <c r="PHN69" s="61">
        <f t="shared" si="1711"/>
        <v>-65000000</v>
      </c>
      <c r="PHO69" s="61">
        <f t="shared" ref="PHO69:PJZ69" si="1712">PHO68-$EC$11-PHO11</f>
        <v>-65000000</v>
      </c>
      <c r="PHP69" s="61">
        <f t="shared" si="1712"/>
        <v>-65000000</v>
      </c>
      <c r="PHQ69" s="61">
        <f t="shared" si="1712"/>
        <v>-65000000</v>
      </c>
      <c r="PHR69" s="61">
        <f t="shared" si="1712"/>
        <v>-65000000</v>
      </c>
      <c r="PHS69" s="61">
        <f t="shared" si="1712"/>
        <v>-65000000</v>
      </c>
      <c r="PHT69" s="61">
        <f t="shared" si="1712"/>
        <v>-65000000</v>
      </c>
      <c r="PHU69" s="61">
        <f t="shared" si="1712"/>
        <v>-65000000</v>
      </c>
      <c r="PHV69" s="61">
        <f t="shared" si="1712"/>
        <v>-65000000</v>
      </c>
      <c r="PHW69" s="61">
        <f t="shared" si="1712"/>
        <v>-65000000</v>
      </c>
      <c r="PHX69" s="61">
        <f t="shared" si="1712"/>
        <v>-65000000</v>
      </c>
      <c r="PHY69" s="61">
        <f t="shared" si="1712"/>
        <v>-65000000</v>
      </c>
      <c r="PHZ69" s="61">
        <f t="shared" si="1712"/>
        <v>-65000000</v>
      </c>
      <c r="PIA69" s="61">
        <f t="shared" si="1712"/>
        <v>-65000000</v>
      </c>
      <c r="PIB69" s="61">
        <f t="shared" si="1712"/>
        <v>-65000000</v>
      </c>
      <c r="PIC69" s="61">
        <f t="shared" si="1712"/>
        <v>-65000000</v>
      </c>
      <c r="PID69" s="61">
        <f t="shared" si="1712"/>
        <v>-65000000</v>
      </c>
      <c r="PIE69" s="61">
        <f t="shared" si="1712"/>
        <v>-65000000</v>
      </c>
      <c r="PIF69" s="61">
        <f t="shared" si="1712"/>
        <v>-65000000</v>
      </c>
      <c r="PIG69" s="61">
        <f t="shared" si="1712"/>
        <v>-65000000</v>
      </c>
      <c r="PIH69" s="61">
        <f t="shared" si="1712"/>
        <v>-65000000</v>
      </c>
      <c r="PII69" s="61">
        <f t="shared" si="1712"/>
        <v>-65000000</v>
      </c>
      <c r="PIJ69" s="61">
        <f t="shared" si="1712"/>
        <v>-65000000</v>
      </c>
      <c r="PIK69" s="61">
        <f t="shared" si="1712"/>
        <v>-65000000</v>
      </c>
      <c r="PIL69" s="61">
        <f t="shared" si="1712"/>
        <v>-65000000</v>
      </c>
      <c r="PIM69" s="61">
        <f t="shared" si="1712"/>
        <v>-65000000</v>
      </c>
      <c r="PIN69" s="61">
        <f t="shared" si="1712"/>
        <v>-65000000</v>
      </c>
      <c r="PIO69" s="61">
        <f t="shared" si="1712"/>
        <v>-65000000</v>
      </c>
      <c r="PIP69" s="61">
        <f t="shared" si="1712"/>
        <v>-65000000</v>
      </c>
      <c r="PIQ69" s="61">
        <f t="shared" si="1712"/>
        <v>-65000000</v>
      </c>
      <c r="PIR69" s="61">
        <f t="shared" si="1712"/>
        <v>-65000000</v>
      </c>
      <c r="PIS69" s="61">
        <f t="shared" si="1712"/>
        <v>-65000000</v>
      </c>
      <c r="PIT69" s="61">
        <f t="shared" si="1712"/>
        <v>-65000000</v>
      </c>
      <c r="PIU69" s="61">
        <f t="shared" si="1712"/>
        <v>-65000000</v>
      </c>
      <c r="PIV69" s="61">
        <f t="shared" si="1712"/>
        <v>-65000000</v>
      </c>
      <c r="PIW69" s="61">
        <f t="shared" si="1712"/>
        <v>-65000000</v>
      </c>
      <c r="PIX69" s="61">
        <f t="shared" si="1712"/>
        <v>-65000000</v>
      </c>
      <c r="PIY69" s="61">
        <f t="shared" si="1712"/>
        <v>-65000000</v>
      </c>
      <c r="PIZ69" s="61">
        <f t="shared" si="1712"/>
        <v>-65000000</v>
      </c>
      <c r="PJA69" s="61">
        <f t="shared" si="1712"/>
        <v>-65000000</v>
      </c>
      <c r="PJB69" s="61">
        <f t="shared" si="1712"/>
        <v>-65000000</v>
      </c>
      <c r="PJC69" s="61">
        <f t="shared" si="1712"/>
        <v>-65000000</v>
      </c>
      <c r="PJD69" s="61">
        <f t="shared" si="1712"/>
        <v>-65000000</v>
      </c>
      <c r="PJE69" s="61">
        <f t="shared" si="1712"/>
        <v>-65000000</v>
      </c>
      <c r="PJF69" s="61">
        <f t="shared" si="1712"/>
        <v>-65000000</v>
      </c>
      <c r="PJG69" s="61">
        <f t="shared" si="1712"/>
        <v>-65000000</v>
      </c>
      <c r="PJH69" s="61">
        <f t="shared" si="1712"/>
        <v>-65000000</v>
      </c>
      <c r="PJI69" s="61">
        <f t="shared" si="1712"/>
        <v>-65000000</v>
      </c>
      <c r="PJJ69" s="61">
        <f t="shared" si="1712"/>
        <v>-65000000</v>
      </c>
      <c r="PJK69" s="61">
        <f t="shared" si="1712"/>
        <v>-65000000</v>
      </c>
      <c r="PJL69" s="61">
        <f t="shared" si="1712"/>
        <v>-65000000</v>
      </c>
      <c r="PJM69" s="61">
        <f t="shared" si="1712"/>
        <v>-65000000</v>
      </c>
      <c r="PJN69" s="61">
        <f t="shared" si="1712"/>
        <v>-65000000</v>
      </c>
      <c r="PJO69" s="61">
        <f t="shared" si="1712"/>
        <v>-65000000</v>
      </c>
      <c r="PJP69" s="61">
        <f t="shared" si="1712"/>
        <v>-65000000</v>
      </c>
      <c r="PJQ69" s="61">
        <f t="shared" si="1712"/>
        <v>-65000000</v>
      </c>
      <c r="PJR69" s="61">
        <f t="shared" si="1712"/>
        <v>-65000000</v>
      </c>
      <c r="PJS69" s="61">
        <f t="shared" si="1712"/>
        <v>-65000000</v>
      </c>
      <c r="PJT69" s="61">
        <f t="shared" si="1712"/>
        <v>-65000000</v>
      </c>
      <c r="PJU69" s="61">
        <f t="shared" si="1712"/>
        <v>-65000000</v>
      </c>
      <c r="PJV69" s="61">
        <f t="shared" si="1712"/>
        <v>-65000000</v>
      </c>
      <c r="PJW69" s="61">
        <f t="shared" si="1712"/>
        <v>-65000000</v>
      </c>
      <c r="PJX69" s="61">
        <f t="shared" si="1712"/>
        <v>-65000000</v>
      </c>
      <c r="PJY69" s="61">
        <f t="shared" si="1712"/>
        <v>-65000000</v>
      </c>
      <c r="PJZ69" s="61">
        <f t="shared" si="1712"/>
        <v>-65000000</v>
      </c>
      <c r="PKA69" s="61">
        <f t="shared" ref="PKA69:PML69" si="1713">PKA68-$EC$11-PKA11</f>
        <v>-65000000</v>
      </c>
      <c r="PKB69" s="61">
        <f t="shared" si="1713"/>
        <v>-65000000</v>
      </c>
      <c r="PKC69" s="61">
        <f t="shared" si="1713"/>
        <v>-65000000</v>
      </c>
      <c r="PKD69" s="61">
        <f t="shared" si="1713"/>
        <v>-65000000</v>
      </c>
      <c r="PKE69" s="61">
        <f t="shared" si="1713"/>
        <v>-65000000</v>
      </c>
      <c r="PKF69" s="61">
        <f t="shared" si="1713"/>
        <v>-65000000</v>
      </c>
      <c r="PKG69" s="61">
        <f t="shared" si="1713"/>
        <v>-65000000</v>
      </c>
      <c r="PKH69" s="61">
        <f t="shared" si="1713"/>
        <v>-65000000</v>
      </c>
      <c r="PKI69" s="61">
        <f t="shared" si="1713"/>
        <v>-65000000</v>
      </c>
      <c r="PKJ69" s="61">
        <f t="shared" si="1713"/>
        <v>-65000000</v>
      </c>
      <c r="PKK69" s="61">
        <f t="shared" si="1713"/>
        <v>-65000000</v>
      </c>
      <c r="PKL69" s="61">
        <f t="shared" si="1713"/>
        <v>-65000000</v>
      </c>
      <c r="PKM69" s="61">
        <f t="shared" si="1713"/>
        <v>-65000000</v>
      </c>
      <c r="PKN69" s="61">
        <f t="shared" si="1713"/>
        <v>-65000000</v>
      </c>
      <c r="PKO69" s="61">
        <f t="shared" si="1713"/>
        <v>-65000000</v>
      </c>
      <c r="PKP69" s="61">
        <f t="shared" si="1713"/>
        <v>-65000000</v>
      </c>
      <c r="PKQ69" s="61">
        <f t="shared" si="1713"/>
        <v>-65000000</v>
      </c>
      <c r="PKR69" s="61">
        <f t="shared" si="1713"/>
        <v>-65000000</v>
      </c>
      <c r="PKS69" s="61">
        <f t="shared" si="1713"/>
        <v>-65000000</v>
      </c>
      <c r="PKT69" s="61">
        <f t="shared" si="1713"/>
        <v>-65000000</v>
      </c>
      <c r="PKU69" s="61">
        <f t="shared" si="1713"/>
        <v>-65000000</v>
      </c>
      <c r="PKV69" s="61">
        <f t="shared" si="1713"/>
        <v>-65000000</v>
      </c>
      <c r="PKW69" s="61">
        <f t="shared" si="1713"/>
        <v>-65000000</v>
      </c>
      <c r="PKX69" s="61">
        <f t="shared" si="1713"/>
        <v>-65000000</v>
      </c>
      <c r="PKY69" s="61">
        <f t="shared" si="1713"/>
        <v>-65000000</v>
      </c>
      <c r="PKZ69" s="61">
        <f t="shared" si="1713"/>
        <v>-65000000</v>
      </c>
      <c r="PLA69" s="61">
        <f t="shared" si="1713"/>
        <v>-65000000</v>
      </c>
      <c r="PLB69" s="61">
        <f t="shared" si="1713"/>
        <v>-65000000</v>
      </c>
      <c r="PLC69" s="61">
        <f t="shared" si="1713"/>
        <v>-65000000</v>
      </c>
      <c r="PLD69" s="61">
        <f t="shared" si="1713"/>
        <v>-65000000</v>
      </c>
      <c r="PLE69" s="61">
        <f t="shared" si="1713"/>
        <v>-65000000</v>
      </c>
      <c r="PLF69" s="61">
        <f t="shared" si="1713"/>
        <v>-65000000</v>
      </c>
      <c r="PLG69" s="61">
        <f t="shared" si="1713"/>
        <v>-65000000</v>
      </c>
      <c r="PLH69" s="61">
        <f t="shared" si="1713"/>
        <v>-65000000</v>
      </c>
      <c r="PLI69" s="61">
        <f t="shared" si="1713"/>
        <v>-65000000</v>
      </c>
      <c r="PLJ69" s="61">
        <f t="shared" si="1713"/>
        <v>-65000000</v>
      </c>
      <c r="PLK69" s="61">
        <f t="shared" si="1713"/>
        <v>-65000000</v>
      </c>
      <c r="PLL69" s="61">
        <f t="shared" si="1713"/>
        <v>-65000000</v>
      </c>
      <c r="PLM69" s="61">
        <f t="shared" si="1713"/>
        <v>-65000000</v>
      </c>
      <c r="PLN69" s="61">
        <f t="shared" si="1713"/>
        <v>-65000000</v>
      </c>
      <c r="PLO69" s="61">
        <f t="shared" si="1713"/>
        <v>-65000000</v>
      </c>
      <c r="PLP69" s="61">
        <f t="shared" si="1713"/>
        <v>-65000000</v>
      </c>
      <c r="PLQ69" s="61">
        <f t="shared" si="1713"/>
        <v>-65000000</v>
      </c>
      <c r="PLR69" s="61">
        <f t="shared" si="1713"/>
        <v>-65000000</v>
      </c>
      <c r="PLS69" s="61">
        <f t="shared" si="1713"/>
        <v>-65000000</v>
      </c>
      <c r="PLT69" s="61">
        <f t="shared" si="1713"/>
        <v>-65000000</v>
      </c>
      <c r="PLU69" s="61">
        <f t="shared" si="1713"/>
        <v>-65000000</v>
      </c>
      <c r="PLV69" s="61">
        <f t="shared" si="1713"/>
        <v>-65000000</v>
      </c>
      <c r="PLW69" s="61">
        <f t="shared" si="1713"/>
        <v>-65000000</v>
      </c>
      <c r="PLX69" s="61">
        <f t="shared" si="1713"/>
        <v>-65000000</v>
      </c>
      <c r="PLY69" s="61">
        <f t="shared" si="1713"/>
        <v>-65000000</v>
      </c>
      <c r="PLZ69" s="61">
        <f t="shared" si="1713"/>
        <v>-65000000</v>
      </c>
      <c r="PMA69" s="61">
        <f t="shared" si="1713"/>
        <v>-65000000</v>
      </c>
      <c r="PMB69" s="61">
        <f t="shared" si="1713"/>
        <v>-65000000</v>
      </c>
      <c r="PMC69" s="61">
        <f t="shared" si="1713"/>
        <v>-65000000</v>
      </c>
      <c r="PMD69" s="61">
        <f t="shared" si="1713"/>
        <v>-65000000</v>
      </c>
      <c r="PME69" s="61">
        <f t="shared" si="1713"/>
        <v>-65000000</v>
      </c>
      <c r="PMF69" s="61">
        <f t="shared" si="1713"/>
        <v>-65000000</v>
      </c>
      <c r="PMG69" s="61">
        <f t="shared" si="1713"/>
        <v>-65000000</v>
      </c>
      <c r="PMH69" s="61">
        <f t="shared" si="1713"/>
        <v>-65000000</v>
      </c>
      <c r="PMI69" s="61">
        <f t="shared" si="1713"/>
        <v>-65000000</v>
      </c>
      <c r="PMJ69" s="61">
        <f t="shared" si="1713"/>
        <v>-65000000</v>
      </c>
      <c r="PMK69" s="61">
        <f t="shared" si="1713"/>
        <v>-65000000</v>
      </c>
      <c r="PML69" s="61">
        <f t="shared" si="1713"/>
        <v>-65000000</v>
      </c>
      <c r="PMM69" s="61">
        <f t="shared" ref="PMM69:POX69" si="1714">PMM68-$EC$11-PMM11</f>
        <v>-65000000</v>
      </c>
      <c r="PMN69" s="61">
        <f t="shared" si="1714"/>
        <v>-65000000</v>
      </c>
      <c r="PMO69" s="61">
        <f t="shared" si="1714"/>
        <v>-65000000</v>
      </c>
      <c r="PMP69" s="61">
        <f t="shared" si="1714"/>
        <v>-65000000</v>
      </c>
      <c r="PMQ69" s="61">
        <f t="shared" si="1714"/>
        <v>-65000000</v>
      </c>
      <c r="PMR69" s="61">
        <f t="shared" si="1714"/>
        <v>-65000000</v>
      </c>
      <c r="PMS69" s="61">
        <f t="shared" si="1714"/>
        <v>-65000000</v>
      </c>
      <c r="PMT69" s="61">
        <f t="shared" si="1714"/>
        <v>-65000000</v>
      </c>
      <c r="PMU69" s="61">
        <f t="shared" si="1714"/>
        <v>-65000000</v>
      </c>
      <c r="PMV69" s="61">
        <f t="shared" si="1714"/>
        <v>-65000000</v>
      </c>
      <c r="PMW69" s="61">
        <f t="shared" si="1714"/>
        <v>-65000000</v>
      </c>
      <c r="PMX69" s="61">
        <f t="shared" si="1714"/>
        <v>-65000000</v>
      </c>
      <c r="PMY69" s="61">
        <f t="shared" si="1714"/>
        <v>-65000000</v>
      </c>
      <c r="PMZ69" s="61">
        <f t="shared" si="1714"/>
        <v>-65000000</v>
      </c>
      <c r="PNA69" s="61">
        <f t="shared" si="1714"/>
        <v>-65000000</v>
      </c>
      <c r="PNB69" s="61">
        <f t="shared" si="1714"/>
        <v>-65000000</v>
      </c>
      <c r="PNC69" s="61">
        <f t="shared" si="1714"/>
        <v>-65000000</v>
      </c>
      <c r="PND69" s="61">
        <f t="shared" si="1714"/>
        <v>-65000000</v>
      </c>
      <c r="PNE69" s="61">
        <f t="shared" si="1714"/>
        <v>-65000000</v>
      </c>
      <c r="PNF69" s="61">
        <f t="shared" si="1714"/>
        <v>-65000000</v>
      </c>
      <c r="PNG69" s="61">
        <f t="shared" si="1714"/>
        <v>-65000000</v>
      </c>
      <c r="PNH69" s="61">
        <f t="shared" si="1714"/>
        <v>-65000000</v>
      </c>
      <c r="PNI69" s="61">
        <f t="shared" si="1714"/>
        <v>-65000000</v>
      </c>
      <c r="PNJ69" s="61">
        <f t="shared" si="1714"/>
        <v>-65000000</v>
      </c>
      <c r="PNK69" s="61">
        <f t="shared" si="1714"/>
        <v>-65000000</v>
      </c>
      <c r="PNL69" s="61">
        <f t="shared" si="1714"/>
        <v>-65000000</v>
      </c>
      <c r="PNM69" s="61">
        <f t="shared" si="1714"/>
        <v>-65000000</v>
      </c>
      <c r="PNN69" s="61">
        <f t="shared" si="1714"/>
        <v>-65000000</v>
      </c>
      <c r="PNO69" s="61">
        <f t="shared" si="1714"/>
        <v>-65000000</v>
      </c>
      <c r="PNP69" s="61">
        <f t="shared" si="1714"/>
        <v>-65000000</v>
      </c>
      <c r="PNQ69" s="61">
        <f t="shared" si="1714"/>
        <v>-65000000</v>
      </c>
      <c r="PNR69" s="61">
        <f t="shared" si="1714"/>
        <v>-65000000</v>
      </c>
      <c r="PNS69" s="61">
        <f t="shared" si="1714"/>
        <v>-65000000</v>
      </c>
      <c r="PNT69" s="61">
        <f t="shared" si="1714"/>
        <v>-65000000</v>
      </c>
      <c r="PNU69" s="61">
        <f t="shared" si="1714"/>
        <v>-65000000</v>
      </c>
      <c r="PNV69" s="61">
        <f t="shared" si="1714"/>
        <v>-65000000</v>
      </c>
      <c r="PNW69" s="61">
        <f t="shared" si="1714"/>
        <v>-65000000</v>
      </c>
      <c r="PNX69" s="61">
        <f t="shared" si="1714"/>
        <v>-65000000</v>
      </c>
      <c r="PNY69" s="61">
        <f t="shared" si="1714"/>
        <v>-65000000</v>
      </c>
      <c r="PNZ69" s="61">
        <f t="shared" si="1714"/>
        <v>-65000000</v>
      </c>
      <c r="POA69" s="61">
        <f t="shared" si="1714"/>
        <v>-65000000</v>
      </c>
      <c r="POB69" s="61">
        <f t="shared" si="1714"/>
        <v>-65000000</v>
      </c>
      <c r="POC69" s="61">
        <f t="shared" si="1714"/>
        <v>-65000000</v>
      </c>
      <c r="POD69" s="61">
        <f t="shared" si="1714"/>
        <v>-65000000</v>
      </c>
      <c r="POE69" s="61">
        <f t="shared" si="1714"/>
        <v>-65000000</v>
      </c>
      <c r="POF69" s="61">
        <f t="shared" si="1714"/>
        <v>-65000000</v>
      </c>
      <c r="POG69" s="61">
        <f t="shared" si="1714"/>
        <v>-65000000</v>
      </c>
      <c r="POH69" s="61">
        <f t="shared" si="1714"/>
        <v>-65000000</v>
      </c>
      <c r="POI69" s="61">
        <f t="shared" si="1714"/>
        <v>-65000000</v>
      </c>
      <c r="POJ69" s="61">
        <f t="shared" si="1714"/>
        <v>-65000000</v>
      </c>
      <c r="POK69" s="61">
        <f t="shared" si="1714"/>
        <v>-65000000</v>
      </c>
      <c r="POL69" s="61">
        <f t="shared" si="1714"/>
        <v>-65000000</v>
      </c>
      <c r="POM69" s="61">
        <f t="shared" si="1714"/>
        <v>-65000000</v>
      </c>
      <c r="PON69" s="61">
        <f t="shared" si="1714"/>
        <v>-65000000</v>
      </c>
      <c r="POO69" s="61">
        <f t="shared" si="1714"/>
        <v>-65000000</v>
      </c>
      <c r="POP69" s="61">
        <f t="shared" si="1714"/>
        <v>-65000000</v>
      </c>
      <c r="POQ69" s="61">
        <f t="shared" si="1714"/>
        <v>-65000000</v>
      </c>
      <c r="POR69" s="61">
        <f t="shared" si="1714"/>
        <v>-65000000</v>
      </c>
      <c r="POS69" s="61">
        <f t="shared" si="1714"/>
        <v>-65000000</v>
      </c>
      <c r="POT69" s="61">
        <f t="shared" si="1714"/>
        <v>-65000000</v>
      </c>
      <c r="POU69" s="61">
        <f t="shared" si="1714"/>
        <v>-65000000</v>
      </c>
      <c r="POV69" s="61">
        <f t="shared" si="1714"/>
        <v>-65000000</v>
      </c>
      <c r="POW69" s="61">
        <f t="shared" si="1714"/>
        <v>-65000000</v>
      </c>
      <c r="POX69" s="61">
        <f t="shared" si="1714"/>
        <v>-65000000</v>
      </c>
      <c r="POY69" s="61">
        <f t="shared" ref="POY69:PRJ69" si="1715">POY68-$EC$11-POY11</f>
        <v>-65000000</v>
      </c>
      <c r="POZ69" s="61">
        <f t="shared" si="1715"/>
        <v>-65000000</v>
      </c>
      <c r="PPA69" s="61">
        <f t="shared" si="1715"/>
        <v>-65000000</v>
      </c>
      <c r="PPB69" s="61">
        <f t="shared" si="1715"/>
        <v>-65000000</v>
      </c>
      <c r="PPC69" s="61">
        <f t="shared" si="1715"/>
        <v>-65000000</v>
      </c>
      <c r="PPD69" s="61">
        <f t="shared" si="1715"/>
        <v>-65000000</v>
      </c>
      <c r="PPE69" s="61">
        <f t="shared" si="1715"/>
        <v>-65000000</v>
      </c>
      <c r="PPF69" s="61">
        <f t="shared" si="1715"/>
        <v>-65000000</v>
      </c>
      <c r="PPG69" s="61">
        <f t="shared" si="1715"/>
        <v>-65000000</v>
      </c>
      <c r="PPH69" s="61">
        <f t="shared" si="1715"/>
        <v>-65000000</v>
      </c>
      <c r="PPI69" s="61">
        <f t="shared" si="1715"/>
        <v>-65000000</v>
      </c>
      <c r="PPJ69" s="61">
        <f t="shared" si="1715"/>
        <v>-65000000</v>
      </c>
      <c r="PPK69" s="61">
        <f t="shared" si="1715"/>
        <v>-65000000</v>
      </c>
      <c r="PPL69" s="61">
        <f t="shared" si="1715"/>
        <v>-65000000</v>
      </c>
      <c r="PPM69" s="61">
        <f t="shared" si="1715"/>
        <v>-65000000</v>
      </c>
      <c r="PPN69" s="61">
        <f t="shared" si="1715"/>
        <v>-65000000</v>
      </c>
      <c r="PPO69" s="61">
        <f t="shared" si="1715"/>
        <v>-65000000</v>
      </c>
      <c r="PPP69" s="61">
        <f t="shared" si="1715"/>
        <v>-65000000</v>
      </c>
      <c r="PPQ69" s="61">
        <f t="shared" si="1715"/>
        <v>-65000000</v>
      </c>
      <c r="PPR69" s="61">
        <f t="shared" si="1715"/>
        <v>-65000000</v>
      </c>
      <c r="PPS69" s="61">
        <f t="shared" si="1715"/>
        <v>-65000000</v>
      </c>
      <c r="PPT69" s="61">
        <f t="shared" si="1715"/>
        <v>-65000000</v>
      </c>
      <c r="PPU69" s="61">
        <f t="shared" si="1715"/>
        <v>-65000000</v>
      </c>
      <c r="PPV69" s="61">
        <f t="shared" si="1715"/>
        <v>-65000000</v>
      </c>
      <c r="PPW69" s="61">
        <f t="shared" si="1715"/>
        <v>-65000000</v>
      </c>
      <c r="PPX69" s="61">
        <f t="shared" si="1715"/>
        <v>-65000000</v>
      </c>
      <c r="PPY69" s="61">
        <f t="shared" si="1715"/>
        <v>-65000000</v>
      </c>
      <c r="PPZ69" s="61">
        <f t="shared" si="1715"/>
        <v>-65000000</v>
      </c>
      <c r="PQA69" s="61">
        <f t="shared" si="1715"/>
        <v>-65000000</v>
      </c>
      <c r="PQB69" s="61">
        <f t="shared" si="1715"/>
        <v>-65000000</v>
      </c>
      <c r="PQC69" s="61">
        <f t="shared" si="1715"/>
        <v>-65000000</v>
      </c>
      <c r="PQD69" s="61">
        <f t="shared" si="1715"/>
        <v>-65000000</v>
      </c>
      <c r="PQE69" s="61">
        <f t="shared" si="1715"/>
        <v>-65000000</v>
      </c>
      <c r="PQF69" s="61">
        <f t="shared" si="1715"/>
        <v>-65000000</v>
      </c>
      <c r="PQG69" s="61">
        <f t="shared" si="1715"/>
        <v>-65000000</v>
      </c>
      <c r="PQH69" s="61">
        <f t="shared" si="1715"/>
        <v>-65000000</v>
      </c>
      <c r="PQI69" s="61">
        <f t="shared" si="1715"/>
        <v>-65000000</v>
      </c>
      <c r="PQJ69" s="61">
        <f t="shared" si="1715"/>
        <v>-65000000</v>
      </c>
      <c r="PQK69" s="61">
        <f t="shared" si="1715"/>
        <v>-65000000</v>
      </c>
      <c r="PQL69" s="61">
        <f t="shared" si="1715"/>
        <v>-65000000</v>
      </c>
      <c r="PQM69" s="61">
        <f t="shared" si="1715"/>
        <v>-65000000</v>
      </c>
      <c r="PQN69" s="61">
        <f t="shared" si="1715"/>
        <v>-65000000</v>
      </c>
      <c r="PQO69" s="61">
        <f t="shared" si="1715"/>
        <v>-65000000</v>
      </c>
      <c r="PQP69" s="61">
        <f t="shared" si="1715"/>
        <v>-65000000</v>
      </c>
      <c r="PQQ69" s="61">
        <f t="shared" si="1715"/>
        <v>-65000000</v>
      </c>
      <c r="PQR69" s="61">
        <f t="shared" si="1715"/>
        <v>-65000000</v>
      </c>
      <c r="PQS69" s="61">
        <f t="shared" si="1715"/>
        <v>-65000000</v>
      </c>
      <c r="PQT69" s="61">
        <f t="shared" si="1715"/>
        <v>-65000000</v>
      </c>
      <c r="PQU69" s="61">
        <f t="shared" si="1715"/>
        <v>-65000000</v>
      </c>
      <c r="PQV69" s="61">
        <f t="shared" si="1715"/>
        <v>-65000000</v>
      </c>
      <c r="PQW69" s="61">
        <f t="shared" si="1715"/>
        <v>-65000000</v>
      </c>
      <c r="PQX69" s="61">
        <f t="shared" si="1715"/>
        <v>-65000000</v>
      </c>
      <c r="PQY69" s="61">
        <f t="shared" si="1715"/>
        <v>-65000000</v>
      </c>
      <c r="PQZ69" s="61">
        <f t="shared" si="1715"/>
        <v>-65000000</v>
      </c>
      <c r="PRA69" s="61">
        <f t="shared" si="1715"/>
        <v>-65000000</v>
      </c>
      <c r="PRB69" s="61">
        <f t="shared" si="1715"/>
        <v>-65000000</v>
      </c>
      <c r="PRC69" s="61">
        <f t="shared" si="1715"/>
        <v>-65000000</v>
      </c>
      <c r="PRD69" s="61">
        <f t="shared" si="1715"/>
        <v>-65000000</v>
      </c>
      <c r="PRE69" s="61">
        <f t="shared" si="1715"/>
        <v>-65000000</v>
      </c>
      <c r="PRF69" s="61">
        <f t="shared" si="1715"/>
        <v>-65000000</v>
      </c>
      <c r="PRG69" s="61">
        <f t="shared" si="1715"/>
        <v>-65000000</v>
      </c>
      <c r="PRH69" s="61">
        <f t="shared" si="1715"/>
        <v>-65000000</v>
      </c>
      <c r="PRI69" s="61">
        <f t="shared" si="1715"/>
        <v>-65000000</v>
      </c>
      <c r="PRJ69" s="61">
        <f t="shared" si="1715"/>
        <v>-65000000</v>
      </c>
      <c r="PRK69" s="61">
        <f t="shared" ref="PRK69:PTV69" si="1716">PRK68-$EC$11-PRK11</f>
        <v>-65000000</v>
      </c>
      <c r="PRL69" s="61">
        <f t="shared" si="1716"/>
        <v>-65000000</v>
      </c>
      <c r="PRM69" s="61">
        <f t="shared" si="1716"/>
        <v>-65000000</v>
      </c>
      <c r="PRN69" s="61">
        <f t="shared" si="1716"/>
        <v>-65000000</v>
      </c>
      <c r="PRO69" s="61">
        <f t="shared" si="1716"/>
        <v>-65000000</v>
      </c>
      <c r="PRP69" s="61">
        <f t="shared" si="1716"/>
        <v>-65000000</v>
      </c>
      <c r="PRQ69" s="61">
        <f t="shared" si="1716"/>
        <v>-65000000</v>
      </c>
      <c r="PRR69" s="61">
        <f t="shared" si="1716"/>
        <v>-65000000</v>
      </c>
      <c r="PRS69" s="61">
        <f t="shared" si="1716"/>
        <v>-65000000</v>
      </c>
      <c r="PRT69" s="61">
        <f t="shared" si="1716"/>
        <v>-65000000</v>
      </c>
      <c r="PRU69" s="61">
        <f t="shared" si="1716"/>
        <v>-65000000</v>
      </c>
      <c r="PRV69" s="61">
        <f t="shared" si="1716"/>
        <v>-65000000</v>
      </c>
      <c r="PRW69" s="61">
        <f t="shared" si="1716"/>
        <v>-65000000</v>
      </c>
      <c r="PRX69" s="61">
        <f t="shared" si="1716"/>
        <v>-65000000</v>
      </c>
      <c r="PRY69" s="61">
        <f t="shared" si="1716"/>
        <v>-65000000</v>
      </c>
      <c r="PRZ69" s="61">
        <f t="shared" si="1716"/>
        <v>-65000000</v>
      </c>
      <c r="PSA69" s="61">
        <f t="shared" si="1716"/>
        <v>-65000000</v>
      </c>
      <c r="PSB69" s="61">
        <f t="shared" si="1716"/>
        <v>-65000000</v>
      </c>
      <c r="PSC69" s="61">
        <f t="shared" si="1716"/>
        <v>-65000000</v>
      </c>
      <c r="PSD69" s="61">
        <f t="shared" si="1716"/>
        <v>-65000000</v>
      </c>
      <c r="PSE69" s="61">
        <f t="shared" si="1716"/>
        <v>-65000000</v>
      </c>
      <c r="PSF69" s="61">
        <f t="shared" si="1716"/>
        <v>-65000000</v>
      </c>
      <c r="PSG69" s="61">
        <f t="shared" si="1716"/>
        <v>-65000000</v>
      </c>
      <c r="PSH69" s="61">
        <f t="shared" si="1716"/>
        <v>-65000000</v>
      </c>
      <c r="PSI69" s="61">
        <f t="shared" si="1716"/>
        <v>-65000000</v>
      </c>
      <c r="PSJ69" s="61">
        <f t="shared" si="1716"/>
        <v>-65000000</v>
      </c>
      <c r="PSK69" s="61">
        <f t="shared" si="1716"/>
        <v>-65000000</v>
      </c>
      <c r="PSL69" s="61">
        <f t="shared" si="1716"/>
        <v>-65000000</v>
      </c>
      <c r="PSM69" s="61">
        <f t="shared" si="1716"/>
        <v>-65000000</v>
      </c>
      <c r="PSN69" s="61">
        <f t="shared" si="1716"/>
        <v>-65000000</v>
      </c>
      <c r="PSO69" s="61">
        <f t="shared" si="1716"/>
        <v>-65000000</v>
      </c>
      <c r="PSP69" s="61">
        <f t="shared" si="1716"/>
        <v>-65000000</v>
      </c>
      <c r="PSQ69" s="61">
        <f t="shared" si="1716"/>
        <v>-65000000</v>
      </c>
      <c r="PSR69" s="61">
        <f t="shared" si="1716"/>
        <v>-65000000</v>
      </c>
      <c r="PSS69" s="61">
        <f t="shared" si="1716"/>
        <v>-65000000</v>
      </c>
      <c r="PST69" s="61">
        <f t="shared" si="1716"/>
        <v>-65000000</v>
      </c>
      <c r="PSU69" s="61">
        <f t="shared" si="1716"/>
        <v>-65000000</v>
      </c>
      <c r="PSV69" s="61">
        <f t="shared" si="1716"/>
        <v>-65000000</v>
      </c>
      <c r="PSW69" s="61">
        <f t="shared" si="1716"/>
        <v>-65000000</v>
      </c>
      <c r="PSX69" s="61">
        <f t="shared" si="1716"/>
        <v>-65000000</v>
      </c>
      <c r="PSY69" s="61">
        <f t="shared" si="1716"/>
        <v>-65000000</v>
      </c>
      <c r="PSZ69" s="61">
        <f t="shared" si="1716"/>
        <v>-65000000</v>
      </c>
      <c r="PTA69" s="61">
        <f t="shared" si="1716"/>
        <v>-65000000</v>
      </c>
      <c r="PTB69" s="61">
        <f t="shared" si="1716"/>
        <v>-65000000</v>
      </c>
      <c r="PTC69" s="61">
        <f t="shared" si="1716"/>
        <v>-65000000</v>
      </c>
      <c r="PTD69" s="61">
        <f t="shared" si="1716"/>
        <v>-65000000</v>
      </c>
      <c r="PTE69" s="61">
        <f t="shared" si="1716"/>
        <v>-65000000</v>
      </c>
      <c r="PTF69" s="61">
        <f t="shared" si="1716"/>
        <v>-65000000</v>
      </c>
      <c r="PTG69" s="61">
        <f t="shared" si="1716"/>
        <v>-65000000</v>
      </c>
      <c r="PTH69" s="61">
        <f t="shared" si="1716"/>
        <v>-65000000</v>
      </c>
      <c r="PTI69" s="61">
        <f t="shared" si="1716"/>
        <v>-65000000</v>
      </c>
      <c r="PTJ69" s="61">
        <f t="shared" si="1716"/>
        <v>-65000000</v>
      </c>
      <c r="PTK69" s="61">
        <f t="shared" si="1716"/>
        <v>-65000000</v>
      </c>
      <c r="PTL69" s="61">
        <f t="shared" si="1716"/>
        <v>-65000000</v>
      </c>
      <c r="PTM69" s="61">
        <f t="shared" si="1716"/>
        <v>-65000000</v>
      </c>
      <c r="PTN69" s="61">
        <f t="shared" si="1716"/>
        <v>-65000000</v>
      </c>
      <c r="PTO69" s="61">
        <f t="shared" si="1716"/>
        <v>-65000000</v>
      </c>
      <c r="PTP69" s="61">
        <f t="shared" si="1716"/>
        <v>-65000000</v>
      </c>
      <c r="PTQ69" s="61">
        <f t="shared" si="1716"/>
        <v>-65000000</v>
      </c>
      <c r="PTR69" s="61">
        <f t="shared" si="1716"/>
        <v>-65000000</v>
      </c>
      <c r="PTS69" s="61">
        <f t="shared" si="1716"/>
        <v>-65000000</v>
      </c>
      <c r="PTT69" s="61">
        <f t="shared" si="1716"/>
        <v>-65000000</v>
      </c>
      <c r="PTU69" s="61">
        <f t="shared" si="1716"/>
        <v>-65000000</v>
      </c>
      <c r="PTV69" s="61">
        <f t="shared" si="1716"/>
        <v>-65000000</v>
      </c>
      <c r="PTW69" s="61">
        <f t="shared" ref="PTW69:PWH69" si="1717">PTW68-$EC$11-PTW11</f>
        <v>-65000000</v>
      </c>
      <c r="PTX69" s="61">
        <f t="shared" si="1717"/>
        <v>-65000000</v>
      </c>
      <c r="PTY69" s="61">
        <f t="shared" si="1717"/>
        <v>-65000000</v>
      </c>
      <c r="PTZ69" s="61">
        <f t="shared" si="1717"/>
        <v>-65000000</v>
      </c>
      <c r="PUA69" s="61">
        <f t="shared" si="1717"/>
        <v>-65000000</v>
      </c>
      <c r="PUB69" s="61">
        <f t="shared" si="1717"/>
        <v>-65000000</v>
      </c>
      <c r="PUC69" s="61">
        <f t="shared" si="1717"/>
        <v>-65000000</v>
      </c>
      <c r="PUD69" s="61">
        <f t="shared" si="1717"/>
        <v>-65000000</v>
      </c>
      <c r="PUE69" s="61">
        <f t="shared" si="1717"/>
        <v>-65000000</v>
      </c>
      <c r="PUF69" s="61">
        <f t="shared" si="1717"/>
        <v>-65000000</v>
      </c>
      <c r="PUG69" s="61">
        <f t="shared" si="1717"/>
        <v>-65000000</v>
      </c>
      <c r="PUH69" s="61">
        <f t="shared" si="1717"/>
        <v>-65000000</v>
      </c>
      <c r="PUI69" s="61">
        <f t="shared" si="1717"/>
        <v>-65000000</v>
      </c>
      <c r="PUJ69" s="61">
        <f t="shared" si="1717"/>
        <v>-65000000</v>
      </c>
      <c r="PUK69" s="61">
        <f t="shared" si="1717"/>
        <v>-65000000</v>
      </c>
      <c r="PUL69" s="61">
        <f t="shared" si="1717"/>
        <v>-65000000</v>
      </c>
      <c r="PUM69" s="61">
        <f t="shared" si="1717"/>
        <v>-65000000</v>
      </c>
      <c r="PUN69" s="61">
        <f t="shared" si="1717"/>
        <v>-65000000</v>
      </c>
      <c r="PUO69" s="61">
        <f t="shared" si="1717"/>
        <v>-65000000</v>
      </c>
      <c r="PUP69" s="61">
        <f t="shared" si="1717"/>
        <v>-65000000</v>
      </c>
      <c r="PUQ69" s="61">
        <f t="shared" si="1717"/>
        <v>-65000000</v>
      </c>
      <c r="PUR69" s="61">
        <f t="shared" si="1717"/>
        <v>-65000000</v>
      </c>
      <c r="PUS69" s="61">
        <f t="shared" si="1717"/>
        <v>-65000000</v>
      </c>
      <c r="PUT69" s="61">
        <f t="shared" si="1717"/>
        <v>-65000000</v>
      </c>
      <c r="PUU69" s="61">
        <f t="shared" si="1717"/>
        <v>-65000000</v>
      </c>
      <c r="PUV69" s="61">
        <f t="shared" si="1717"/>
        <v>-65000000</v>
      </c>
      <c r="PUW69" s="61">
        <f t="shared" si="1717"/>
        <v>-65000000</v>
      </c>
      <c r="PUX69" s="61">
        <f t="shared" si="1717"/>
        <v>-65000000</v>
      </c>
      <c r="PUY69" s="61">
        <f t="shared" si="1717"/>
        <v>-65000000</v>
      </c>
      <c r="PUZ69" s="61">
        <f t="shared" si="1717"/>
        <v>-65000000</v>
      </c>
      <c r="PVA69" s="61">
        <f t="shared" si="1717"/>
        <v>-65000000</v>
      </c>
      <c r="PVB69" s="61">
        <f t="shared" si="1717"/>
        <v>-65000000</v>
      </c>
      <c r="PVC69" s="61">
        <f t="shared" si="1717"/>
        <v>-65000000</v>
      </c>
      <c r="PVD69" s="61">
        <f t="shared" si="1717"/>
        <v>-65000000</v>
      </c>
      <c r="PVE69" s="61">
        <f t="shared" si="1717"/>
        <v>-65000000</v>
      </c>
      <c r="PVF69" s="61">
        <f t="shared" si="1717"/>
        <v>-65000000</v>
      </c>
      <c r="PVG69" s="61">
        <f t="shared" si="1717"/>
        <v>-65000000</v>
      </c>
      <c r="PVH69" s="61">
        <f t="shared" si="1717"/>
        <v>-65000000</v>
      </c>
      <c r="PVI69" s="61">
        <f t="shared" si="1717"/>
        <v>-65000000</v>
      </c>
      <c r="PVJ69" s="61">
        <f t="shared" si="1717"/>
        <v>-65000000</v>
      </c>
      <c r="PVK69" s="61">
        <f t="shared" si="1717"/>
        <v>-65000000</v>
      </c>
      <c r="PVL69" s="61">
        <f t="shared" si="1717"/>
        <v>-65000000</v>
      </c>
      <c r="PVM69" s="61">
        <f t="shared" si="1717"/>
        <v>-65000000</v>
      </c>
      <c r="PVN69" s="61">
        <f t="shared" si="1717"/>
        <v>-65000000</v>
      </c>
      <c r="PVO69" s="61">
        <f t="shared" si="1717"/>
        <v>-65000000</v>
      </c>
      <c r="PVP69" s="61">
        <f t="shared" si="1717"/>
        <v>-65000000</v>
      </c>
      <c r="PVQ69" s="61">
        <f t="shared" si="1717"/>
        <v>-65000000</v>
      </c>
      <c r="PVR69" s="61">
        <f t="shared" si="1717"/>
        <v>-65000000</v>
      </c>
      <c r="PVS69" s="61">
        <f t="shared" si="1717"/>
        <v>-65000000</v>
      </c>
      <c r="PVT69" s="61">
        <f t="shared" si="1717"/>
        <v>-65000000</v>
      </c>
      <c r="PVU69" s="61">
        <f t="shared" si="1717"/>
        <v>-65000000</v>
      </c>
      <c r="PVV69" s="61">
        <f t="shared" si="1717"/>
        <v>-65000000</v>
      </c>
      <c r="PVW69" s="61">
        <f t="shared" si="1717"/>
        <v>-65000000</v>
      </c>
      <c r="PVX69" s="61">
        <f t="shared" si="1717"/>
        <v>-65000000</v>
      </c>
      <c r="PVY69" s="61">
        <f t="shared" si="1717"/>
        <v>-65000000</v>
      </c>
      <c r="PVZ69" s="61">
        <f t="shared" si="1717"/>
        <v>-65000000</v>
      </c>
      <c r="PWA69" s="61">
        <f t="shared" si="1717"/>
        <v>-65000000</v>
      </c>
      <c r="PWB69" s="61">
        <f t="shared" si="1717"/>
        <v>-65000000</v>
      </c>
      <c r="PWC69" s="61">
        <f t="shared" si="1717"/>
        <v>-65000000</v>
      </c>
      <c r="PWD69" s="61">
        <f t="shared" si="1717"/>
        <v>-65000000</v>
      </c>
      <c r="PWE69" s="61">
        <f t="shared" si="1717"/>
        <v>-65000000</v>
      </c>
      <c r="PWF69" s="61">
        <f t="shared" si="1717"/>
        <v>-65000000</v>
      </c>
      <c r="PWG69" s="61">
        <f t="shared" si="1717"/>
        <v>-65000000</v>
      </c>
      <c r="PWH69" s="61">
        <f t="shared" si="1717"/>
        <v>-65000000</v>
      </c>
      <c r="PWI69" s="61">
        <f t="shared" ref="PWI69:PYT69" si="1718">PWI68-$EC$11-PWI11</f>
        <v>-65000000</v>
      </c>
      <c r="PWJ69" s="61">
        <f t="shared" si="1718"/>
        <v>-65000000</v>
      </c>
      <c r="PWK69" s="61">
        <f t="shared" si="1718"/>
        <v>-65000000</v>
      </c>
      <c r="PWL69" s="61">
        <f t="shared" si="1718"/>
        <v>-65000000</v>
      </c>
      <c r="PWM69" s="61">
        <f t="shared" si="1718"/>
        <v>-65000000</v>
      </c>
      <c r="PWN69" s="61">
        <f t="shared" si="1718"/>
        <v>-65000000</v>
      </c>
      <c r="PWO69" s="61">
        <f t="shared" si="1718"/>
        <v>-65000000</v>
      </c>
      <c r="PWP69" s="61">
        <f t="shared" si="1718"/>
        <v>-65000000</v>
      </c>
      <c r="PWQ69" s="61">
        <f t="shared" si="1718"/>
        <v>-65000000</v>
      </c>
      <c r="PWR69" s="61">
        <f t="shared" si="1718"/>
        <v>-65000000</v>
      </c>
      <c r="PWS69" s="61">
        <f t="shared" si="1718"/>
        <v>-65000000</v>
      </c>
      <c r="PWT69" s="61">
        <f t="shared" si="1718"/>
        <v>-65000000</v>
      </c>
      <c r="PWU69" s="61">
        <f t="shared" si="1718"/>
        <v>-65000000</v>
      </c>
      <c r="PWV69" s="61">
        <f t="shared" si="1718"/>
        <v>-65000000</v>
      </c>
      <c r="PWW69" s="61">
        <f t="shared" si="1718"/>
        <v>-65000000</v>
      </c>
      <c r="PWX69" s="61">
        <f t="shared" si="1718"/>
        <v>-65000000</v>
      </c>
      <c r="PWY69" s="61">
        <f t="shared" si="1718"/>
        <v>-65000000</v>
      </c>
      <c r="PWZ69" s="61">
        <f t="shared" si="1718"/>
        <v>-65000000</v>
      </c>
      <c r="PXA69" s="61">
        <f t="shared" si="1718"/>
        <v>-65000000</v>
      </c>
      <c r="PXB69" s="61">
        <f t="shared" si="1718"/>
        <v>-65000000</v>
      </c>
      <c r="PXC69" s="61">
        <f t="shared" si="1718"/>
        <v>-65000000</v>
      </c>
      <c r="PXD69" s="61">
        <f t="shared" si="1718"/>
        <v>-65000000</v>
      </c>
      <c r="PXE69" s="61">
        <f t="shared" si="1718"/>
        <v>-65000000</v>
      </c>
      <c r="PXF69" s="61">
        <f t="shared" si="1718"/>
        <v>-65000000</v>
      </c>
      <c r="PXG69" s="61">
        <f t="shared" si="1718"/>
        <v>-65000000</v>
      </c>
      <c r="PXH69" s="61">
        <f t="shared" si="1718"/>
        <v>-65000000</v>
      </c>
      <c r="PXI69" s="61">
        <f t="shared" si="1718"/>
        <v>-65000000</v>
      </c>
      <c r="PXJ69" s="61">
        <f t="shared" si="1718"/>
        <v>-65000000</v>
      </c>
      <c r="PXK69" s="61">
        <f t="shared" si="1718"/>
        <v>-65000000</v>
      </c>
      <c r="PXL69" s="61">
        <f t="shared" si="1718"/>
        <v>-65000000</v>
      </c>
      <c r="PXM69" s="61">
        <f t="shared" si="1718"/>
        <v>-65000000</v>
      </c>
      <c r="PXN69" s="61">
        <f t="shared" si="1718"/>
        <v>-65000000</v>
      </c>
      <c r="PXO69" s="61">
        <f t="shared" si="1718"/>
        <v>-65000000</v>
      </c>
      <c r="PXP69" s="61">
        <f t="shared" si="1718"/>
        <v>-65000000</v>
      </c>
      <c r="PXQ69" s="61">
        <f t="shared" si="1718"/>
        <v>-65000000</v>
      </c>
      <c r="PXR69" s="61">
        <f t="shared" si="1718"/>
        <v>-65000000</v>
      </c>
      <c r="PXS69" s="61">
        <f t="shared" si="1718"/>
        <v>-65000000</v>
      </c>
      <c r="PXT69" s="61">
        <f t="shared" si="1718"/>
        <v>-65000000</v>
      </c>
      <c r="PXU69" s="61">
        <f t="shared" si="1718"/>
        <v>-65000000</v>
      </c>
      <c r="PXV69" s="61">
        <f t="shared" si="1718"/>
        <v>-65000000</v>
      </c>
      <c r="PXW69" s="61">
        <f t="shared" si="1718"/>
        <v>-65000000</v>
      </c>
      <c r="PXX69" s="61">
        <f t="shared" si="1718"/>
        <v>-65000000</v>
      </c>
      <c r="PXY69" s="61">
        <f t="shared" si="1718"/>
        <v>-65000000</v>
      </c>
      <c r="PXZ69" s="61">
        <f t="shared" si="1718"/>
        <v>-65000000</v>
      </c>
      <c r="PYA69" s="61">
        <f t="shared" si="1718"/>
        <v>-65000000</v>
      </c>
      <c r="PYB69" s="61">
        <f t="shared" si="1718"/>
        <v>-65000000</v>
      </c>
      <c r="PYC69" s="61">
        <f t="shared" si="1718"/>
        <v>-65000000</v>
      </c>
      <c r="PYD69" s="61">
        <f t="shared" si="1718"/>
        <v>-65000000</v>
      </c>
      <c r="PYE69" s="61">
        <f t="shared" si="1718"/>
        <v>-65000000</v>
      </c>
      <c r="PYF69" s="61">
        <f t="shared" si="1718"/>
        <v>-65000000</v>
      </c>
      <c r="PYG69" s="61">
        <f t="shared" si="1718"/>
        <v>-65000000</v>
      </c>
      <c r="PYH69" s="61">
        <f t="shared" si="1718"/>
        <v>-65000000</v>
      </c>
      <c r="PYI69" s="61">
        <f t="shared" si="1718"/>
        <v>-65000000</v>
      </c>
      <c r="PYJ69" s="61">
        <f t="shared" si="1718"/>
        <v>-65000000</v>
      </c>
      <c r="PYK69" s="61">
        <f t="shared" si="1718"/>
        <v>-65000000</v>
      </c>
      <c r="PYL69" s="61">
        <f t="shared" si="1718"/>
        <v>-65000000</v>
      </c>
      <c r="PYM69" s="61">
        <f t="shared" si="1718"/>
        <v>-65000000</v>
      </c>
      <c r="PYN69" s="61">
        <f t="shared" si="1718"/>
        <v>-65000000</v>
      </c>
      <c r="PYO69" s="61">
        <f t="shared" si="1718"/>
        <v>-65000000</v>
      </c>
      <c r="PYP69" s="61">
        <f t="shared" si="1718"/>
        <v>-65000000</v>
      </c>
      <c r="PYQ69" s="61">
        <f t="shared" si="1718"/>
        <v>-65000000</v>
      </c>
      <c r="PYR69" s="61">
        <f t="shared" si="1718"/>
        <v>-65000000</v>
      </c>
      <c r="PYS69" s="61">
        <f t="shared" si="1718"/>
        <v>-65000000</v>
      </c>
      <c r="PYT69" s="61">
        <f t="shared" si="1718"/>
        <v>-65000000</v>
      </c>
      <c r="PYU69" s="61">
        <f t="shared" ref="PYU69:QBF69" si="1719">PYU68-$EC$11-PYU11</f>
        <v>-65000000</v>
      </c>
      <c r="PYV69" s="61">
        <f t="shared" si="1719"/>
        <v>-65000000</v>
      </c>
      <c r="PYW69" s="61">
        <f t="shared" si="1719"/>
        <v>-65000000</v>
      </c>
      <c r="PYX69" s="61">
        <f t="shared" si="1719"/>
        <v>-65000000</v>
      </c>
      <c r="PYY69" s="61">
        <f t="shared" si="1719"/>
        <v>-65000000</v>
      </c>
      <c r="PYZ69" s="61">
        <f t="shared" si="1719"/>
        <v>-65000000</v>
      </c>
      <c r="PZA69" s="61">
        <f t="shared" si="1719"/>
        <v>-65000000</v>
      </c>
      <c r="PZB69" s="61">
        <f t="shared" si="1719"/>
        <v>-65000000</v>
      </c>
      <c r="PZC69" s="61">
        <f t="shared" si="1719"/>
        <v>-65000000</v>
      </c>
      <c r="PZD69" s="61">
        <f t="shared" si="1719"/>
        <v>-65000000</v>
      </c>
      <c r="PZE69" s="61">
        <f t="shared" si="1719"/>
        <v>-65000000</v>
      </c>
      <c r="PZF69" s="61">
        <f t="shared" si="1719"/>
        <v>-65000000</v>
      </c>
      <c r="PZG69" s="61">
        <f t="shared" si="1719"/>
        <v>-65000000</v>
      </c>
      <c r="PZH69" s="61">
        <f t="shared" si="1719"/>
        <v>-65000000</v>
      </c>
      <c r="PZI69" s="61">
        <f t="shared" si="1719"/>
        <v>-65000000</v>
      </c>
      <c r="PZJ69" s="61">
        <f t="shared" si="1719"/>
        <v>-65000000</v>
      </c>
      <c r="PZK69" s="61">
        <f t="shared" si="1719"/>
        <v>-65000000</v>
      </c>
      <c r="PZL69" s="61">
        <f t="shared" si="1719"/>
        <v>-65000000</v>
      </c>
      <c r="PZM69" s="61">
        <f t="shared" si="1719"/>
        <v>-65000000</v>
      </c>
      <c r="PZN69" s="61">
        <f t="shared" si="1719"/>
        <v>-65000000</v>
      </c>
      <c r="PZO69" s="61">
        <f t="shared" si="1719"/>
        <v>-65000000</v>
      </c>
      <c r="PZP69" s="61">
        <f t="shared" si="1719"/>
        <v>-65000000</v>
      </c>
      <c r="PZQ69" s="61">
        <f t="shared" si="1719"/>
        <v>-65000000</v>
      </c>
      <c r="PZR69" s="61">
        <f t="shared" si="1719"/>
        <v>-65000000</v>
      </c>
      <c r="PZS69" s="61">
        <f t="shared" si="1719"/>
        <v>-65000000</v>
      </c>
      <c r="PZT69" s="61">
        <f t="shared" si="1719"/>
        <v>-65000000</v>
      </c>
      <c r="PZU69" s="61">
        <f t="shared" si="1719"/>
        <v>-65000000</v>
      </c>
      <c r="PZV69" s="61">
        <f t="shared" si="1719"/>
        <v>-65000000</v>
      </c>
      <c r="PZW69" s="61">
        <f t="shared" si="1719"/>
        <v>-65000000</v>
      </c>
      <c r="PZX69" s="61">
        <f t="shared" si="1719"/>
        <v>-65000000</v>
      </c>
      <c r="PZY69" s="61">
        <f t="shared" si="1719"/>
        <v>-65000000</v>
      </c>
      <c r="PZZ69" s="61">
        <f t="shared" si="1719"/>
        <v>-65000000</v>
      </c>
      <c r="QAA69" s="61">
        <f t="shared" si="1719"/>
        <v>-65000000</v>
      </c>
      <c r="QAB69" s="61">
        <f t="shared" si="1719"/>
        <v>-65000000</v>
      </c>
      <c r="QAC69" s="61">
        <f t="shared" si="1719"/>
        <v>-65000000</v>
      </c>
      <c r="QAD69" s="61">
        <f t="shared" si="1719"/>
        <v>-65000000</v>
      </c>
      <c r="QAE69" s="61">
        <f t="shared" si="1719"/>
        <v>-65000000</v>
      </c>
      <c r="QAF69" s="61">
        <f t="shared" si="1719"/>
        <v>-65000000</v>
      </c>
      <c r="QAG69" s="61">
        <f t="shared" si="1719"/>
        <v>-65000000</v>
      </c>
      <c r="QAH69" s="61">
        <f t="shared" si="1719"/>
        <v>-65000000</v>
      </c>
      <c r="QAI69" s="61">
        <f t="shared" si="1719"/>
        <v>-65000000</v>
      </c>
      <c r="QAJ69" s="61">
        <f t="shared" si="1719"/>
        <v>-65000000</v>
      </c>
      <c r="QAK69" s="61">
        <f t="shared" si="1719"/>
        <v>-65000000</v>
      </c>
      <c r="QAL69" s="61">
        <f t="shared" si="1719"/>
        <v>-65000000</v>
      </c>
      <c r="QAM69" s="61">
        <f t="shared" si="1719"/>
        <v>-65000000</v>
      </c>
      <c r="QAN69" s="61">
        <f t="shared" si="1719"/>
        <v>-65000000</v>
      </c>
      <c r="QAO69" s="61">
        <f t="shared" si="1719"/>
        <v>-65000000</v>
      </c>
      <c r="QAP69" s="61">
        <f t="shared" si="1719"/>
        <v>-65000000</v>
      </c>
      <c r="QAQ69" s="61">
        <f t="shared" si="1719"/>
        <v>-65000000</v>
      </c>
      <c r="QAR69" s="61">
        <f t="shared" si="1719"/>
        <v>-65000000</v>
      </c>
      <c r="QAS69" s="61">
        <f t="shared" si="1719"/>
        <v>-65000000</v>
      </c>
      <c r="QAT69" s="61">
        <f t="shared" si="1719"/>
        <v>-65000000</v>
      </c>
      <c r="QAU69" s="61">
        <f t="shared" si="1719"/>
        <v>-65000000</v>
      </c>
      <c r="QAV69" s="61">
        <f t="shared" si="1719"/>
        <v>-65000000</v>
      </c>
      <c r="QAW69" s="61">
        <f t="shared" si="1719"/>
        <v>-65000000</v>
      </c>
      <c r="QAX69" s="61">
        <f t="shared" si="1719"/>
        <v>-65000000</v>
      </c>
      <c r="QAY69" s="61">
        <f t="shared" si="1719"/>
        <v>-65000000</v>
      </c>
      <c r="QAZ69" s="61">
        <f t="shared" si="1719"/>
        <v>-65000000</v>
      </c>
      <c r="QBA69" s="61">
        <f t="shared" si="1719"/>
        <v>-65000000</v>
      </c>
      <c r="QBB69" s="61">
        <f t="shared" si="1719"/>
        <v>-65000000</v>
      </c>
      <c r="QBC69" s="61">
        <f t="shared" si="1719"/>
        <v>-65000000</v>
      </c>
      <c r="QBD69" s="61">
        <f t="shared" si="1719"/>
        <v>-65000000</v>
      </c>
      <c r="QBE69" s="61">
        <f t="shared" si="1719"/>
        <v>-65000000</v>
      </c>
      <c r="QBF69" s="61">
        <f t="shared" si="1719"/>
        <v>-65000000</v>
      </c>
      <c r="QBG69" s="61">
        <f t="shared" ref="QBG69:QDR69" si="1720">QBG68-$EC$11-QBG11</f>
        <v>-65000000</v>
      </c>
      <c r="QBH69" s="61">
        <f t="shared" si="1720"/>
        <v>-65000000</v>
      </c>
      <c r="QBI69" s="61">
        <f t="shared" si="1720"/>
        <v>-65000000</v>
      </c>
      <c r="QBJ69" s="61">
        <f t="shared" si="1720"/>
        <v>-65000000</v>
      </c>
      <c r="QBK69" s="61">
        <f t="shared" si="1720"/>
        <v>-65000000</v>
      </c>
      <c r="QBL69" s="61">
        <f t="shared" si="1720"/>
        <v>-65000000</v>
      </c>
      <c r="QBM69" s="61">
        <f t="shared" si="1720"/>
        <v>-65000000</v>
      </c>
      <c r="QBN69" s="61">
        <f t="shared" si="1720"/>
        <v>-65000000</v>
      </c>
      <c r="QBO69" s="61">
        <f t="shared" si="1720"/>
        <v>-65000000</v>
      </c>
      <c r="QBP69" s="61">
        <f t="shared" si="1720"/>
        <v>-65000000</v>
      </c>
      <c r="QBQ69" s="61">
        <f t="shared" si="1720"/>
        <v>-65000000</v>
      </c>
      <c r="QBR69" s="61">
        <f t="shared" si="1720"/>
        <v>-65000000</v>
      </c>
      <c r="QBS69" s="61">
        <f t="shared" si="1720"/>
        <v>-65000000</v>
      </c>
      <c r="QBT69" s="61">
        <f t="shared" si="1720"/>
        <v>-65000000</v>
      </c>
      <c r="QBU69" s="61">
        <f t="shared" si="1720"/>
        <v>-65000000</v>
      </c>
      <c r="QBV69" s="61">
        <f t="shared" si="1720"/>
        <v>-65000000</v>
      </c>
      <c r="QBW69" s="61">
        <f t="shared" si="1720"/>
        <v>-65000000</v>
      </c>
      <c r="QBX69" s="61">
        <f t="shared" si="1720"/>
        <v>-65000000</v>
      </c>
      <c r="QBY69" s="61">
        <f t="shared" si="1720"/>
        <v>-65000000</v>
      </c>
      <c r="QBZ69" s="61">
        <f t="shared" si="1720"/>
        <v>-65000000</v>
      </c>
      <c r="QCA69" s="61">
        <f t="shared" si="1720"/>
        <v>-65000000</v>
      </c>
      <c r="QCB69" s="61">
        <f t="shared" si="1720"/>
        <v>-65000000</v>
      </c>
      <c r="QCC69" s="61">
        <f t="shared" si="1720"/>
        <v>-65000000</v>
      </c>
      <c r="QCD69" s="61">
        <f t="shared" si="1720"/>
        <v>-65000000</v>
      </c>
      <c r="QCE69" s="61">
        <f t="shared" si="1720"/>
        <v>-65000000</v>
      </c>
      <c r="QCF69" s="61">
        <f t="shared" si="1720"/>
        <v>-65000000</v>
      </c>
      <c r="QCG69" s="61">
        <f t="shared" si="1720"/>
        <v>-65000000</v>
      </c>
      <c r="QCH69" s="61">
        <f t="shared" si="1720"/>
        <v>-65000000</v>
      </c>
      <c r="QCI69" s="61">
        <f t="shared" si="1720"/>
        <v>-65000000</v>
      </c>
      <c r="QCJ69" s="61">
        <f t="shared" si="1720"/>
        <v>-65000000</v>
      </c>
      <c r="QCK69" s="61">
        <f t="shared" si="1720"/>
        <v>-65000000</v>
      </c>
      <c r="QCL69" s="61">
        <f t="shared" si="1720"/>
        <v>-65000000</v>
      </c>
      <c r="QCM69" s="61">
        <f t="shared" si="1720"/>
        <v>-65000000</v>
      </c>
      <c r="QCN69" s="61">
        <f t="shared" si="1720"/>
        <v>-65000000</v>
      </c>
      <c r="QCO69" s="61">
        <f t="shared" si="1720"/>
        <v>-65000000</v>
      </c>
      <c r="QCP69" s="61">
        <f t="shared" si="1720"/>
        <v>-65000000</v>
      </c>
      <c r="QCQ69" s="61">
        <f t="shared" si="1720"/>
        <v>-65000000</v>
      </c>
      <c r="QCR69" s="61">
        <f t="shared" si="1720"/>
        <v>-65000000</v>
      </c>
      <c r="QCS69" s="61">
        <f t="shared" si="1720"/>
        <v>-65000000</v>
      </c>
      <c r="QCT69" s="61">
        <f t="shared" si="1720"/>
        <v>-65000000</v>
      </c>
      <c r="QCU69" s="61">
        <f t="shared" si="1720"/>
        <v>-65000000</v>
      </c>
      <c r="QCV69" s="61">
        <f t="shared" si="1720"/>
        <v>-65000000</v>
      </c>
      <c r="QCW69" s="61">
        <f t="shared" si="1720"/>
        <v>-65000000</v>
      </c>
      <c r="QCX69" s="61">
        <f t="shared" si="1720"/>
        <v>-65000000</v>
      </c>
      <c r="QCY69" s="61">
        <f t="shared" si="1720"/>
        <v>-65000000</v>
      </c>
      <c r="QCZ69" s="61">
        <f t="shared" si="1720"/>
        <v>-65000000</v>
      </c>
      <c r="QDA69" s="61">
        <f t="shared" si="1720"/>
        <v>-65000000</v>
      </c>
      <c r="QDB69" s="61">
        <f t="shared" si="1720"/>
        <v>-65000000</v>
      </c>
      <c r="QDC69" s="61">
        <f t="shared" si="1720"/>
        <v>-65000000</v>
      </c>
      <c r="QDD69" s="61">
        <f t="shared" si="1720"/>
        <v>-65000000</v>
      </c>
      <c r="QDE69" s="61">
        <f t="shared" si="1720"/>
        <v>-65000000</v>
      </c>
      <c r="QDF69" s="61">
        <f t="shared" si="1720"/>
        <v>-65000000</v>
      </c>
      <c r="QDG69" s="61">
        <f t="shared" si="1720"/>
        <v>-65000000</v>
      </c>
      <c r="QDH69" s="61">
        <f t="shared" si="1720"/>
        <v>-65000000</v>
      </c>
      <c r="QDI69" s="61">
        <f t="shared" si="1720"/>
        <v>-65000000</v>
      </c>
      <c r="QDJ69" s="61">
        <f t="shared" si="1720"/>
        <v>-65000000</v>
      </c>
      <c r="QDK69" s="61">
        <f t="shared" si="1720"/>
        <v>-65000000</v>
      </c>
      <c r="QDL69" s="61">
        <f t="shared" si="1720"/>
        <v>-65000000</v>
      </c>
      <c r="QDM69" s="61">
        <f t="shared" si="1720"/>
        <v>-65000000</v>
      </c>
      <c r="QDN69" s="61">
        <f t="shared" si="1720"/>
        <v>-65000000</v>
      </c>
      <c r="QDO69" s="61">
        <f t="shared" si="1720"/>
        <v>-65000000</v>
      </c>
      <c r="QDP69" s="61">
        <f t="shared" si="1720"/>
        <v>-65000000</v>
      </c>
      <c r="QDQ69" s="61">
        <f t="shared" si="1720"/>
        <v>-65000000</v>
      </c>
      <c r="QDR69" s="61">
        <f t="shared" si="1720"/>
        <v>-65000000</v>
      </c>
      <c r="QDS69" s="61">
        <f t="shared" ref="QDS69:QGD69" si="1721">QDS68-$EC$11-QDS11</f>
        <v>-65000000</v>
      </c>
      <c r="QDT69" s="61">
        <f t="shared" si="1721"/>
        <v>-65000000</v>
      </c>
      <c r="QDU69" s="61">
        <f t="shared" si="1721"/>
        <v>-65000000</v>
      </c>
      <c r="QDV69" s="61">
        <f t="shared" si="1721"/>
        <v>-65000000</v>
      </c>
      <c r="QDW69" s="61">
        <f t="shared" si="1721"/>
        <v>-65000000</v>
      </c>
      <c r="QDX69" s="61">
        <f t="shared" si="1721"/>
        <v>-65000000</v>
      </c>
      <c r="QDY69" s="61">
        <f t="shared" si="1721"/>
        <v>-65000000</v>
      </c>
      <c r="QDZ69" s="61">
        <f t="shared" si="1721"/>
        <v>-65000000</v>
      </c>
      <c r="QEA69" s="61">
        <f t="shared" si="1721"/>
        <v>-65000000</v>
      </c>
      <c r="QEB69" s="61">
        <f t="shared" si="1721"/>
        <v>-65000000</v>
      </c>
      <c r="QEC69" s="61">
        <f t="shared" si="1721"/>
        <v>-65000000</v>
      </c>
      <c r="QED69" s="61">
        <f t="shared" si="1721"/>
        <v>-65000000</v>
      </c>
      <c r="QEE69" s="61">
        <f t="shared" si="1721"/>
        <v>-65000000</v>
      </c>
      <c r="QEF69" s="61">
        <f t="shared" si="1721"/>
        <v>-65000000</v>
      </c>
      <c r="QEG69" s="61">
        <f t="shared" si="1721"/>
        <v>-65000000</v>
      </c>
      <c r="QEH69" s="61">
        <f t="shared" si="1721"/>
        <v>-65000000</v>
      </c>
      <c r="QEI69" s="61">
        <f t="shared" si="1721"/>
        <v>-65000000</v>
      </c>
      <c r="QEJ69" s="61">
        <f t="shared" si="1721"/>
        <v>-65000000</v>
      </c>
      <c r="QEK69" s="61">
        <f t="shared" si="1721"/>
        <v>-65000000</v>
      </c>
      <c r="QEL69" s="61">
        <f t="shared" si="1721"/>
        <v>-65000000</v>
      </c>
      <c r="QEM69" s="61">
        <f t="shared" si="1721"/>
        <v>-65000000</v>
      </c>
      <c r="QEN69" s="61">
        <f t="shared" si="1721"/>
        <v>-65000000</v>
      </c>
      <c r="QEO69" s="61">
        <f t="shared" si="1721"/>
        <v>-65000000</v>
      </c>
      <c r="QEP69" s="61">
        <f t="shared" si="1721"/>
        <v>-65000000</v>
      </c>
      <c r="QEQ69" s="61">
        <f t="shared" si="1721"/>
        <v>-65000000</v>
      </c>
      <c r="QER69" s="61">
        <f t="shared" si="1721"/>
        <v>-65000000</v>
      </c>
      <c r="QES69" s="61">
        <f t="shared" si="1721"/>
        <v>-65000000</v>
      </c>
      <c r="QET69" s="61">
        <f t="shared" si="1721"/>
        <v>-65000000</v>
      </c>
      <c r="QEU69" s="61">
        <f t="shared" si="1721"/>
        <v>-65000000</v>
      </c>
      <c r="QEV69" s="61">
        <f t="shared" si="1721"/>
        <v>-65000000</v>
      </c>
      <c r="QEW69" s="61">
        <f t="shared" si="1721"/>
        <v>-65000000</v>
      </c>
      <c r="QEX69" s="61">
        <f t="shared" si="1721"/>
        <v>-65000000</v>
      </c>
      <c r="QEY69" s="61">
        <f t="shared" si="1721"/>
        <v>-65000000</v>
      </c>
      <c r="QEZ69" s="61">
        <f t="shared" si="1721"/>
        <v>-65000000</v>
      </c>
      <c r="QFA69" s="61">
        <f t="shared" si="1721"/>
        <v>-65000000</v>
      </c>
      <c r="QFB69" s="61">
        <f t="shared" si="1721"/>
        <v>-65000000</v>
      </c>
      <c r="QFC69" s="61">
        <f t="shared" si="1721"/>
        <v>-65000000</v>
      </c>
      <c r="QFD69" s="61">
        <f t="shared" si="1721"/>
        <v>-65000000</v>
      </c>
      <c r="QFE69" s="61">
        <f t="shared" si="1721"/>
        <v>-65000000</v>
      </c>
      <c r="QFF69" s="61">
        <f t="shared" si="1721"/>
        <v>-65000000</v>
      </c>
      <c r="QFG69" s="61">
        <f t="shared" si="1721"/>
        <v>-65000000</v>
      </c>
      <c r="QFH69" s="61">
        <f t="shared" si="1721"/>
        <v>-65000000</v>
      </c>
      <c r="QFI69" s="61">
        <f t="shared" si="1721"/>
        <v>-65000000</v>
      </c>
      <c r="QFJ69" s="61">
        <f t="shared" si="1721"/>
        <v>-65000000</v>
      </c>
      <c r="QFK69" s="61">
        <f t="shared" si="1721"/>
        <v>-65000000</v>
      </c>
      <c r="QFL69" s="61">
        <f t="shared" si="1721"/>
        <v>-65000000</v>
      </c>
      <c r="QFM69" s="61">
        <f t="shared" si="1721"/>
        <v>-65000000</v>
      </c>
      <c r="QFN69" s="61">
        <f t="shared" si="1721"/>
        <v>-65000000</v>
      </c>
      <c r="QFO69" s="61">
        <f t="shared" si="1721"/>
        <v>-65000000</v>
      </c>
      <c r="QFP69" s="61">
        <f t="shared" si="1721"/>
        <v>-65000000</v>
      </c>
      <c r="QFQ69" s="61">
        <f t="shared" si="1721"/>
        <v>-65000000</v>
      </c>
      <c r="QFR69" s="61">
        <f t="shared" si="1721"/>
        <v>-65000000</v>
      </c>
      <c r="QFS69" s="61">
        <f t="shared" si="1721"/>
        <v>-65000000</v>
      </c>
      <c r="QFT69" s="61">
        <f t="shared" si="1721"/>
        <v>-65000000</v>
      </c>
      <c r="QFU69" s="61">
        <f t="shared" si="1721"/>
        <v>-65000000</v>
      </c>
      <c r="QFV69" s="61">
        <f t="shared" si="1721"/>
        <v>-65000000</v>
      </c>
      <c r="QFW69" s="61">
        <f t="shared" si="1721"/>
        <v>-65000000</v>
      </c>
      <c r="QFX69" s="61">
        <f t="shared" si="1721"/>
        <v>-65000000</v>
      </c>
      <c r="QFY69" s="61">
        <f t="shared" si="1721"/>
        <v>-65000000</v>
      </c>
      <c r="QFZ69" s="61">
        <f t="shared" si="1721"/>
        <v>-65000000</v>
      </c>
      <c r="QGA69" s="61">
        <f t="shared" si="1721"/>
        <v>-65000000</v>
      </c>
      <c r="QGB69" s="61">
        <f t="shared" si="1721"/>
        <v>-65000000</v>
      </c>
      <c r="QGC69" s="61">
        <f t="shared" si="1721"/>
        <v>-65000000</v>
      </c>
      <c r="QGD69" s="61">
        <f t="shared" si="1721"/>
        <v>-65000000</v>
      </c>
      <c r="QGE69" s="61">
        <f t="shared" ref="QGE69:QIP69" si="1722">QGE68-$EC$11-QGE11</f>
        <v>-65000000</v>
      </c>
      <c r="QGF69" s="61">
        <f t="shared" si="1722"/>
        <v>-65000000</v>
      </c>
      <c r="QGG69" s="61">
        <f t="shared" si="1722"/>
        <v>-65000000</v>
      </c>
      <c r="QGH69" s="61">
        <f t="shared" si="1722"/>
        <v>-65000000</v>
      </c>
      <c r="QGI69" s="61">
        <f t="shared" si="1722"/>
        <v>-65000000</v>
      </c>
      <c r="QGJ69" s="61">
        <f t="shared" si="1722"/>
        <v>-65000000</v>
      </c>
      <c r="QGK69" s="61">
        <f t="shared" si="1722"/>
        <v>-65000000</v>
      </c>
      <c r="QGL69" s="61">
        <f t="shared" si="1722"/>
        <v>-65000000</v>
      </c>
      <c r="QGM69" s="61">
        <f t="shared" si="1722"/>
        <v>-65000000</v>
      </c>
      <c r="QGN69" s="61">
        <f t="shared" si="1722"/>
        <v>-65000000</v>
      </c>
      <c r="QGO69" s="61">
        <f t="shared" si="1722"/>
        <v>-65000000</v>
      </c>
      <c r="QGP69" s="61">
        <f t="shared" si="1722"/>
        <v>-65000000</v>
      </c>
      <c r="QGQ69" s="61">
        <f t="shared" si="1722"/>
        <v>-65000000</v>
      </c>
      <c r="QGR69" s="61">
        <f t="shared" si="1722"/>
        <v>-65000000</v>
      </c>
      <c r="QGS69" s="61">
        <f t="shared" si="1722"/>
        <v>-65000000</v>
      </c>
      <c r="QGT69" s="61">
        <f t="shared" si="1722"/>
        <v>-65000000</v>
      </c>
      <c r="QGU69" s="61">
        <f t="shared" si="1722"/>
        <v>-65000000</v>
      </c>
      <c r="QGV69" s="61">
        <f t="shared" si="1722"/>
        <v>-65000000</v>
      </c>
      <c r="QGW69" s="61">
        <f t="shared" si="1722"/>
        <v>-65000000</v>
      </c>
      <c r="QGX69" s="61">
        <f t="shared" si="1722"/>
        <v>-65000000</v>
      </c>
      <c r="QGY69" s="61">
        <f t="shared" si="1722"/>
        <v>-65000000</v>
      </c>
      <c r="QGZ69" s="61">
        <f t="shared" si="1722"/>
        <v>-65000000</v>
      </c>
      <c r="QHA69" s="61">
        <f t="shared" si="1722"/>
        <v>-65000000</v>
      </c>
      <c r="QHB69" s="61">
        <f t="shared" si="1722"/>
        <v>-65000000</v>
      </c>
      <c r="QHC69" s="61">
        <f t="shared" si="1722"/>
        <v>-65000000</v>
      </c>
      <c r="QHD69" s="61">
        <f t="shared" si="1722"/>
        <v>-65000000</v>
      </c>
      <c r="QHE69" s="61">
        <f t="shared" si="1722"/>
        <v>-65000000</v>
      </c>
      <c r="QHF69" s="61">
        <f t="shared" si="1722"/>
        <v>-65000000</v>
      </c>
      <c r="QHG69" s="61">
        <f t="shared" si="1722"/>
        <v>-65000000</v>
      </c>
      <c r="QHH69" s="61">
        <f t="shared" si="1722"/>
        <v>-65000000</v>
      </c>
      <c r="QHI69" s="61">
        <f t="shared" si="1722"/>
        <v>-65000000</v>
      </c>
      <c r="QHJ69" s="61">
        <f t="shared" si="1722"/>
        <v>-65000000</v>
      </c>
      <c r="QHK69" s="61">
        <f t="shared" si="1722"/>
        <v>-65000000</v>
      </c>
      <c r="QHL69" s="61">
        <f t="shared" si="1722"/>
        <v>-65000000</v>
      </c>
      <c r="QHM69" s="61">
        <f t="shared" si="1722"/>
        <v>-65000000</v>
      </c>
      <c r="QHN69" s="61">
        <f t="shared" si="1722"/>
        <v>-65000000</v>
      </c>
      <c r="QHO69" s="61">
        <f t="shared" si="1722"/>
        <v>-65000000</v>
      </c>
      <c r="QHP69" s="61">
        <f t="shared" si="1722"/>
        <v>-65000000</v>
      </c>
      <c r="QHQ69" s="61">
        <f t="shared" si="1722"/>
        <v>-65000000</v>
      </c>
      <c r="QHR69" s="61">
        <f t="shared" si="1722"/>
        <v>-65000000</v>
      </c>
      <c r="QHS69" s="61">
        <f t="shared" si="1722"/>
        <v>-65000000</v>
      </c>
      <c r="QHT69" s="61">
        <f t="shared" si="1722"/>
        <v>-65000000</v>
      </c>
      <c r="QHU69" s="61">
        <f t="shared" si="1722"/>
        <v>-65000000</v>
      </c>
      <c r="QHV69" s="61">
        <f t="shared" si="1722"/>
        <v>-65000000</v>
      </c>
      <c r="QHW69" s="61">
        <f t="shared" si="1722"/>
        <v>-65000000</v>
      </c>
      <c r="QHX69" s="61">
        <f t="shared" si="1722"/>
        <v>-65000000</v>
      </c>
      <c r="QHY69" s="61">
        <f t="shared" si="1722"/>
        <v>-65000000</v>
      </c>
      <c r="QHZ69" s="61">
        <f t="shared" si="1722"/>
        <v>-65000000</v>
      </c>
      <c r="QIA69" s="61">
        <f t="shared" si="1722"/>
        <v>-65000000</v>
      </c>
      <c r="QIB69" s="61">
        <f t="shared" si="1722"/>
        <v>-65000000</v>
      </c>
      <c r="QIC69" s="61">
        <f t="shared" si="1722"/>
        <v>-65000000</v>
      </c>
      <c r="QID69" s="61">
        <f t="shared" si="1722"/>
        <v>-65000000</v>
      </c>
      <c r="QIE69" s="61">
        <f t="shared" si="1722"/>
        <v>-65000000</v>
      </c>
      <c r="QIF69" s="61">
        <f t="shared" si="1722"/>
        <v>-65000000</v>
      </c>
      <c r="QIG69" s="61">
        <f t="shared" si="1722"/>
        <v>-65000000</v>
      </c>
      <c r="QIH69" s="61">
        <f t="shared" si="1722"/>
        <v>-65000000</v>
      </c>
      <c r="QII69" s="61">
        <f t="shared" si="1722"/>
        <v>-65000000</v>
      </c>
      <c r="QIJ69" s="61">
        <f t="shared" si="1722"/>
        <v>-65000000</v>
      </c>
      <c r="QIK69" s="61">
        <f t="shared" si="1722"/>
        <v>-65000000</v>
      </c>
      <c r="QIL69" s="61">
        <f t="shared" si="1722"/>
        <v>-65000000</v>
      </c>
      <c r="QIM69" s="61">
        <f t="shared" si="1722"/>
        <v>-65000000</v>
      </c>
      <c r="QIN69" s="61">
        <f t="shared" si="1722"/>
        <v>-65000000</v>
      </c>
      <c r="QIO69" s="61">
        <f t="shared" si="1722"/>
        <v>-65000000</v>
      </c>
      <c r="QIP69" s="61">
        <f t="shared" si="1722"/>
        <v>-65000000</v>
      </c>
      <c r="QIQ69" s="61">
        <f t="shared" ref="QIQ69:QLB69" si="1723">QIQ68-$EC$11-QIQ11</f>
        <v>-65000000</v>
      </c>
      <c r="QIR69" s="61">
        <f t="shared" si="1723"/>
        <v>-65000000</v>
      </c>
      <c r="QIS69" s="61">
        <f t="shared" si="1723"/>
        <v>-65000000</v>
      </c>
      <c r="QIT69" s="61">
        <f t="shared" si="1723"/>
        <v>-65000000</v>
      </c>
      <c r="QIU69" s="61">
        <f t="shared" si="1723"/>
        <v>-65000000</v>
      </c>
      <c r="QIV69" s="61">
        <f t="shared" si="1723"/>
        <v>-65000000</v>
      </c>
      <c r="QIW69" s="61">
        <f t="shared" si="1723"/>
        <v>-65000000</v>
      </c>
      <c r="QIX69" s="61">
        <f t="shared" si="1723"/>
        <v>-65000000</v>
      </c>
      <c r="QIY69" s="61">
        <f t="shared" si="1723"/>
        <v>-65000000</v>
      </c>
      <c r="QIZ69" s="61">
        <f t="shared" si="1723"/>
        <v>-65000000</v>
      </c>
      <c r="QJA69" s="61">
        <f t="shared" si="1723"/>
        <v>-65000000</v>
      </c>
      <c r="QJB69" s="61">
        <f t="shared" si="1723"/>
        <v>-65000000</v>
      </c>
      <c r="QJC69" s="61">
        <f t="shared" si="1723"/>
        <v>-65000000</v>
      </c>
      <c r="QJD69" s="61">
        <f t="shared" si="1723"/>
        <v>-65000000</v>
      </c>
      <c r="QJE69" s="61">
        <f t="shared" si="1723"/>
        <v>-65000000</v>
      </c>
      <c r="QJF69" s="61">
        <f t="shared" si="1723"/>
        <v>-65000000</v>
      </c>
      <c r="QJG69" s="61">
        <f t="shared" si="1723"/>
        <v>-65000000</v>
      </c>
      <c r="QJH69" s="61">
        <f t="shared" si="1723"/>
        <v>-65000000</v>
      </c>
      <c r="QJI69" s="61">
        <f t="shared" si="1723"/>
        <v>-65000000</v>
      </c>
      <c r="QJJ69" s="61">
        <f t="shared" si="1723"/>
        <v>-65000000</v>
      </c>
      <c r="QJK69" s="61">
        <f t="shared" si="1723"/>
        <v>-65000000</v>
      </c>
      <c r="QJL69" s="61">
        <f t="shared" si="1723"/>
        <v>-65000000</v>
      </c>
      <c r="QJM69" s="61">
        <f t="shared" si="1723"/>
        <v>-65000000</v>
      </c>
      <c r="QJN69" s="61">
        <f t="shared" si="1723"/>
        <v>-65000000</v>
      </c>
      <c r="QJO69" s="61">
        <f t="shared" si="1723"/>
        <v>-65000000</v>
      </c>
      <c r="QJP69" s="61">
        <f t="shared" si="1723"/>
        <v>-65000000</v>
      </c>
      <c r="QJQ69" s="61">
        <f t="shared" si="1723"/>
        <v>-65000000</v>
      </c>
      <c r="QJR69" s="61">
        <f t="shared" si="1723"/>
        <v>-65000000</v>
      </c>
      <c r="QJS69" s="61">
        <f t="shared" si="1723"/>
        <v>-65000000</v>
      </c>
      <c r="QJT69" s="61">
        <f t="shared" si="1723"/>
        <v>-65000000</v>
      </c>
      <c r="QJU69" s="61">
        <f t="shared" si="1723"/>
        <v>-65000000</v>
      </c>
      <c r="QJV69" s="61">
        <f t="shared" si="1723"/>
        <v>-65000000</v>
      </c>
      <c r="QJW69" s="61">
        <f t="shared" si="1723"/>
        <v>-65000000</v>
      </c>
      <c r="QJX69" s="61">
        <f t="shared" si="1723"/>
        <v>-65000000</v>
      </c>
      <c r="QJY69" s="61">
        <f t="shared" si="1723"/>
        <v>-65000000</v>
      </c>
      <c r="QJZ69" s="61">
        <f t="shared" si="1723"/>
        <v>-65000000</v>
      </c>
      <c r="QKA69" s="61">
        <f t="shared" si="1723"/>
        <v>-65000000</v>
      </c>
      <c r="QKB69" s="61">
        <f t="shared" si="1723"/>
        <v>-65000000</v>
      </c>
      <c r="QKC69" s="61">
        <f t="shared" si="1723"/>
        <v>-65000000</v>
      </c>
      <c r="QKD69" s="61">
        <f t="shared" si="1723"/>
        <v>-65000000</v>
      </c>
      <c r="QKE69" s="61">
        <f t="shared" si="1723"/>
        <v>-65000000</v>
      </c>
      <c r="QKF69" s="61">
        <f t="shared" si="1723"/>
        <v>-65000000</v>
      </c>
      <c r="QKG69" s="61">
        <f t="shared" si="1723"/>
        <v>-65000000</v>
      </c>
      <c r="QKH69" s="61">
        <f t="shared" si="1723"/>
        <v>-65000000</v>
      </c>
      <c r="QKI69" s="61">
        <f t="shared" si="1723"/>
        <v>-65000000</v>
      </c>
      <c r="QKJ69" s="61">
        <f t="shared" si="1723"/>
        <v>-65000000</v>
      </c>
      <c r="QKK69" s="61">
        <f t="shared" si="1723"/>
        <v>-65000000</v>
      </c>
      <c r="QKL69" s="61">
        <f t="shared" si="1723"/>
        <v>-65000000</v>
      </c>
      <c r="QKM69" s="61">
        <f t="shared" si="1723"/>
        <v>-65000000</v>
      </c>
      <c r="QKN69" s="61">
        <f t="shared" si="1723"/>
        <v>-65000000</v>
      </c>
      <c r="QKO69" s="61">
        <f t="shared" si="1723"/>
        <v>-65000000</v>
      </c>
      <c r="QKP69" s="61">
        <f t="shared" si="1723"/>
        <v>-65000000</v>
      </c>
      <c r="QKQ69" s="61">
        <f t="shared" si="1723"/>
        <v>-65000000</v>
      </c>
      <c r="QKR69" s="61">
        <f t="shared" si="1723"/>
        <v>-65000000</v>
      </c>
      <c r="QKS69" s="61">
        <f t="shared" si="1723"/>
        <v>-65000000</v>
      </c>
      <c r="QKT69" s="61">
        <f t="shared" si="1723"/>
        <v>-65000000</v>
      </c>
      <c r="QKU69" s="61">
        <f t="shared" si="1723"/>
        <v>-65000000</v>
      </c>
      <c r="QKV69" s="61">
        <f t="shared" si="1723"/>
        <v>-65000000</v>
      </c>
      <c r="QKW69" s="61">
        <f t="shared" si="1723"/>
        <v>-65000000</v>
      </c>
      <c r="QKX69" s="61">
        <f t="shared" si="1723"/>
        <v>-65000000</v>
      </c>
      <c r="QKY69" s="61">
        <f t="shared" si="1723"/>
        <v>-65000000</v>
      </c>
      <c r="QKZ69" s="61">
        <f t="shared" si="1723"/>
        <v>-65000000</v>
      </c>
      <c r="QLA69" s="61">
        <f t="shared" si="1723"/>
        <v>-65000000</v>
      </c>
      <c r="QLB69" s="61">
        <f t="shared" si="1723"/>
        <v>-65000000</v>
      </c>
      <c r="QLC69" s="61">
        <f t="shared" ref="QLC69:QNN69" si="1724">QLC68-$EC$11-QLC11</f>
        <v>-65000000</v>
      </c>
      <c r="QLD69" s="61">
        <f t="shared" si="1724"/>
        <v>-65000000</v>
      </c>
      <c r="QLE69" s="61">
        <f t="shared" si="1724"/>
        <v>-65000000</v>
      </c>
      <c r="QLF69" s="61">
        <f t="shared" si="1724"/>
        <v>-65000000</v>
      </c>
      <c r="QLG69" s="61">
        <f t="shared" si="1724"/>
        <v>-65000000</v>
      </c>
      <c r="QLH69" s="61">
        <f t="shared" si="1724"/>
        <v>-65000000</v>
      </c>
      <c r="QLI69" s="61">
        <f t="shared" si="1724"/>
        <v>-65000000</v>
      </c>
      <c r="QLJ69" s="61">
        <f t="shared" si="1724"/>
        <v>-65000000</v>
      </c>
      <c r="QLK69" s="61">
        <f t="shared" si="1724"/>
        <v>-65000000</v>
      </c>
      <c r="QLL69" s="61">
        <f t="shared" si="1724"/>
        <v>-65000000</v>
      </c>
      <c r="QLM69" s="61">
        <f t="shared" si="1724"/>
        <v>-65000000</v>
      </c>
      <c r="QLN69" s="61">
        <f t="shared" si="1724"/>
        <v>-65000000</v>
      </c>
      <c r="QLO69" s="61">
        <f t="shared" si="1724"/>
        <v>-65000000</v>
      </c>
      <c r="QLP69" s="61">
        <f t="shared" si="1724"/>
        <v>-65000000</v>
      </c>
      <c r="QLQ69" s="61">
        <f t="shared" si="1724"/>
        <v>-65000000</v>
      </c>
      <c r="QLR69" s="61">
        <f t="shared" si="1724"/>
        <v>-65000000</v>
      </c>
      <c r="QLS69" s="61">
        <f t="shared" si="1724"/>
        <v>-65000000</v>
      </c>
      <c r="QLT69" s="61">
        <f t="shared" si="1724"/>
        <v>-65000000</v>
      </c>
      <c r="QLU69" s="61">
        <f t="shared" si="1724"/>
        <v>-65000000</v>
      </c>
      <c r="QLV69" s="61">
        <f t="shared" si="1724"/>
        <v>-65000000</v>
      </c>
      <c r="QLW69" s="61">
        <f t="shared" si="1724"/>
        <v>-65000000</v>
      </c>
      <c r="QLX69" s="61">
        <f t="shared" si="1724"/>
        <v>-65000000</v>
      </c>
      <c r="QLY69" s="61">
        <f t="shared" si="1724"/>
        <v>-65000000</v>
      </c>
      <c r="QLZ69" s="61">
        <f t="shared" si="1724"/>
        <v>-65000000</v>
      </c>
      <c r="QMA69" s="61">
        <f t="shared" si="1724"/>
        <v>-65000000</v>
      </c>
      <c r="QMB69" s="61">
        <f t="shared" si="1724"/>
        <v>-65000000</v>
      </c>
      <c r="QMC69" s="61">
        <f t="shared" si="1724"/>
        <v>-65000000</v>
      </c>
      <c r="QMD69" s="61">
        <f t="shared" si="1724"/>
        <v>-65000000</v>
      </c>
      <c r="QME69" s="61">
        <f t="shared" si="1724"/>
        <v>-65000000</v>
      </c>
      <c r="QMF69" s="61">
        <f t="shared" si="1724"/>
        <v>-65000000</v>
      </c>
      <c r="QMG69" s="61">
        <f t="shared" si="1724"/>
        <v>-65000000</v>
      </c>
      <c r="QMH69" s="61">
        <f t="shared" si="1724"/>
        <v>-65000000</v>
      </c>
      <c r="QMI69" s="61">
        <f t="shared" si="1724"/>
        <v>-65000000</v>
      </c>
      <c r="QMJ69" s="61">
        <f t="shared" si="1724"/>
        <v>-65000000</v>
      </c>
      <c r="QMK69" s="61">
        <f t="shared" si="1724"/>
        <v>-65000000</v>
      </c>
      <c r="QML69" s="61">
        <f t="shared" si="1724"/>
        <v>-65000000</v>
      </c>
      <c r="QMM69" s="61">
        <f t="shared" si="1724"/>
        <v>-65000000</v>
      </c>
      <c r="QMN69" s="61">
        <f t="shared" si="1724"/>
        <v>-65000000</v>
      </c>
      <c r="QMO69" s="61">
        <f t="shared" si="1724"/>
        <v>-65000000</v>
      </c>
      <c r="QMP69" s="61">
        <f t="shared" si="1724"/>
        <v>-65000000</v>
      </c>
      <c r="QMQ69" s="61">
        <f t="shared" si="1724"/>
        <v>-65000000</v>
      </c>
      <c r="QMR69" s="61">
        <f t="shared" si="1724"/>
        <v>-65000000</v>
      </c>
      <c r="QMS69" s="61">
        <f t="shared" si="1724"/>
        <v>-65000000</v>
      </c>
      <c r="QMT69" s="61">
        <f t="shared" si="1724"/>
        <v>-65000000</v>
      </c>
      <c r="QMU69" s="61">
        <f t="shared" si="1724"/>
        <v>-65000000</v>
      </c>
      <c r="QMV69" s="61">
        <f t="shared" si="1724"/>
        <v>-65000000</v>
      </c>
      <c r="QMW69" s="61">
        <f t="shared" si="1724"/>
        <v>-65000000</v>
      </c>
      <c r="QMX69" s="61">
        <f t="shared" si="1724"/>
        <v>-65000000</v>
      </c>
      <c r="QMY69" s="61">
        <f t="shared" si="1724"/>
        <v>-65000000</v>
      </c>
      <c r="QMZ69" s="61">
        <f t="shared" si="1724"/>
        <v>-65000000</v>
      </c>
      <c r="QNA69" s="61">
        <f t="shared" si="1724"/>
        <v>-65000000</v>
      </c>
      <c r="QNB69" s="61">
        <f t="shared" si="1724"/>
        <v>-65000000</v>
      </c>
      <c r="QNC69" s="61">
        <f t="shared" si="1724"/>
        <v>-65000000</v>
      </c>
      <c r="QND69" s="61">
        <f t="shared" si="1724"/>
        <v>-65000000</v>
      </c>
      <c r="QNE69" s="61">
        <f t="shared" si="1724"/>
        <v>-65000000</v>
      </c>
      <c r="QNF69" s="61">
        <f t="shared" si="1724"/>
        <v>-65000000</v>
      </c>
      <c r="QNG69" s="61">
        <f t="shared" si="1724"/>
        <v>-65000000</v>
      </c>
      <c r="QNH69" s="61">
        <f t="shared" si="1724"/>
        <v>-65000000</v>
      </c>
      <c r="QNI69" s="61">
        <f t="shared" si="1724"/>
        <v>-65000000</v>
      </c>
      <c r="QNJ69" s="61">
        <f t="shared" si="1724"/>
        <v>-65000000</v>
      </c>
      <c r="QNK69" s="61">
        <f t="shared" si="1724"/>
        <v>-65000000</v>
      </c>
      <c r="QNL69" s="61">
        <f t="shared" si="1724"/>
        <v>-65000000</v>
      </c>
      <c r="QNM69" s="61">
        <f t="shared" si="1724"/>
        <v>-65000000</v>
      </c>
      <c r="QNN69" s="61">
        <f t="shared" si="1724"/>
        <v>-65000000</v>
      </c>
      <c r="QNO69" s="61">
        <f t="shared" ref="QNO69:QPZ69" si="1725">QNO68-$EC$11-QNO11</f>
        <v>-65000000</v>
      </c>
      <c r="QNP69" s="61">
        <f t="shared" si="1725"/>
        <v>-65000000</v>
      </c>
      <c r="QNQ69" s="61">
        <f t="shared" si="1725"/>
        <v>-65000000</v>
      </c>
      <c r="QNR69" s="61">
        <f t="shared" si="1725"/>
        <v>-65000000</v>
      </c>
      <c r="QNS69" s="61">
        <f t="shared" si="1725"/>
        <v>-65000000</v>
      </c>
      <c r="QNT69" s="61">
        <f t="shared" si="1725"/>
        <v>-65000000</v>
      </c>
      <c r="QNU69" s="61">
        <f t="shared" si="1725"/>
        <v>-65000000</v>
      </c>
      <c r="QNV69" s="61">
        <f t="shared" si="1725"/>
        <v>-65000000</v>
      </c>
      <c r="QNW69" s="61">
        <f t="shared" si="1725"/>
        <v>-65000000</v>
      </c>
      <c r="QNX69" s="61">
        <f t="shared" si="1725"/>
        <v>-65000000</v>
      </c>
      <c r="QNY69" s="61">
        <f t="shared" si="1725"/>
        <v>-65000000</v>
      </c>
      <c r="QNZ69" s="61">
        <f t="shared" si="1725"/>
        <v>-65000000</v>
      </c>
      <c r="QOA69" s="61">
        <f t="shared" si="1725"/>
        <v>-65000000</v>
      </c>
      <c r="QOB69" s="61">
        <f t="shared" si="1725"/>
        <v>-65000000</v>
      </c>
      <c r="QOC69" s="61">
        <f t="shared" si="1725"/>
        <v>-65000000</v>
      </c>
      <c r="QOD69" s="61">
        <f t="shared" si="1725"/>
        <v>-65000000</v>
      </c>
      <c r="QOE69" s="61">
        <f t="shared" si="1725"/>
        <v>-65000000</v>
      </c>
      <c r="QOF69" s="61">
        <f t="shared" si="1725"/>
        <v>-65000000</v>
      </c>
      <c r="QOG69" s="61">
        <f t="shared" si="1725"/>
        <v>-65000000</v>
      </c>
      <c r="QOH69" s="61">
        <f t="shared" si="1725"/>
        <v>-65000000</v>
      </c>
      <c r="QOI69" s="61">
        <f t="shared" si="1725"/>
        <v>-65000000</v>
      </c>
      <c r="QOJ69" s="61">
        <f t="shared" si="1725"/>
        <v>-65000000</v>
      </c>
      <c r="QOK69" s="61">
        <f t="shared" si="1725"/>
        <v>-65000000</v>
      </c>
      <c r="QOL69" s="61">
        <f t="shared" si="1725"/>
        <v>-65000000</v>
      </c>
      <c r="QOM69" s="61">
        <f t="shared" si="1725"/>
        <v>-65000000</v>
      </c>
      <c r="QON69" s="61">
        <f t="shared" si="1725"/>
        <v>-65000000</v>
      </c>
      <c r="QOO69" s="61">
        <f t="shared" si="1725"/>
        <v>-65000000</v>
      </c>
      <c r="QOP69" s="61">
        <f t="shared" si="1725"/>
        <v>-65000000</v>
      </c>
      <c r="QOQ69" s="61">
        <f t="shared" si="1725"/>
        <v>-65000000</v>
      </c>
      <c r="QOR69" s="61">
        <f t="shared" si="1725"/>
        <v>-65000000</v>
      </c>
      <c r="QOS69" s="61">
        <f t="shared" si="1725"/>
        <v>-65000000</v>
      </c>
      <c r="QOT69" s="61">
        <f t="shared" si="1725"/>
        <v>-65000000</v>
      </c>
      <c r="QOU69" s="61">
        <f t="shared" si="1725"/>
        <v>-65000000</v>
      </c>
      <c r="QOV69" s="61">
        <f t="shared" si="1725"/>
        <v>-65000000</v>
      </c>
      <c r="QOW69" s="61">
        <f t="shared" si="1725"/>
        <v>-65000000</v>
      </c>
      <c r="QOX69" s="61">
        <f t="shared" si="1725"/>
        <v>-65000000</v>
      </c>
      <c r="QOY69" s="61">
        <f t="shared" si="1725"/>
        <v>-65000000</v>
      </c>
      <c r="QOZ69" s="61">
        <f t="shared" si="1725"/>
        <v>-65000000</v>
      </c>
      <c r="QPA69" s="61">
        <f t="shared" si="1725"/>
        <v>-65000000</v>
      </c>
      <c r="QPB69" s="61">
        <f t="shared" si="1725"/>
        <v>-65000000</v>
      </c>
      <c r="QPC69" s="61">
        <f t="shared" si="1725"/>
        <v>-65000000</v>
      </c>
      <c r="QPD69" s="61">
        <f t="shared" si="1725"/>
        <v>-65000000</v>
      </c>
      <c r="QPE69" s="61">
        <f t="shared" si="1725"/>
        <v>-65000000</v>
      </c>
      <c r="QPF69" s="61">
        <f t="shared" si="1725"/>
        <v>-65000000</v>
      </c>
      <c r="QPG69" s="61">
        <f t="shared" si="1725"/>
        <v>-65000000</v>
      </c>
      <c r="QPH69" s="61">
        <f t="shared" si="1725"/>
        <v>-65000000</v>
      </c>
      <c r="QPI69" s="61">
        <f t="shared" si="1725"/>
        <v>-65000000</v>
      </c>
      <c r="QPJ69" s="61">
        <f t="shared" si="1725"/>
        <v>-65000000</v>
      </c>
      <c r="QPK69" s="61">
        <f t="shared" si="1725"/>
        <v>-65000000</v>
      </c>
      <c r="QPL69" s="61">
        <f t="shared" si="1725"/>
        <v>-65000000</v>
      </c>
      <c r="QPM69" s="61">
        <f t="shared" si="1725"/>
        <v>-65000000</v>
      </c>
      <c r="QPN69" s="61">
        <f t="shared" si="1725"/>
        <v>-65000000</v>
      </c>
      <c r="QPO69" s="61">
        <f t="shared" si="1725"/>
        <v>-65000000</v>
      </c>
      <c r="QPP69" s="61">
        <f t="shared" si="1725"/>
        <v>-65000000</v>
      </c>
      <c r="QPQ69" s="61">
        <f t="shared" si="1725"/>
        <v>-65000000</v>
      </c>
      <c r="QPR69" s="61">
        <f t="shared" si="1725"/>
        <v>-65000000</v>
      </c>
      <c r="QPS69" s="61">
        <f t="shared" si="1725"/>
        <v>-65000000</v>
      </c>
      <c r="QPT69" s="61">
        <f t="shared" si="1725"/>
        <v>-65000000</v>
      </c>
      <c r="QPU69" s="61">
        <f t="shared" si="1725"/>
        <v>-65000000</v>
      </c>
      <c r="QPV69" s="61">
        <f t="shared" si="1725"/>
        <v>-65000000</v>
      </c>
      <c r="QPW69" s="61">
        <f t="shared" si="1725"/>
        <v>-65000000</v>
      </c>
      <c r="QPX69" s="61">
        <f t="shared" si="1725"/>
        <v>-65000000</v>
      </c>
      <c r="QPY69" s="61">
        <f t="shared" si="1725"/>
        <v>-65000000</v>
      </c>
      <c r="QPZ69" s="61">
        <f t="shared" si="1725"/>
        <v>-65000000</v>
      </c>
      <c r="QQA69" s="61">
        <f t="shared" ref="QQA69:QSL69" si="1726">QQA68-$EC$11-QQA11</f>
        <v>-65000000</v>
      </c>
      <c r="QQB69" s="61">
        <f t="shared" si="1726"/>
        <v>-65000000</v>
      </c>
      <c r="QQC69" s="61">
        <f t="shared" si="1726"/>
        <v>-65000000</v>
      </c>
      <c r="QQD69" s="61">
        <f t="shared" si="1726"/>
        <v>-65000000</v>
      </c>
      <c r="QQE69" s="61">
        <f t="shared" si="1726"/>
        <v>-65000000</v>
      </c>
      <c r="QQF69" s="61">
        <f t="shared" si="1726"/>
        <v>-65000000</v>
      </c>
      <c r="QQG69" s="61">
        <f t="shared" si="1726"/>
        <v>-65000000</v>
      </c>
      <c r="QQH69" s="61">
        <f t="shared" si="1726"/>
        <v>-65000000</v>
      </c>
      <c r="QQI69" s="61">
        <f t="shared" si="1726"/>
        <v>-65000000</v>
      </c>
      <c r="QQJ69" s="61">
        <f t="shared" si="1726"/>
        <v>-65000000</v>
      </c>
      <c r="QQK69" s="61">
        <f t="shared" si="1726"/>
        <v>-65000000</v>
      </c>
      <c r="QQL69" s="61">
        <f t="shared" si="1726"/>
        <v>-65000000</v>
      </c>
      <c r="QQM69" s="61">
        <f t="shared" si="1726"/>
        <v>-65000000</v>
      </c>
      <c r="QQN69" s="61">
        <f t="shared" si="1726"/>
        <v>-65000000</v>
      </c>
      <c r="QQO69" s="61">
        <f t="shared" si="1726"/>
        <v>-65000000</v>
      </c>
      <c r="QQP69" s="61">
        <f t="shared" si="1726"/>
        <v>-65000000</v>
      </c>
      <c r="QQQ69" s="61">
        <f t="shared" si="1726"/>
        <v>-65000000</v>
      </c>
      <c r="QQR69" s="61">
        <f t="shared" si="1726"/>
        <v>-65000000</v>
      </c>
      <c r="QQS69" s="61">
        <f t="shared" si="1726"/>
        <v>-65000000</v>
      </c>
      <c r="QQT69" s="61">
        <f t="shared" si="1726"/>
        <v>-65000000</v>
      </c>
      <c r="QQU69" s="61">
        <f t="shared" si="1726"/>
        <v>-65000000</v>
      </c>
      <c r="QQV69" s="61">
        <f t="shared" si="1726"/>
        <v>-65000000</v>
      </c>
      <c r="QQW69" s="61">
        <f t="shared" si="1726"/>
        <v>-65000000</v>
      </c>
      <c r="QQX69" s="61">
        <f t="shared" si="1726"/>
        <v>-65000000</v>
      </c>
      <c r="QQY69" s="61">
        <f t="shared" si="1726"/>
        <v>-65000000</v>
      </c>
      <c r="QQZ69" s="61">
        <f t="shared" si="1726"/>
        <v>-65000000</v>
      </c>
      <c r="QRA69" s="61">
        <f t="shared" si="1726"/>
        <v>-65000000</v>
      </c>
      <c r="QRB69" s="61">
        <f t="shared" si="1726"/>
        <v>-65000000</v>
      </c>
      <c r="QRC69" s="61">
        <f t="shared" si="1726"/>
        <v>-65000000</v>
      </c>
      <c r="QRD69" s="61">
        <f t="shared" si="1726"/>
        <v>-65000000</v>
      </c>
      <c r="QRE69" s="61">
        <f t="shared" si="1726"/>
        <v>-65000000</v>
      </c>
      <c r="QRF69" s="61">
        <f t="shared" si="1726"/>
        <v>-65000000</v>
      </c>
      <c r="QRG69" s="61">
        <f t="shared" si="1726"/>
        <v>-65000000</v>
      </c>
      <c r="QRH69" s="61">
        <f t="shared" si="1726"/>
        <v>-65000000</v>
      </c>
      <c r="QRI69" s="61">
        <f t="shared" si="1726"/>
        <v>-65000000</v>
      </c>
      <c r="QRJ69" s="61">
        <f t="shared" si="1726"/>
        <v>-65000000</v>
      </c>
      <c r="QRK69" s="61">
        <f t="shared" si="1726"/>
        <v>-65000000</v>
      </c>
      <c r="QRL69" s="61">
        <f t="shared" si="1726"/>
        <v>-65000000</v>
      </c>
      <c r="QRM69" s="61">
        <f t="shared" si="1726"/>
        <v>-65000000</v>
      </c>
      <c r="QRN69" s="61">
        <f t="shared" si="1726"/>
        <v>-65000000</v>
      </c>
      <c r="QRO69" s="61">
        <f t="shared" si="1726"/>
        <v>-65000000</v>
      </c>
      <c r="QRP69" s="61">
        <f t="shared" si="1726"/>
        <v>-65000000</v>
      </c>
      <c r="QRQ69" s="61">
        <f t="shared" si="1726"/>
        <v>-65000000</v>
      </c>
      <c r="QRR69" s="61">
        <f t="shared" si="1726"/>
        <v>-65000000</v>
      </c>
      <c r="QRS69" s="61">
        <f t="shared" si="1726"/>
        <v>-65000000</v>
      </c>
      <c r="QRT69" s="61">
        <f t="shared" si="1726"/>
        <v>-65000000</v>
      </c>
      <c r="QRU69" s="61">
        <f t="shared" si="1726"/>
        <v>-65000000</v>
      </c>
      <c r="QRV69" s="61">
        <f t="shared" si="1726"/>
        <v>-65000000</v>
      </c>
      <c r="QRW69" s="61">
        <f t="shared" si="1726"/>
        <v>-65000000</v>
      </c>
      <c r="QRX69" s="61">
        <f t="shared" si="1726"/>
        <v>-65000000</v>
      </c>
      <c r="QRY69" s="61">
        <f t="shared" si="1726"/>
        <v>-65000000</v>
      </c>
      <c r="QRZ69" s="61">
        <f t="shared" si="1726"/>
        <v>-65000000</v>
      </c>
      <c r="QSA69" s="61">
        <f t="shared" si="1726"/>
        <v>-65000000</v>
      </c>
      <c r="QSB69" s="61">
        <f t="shared" si="1726"/>
        <v>-65000000</v>
      </c>
      <c r="QSC69" s="61">
        <f t="shared" si="1726"/>
        <v>-65000000</v>
      </c>
      <c r="QSD69" s="61">
        <f t="shared" si="1726"/>
        <v>-65000000</v>
      </c>
      <c r="QSE69" s="61">
        <f t="shared" si="1726"/>
        <v>-65000000</v>
      </c>
      <c r="QSF69" s="61">
        <f t="shared" si="1726"/>
        <v>-65000000</v>
      </c>
      <c r="QSG69" s="61">
        <f t="shared" si="1726"/>
        <v>-65000000</v>
      </c>
      <c r="QSH69" s="61">
        <f t="shared" si="1726"/>
        <v>-65000000</v>
      </c>
      <c r="QSI69" s="61">
        <f t="shared" si="1726"/>
        <v>-65000000</v>
      </c>
      <c r="QSJ69" s="61">
        <f t="shared" si="1726"/>
        <v>-65000000</v>
      </c>
      <c r="QSK69" s="61">
        <f t="shared" si="1726"/>
        <v>-65000000</v>
      </c>
      <c r="QSL69" s="61">
        <f t="shared" si="1726"/>
        <v>-65000000</v>
      </c>
      <c r="QSM69" s="61">
        <f t="shared" ref="QSM69:QUX69" si="1727">QSM68-$EC$11-QSM11</f>
        <v>-65000000</v>
      </c>
      <c r="QSN69" s="61">
        <f t="shared" si="1727"/>
        <v>-65000000</v>
      </c>
      <c r="QSO69" s="61">
        <f t="shared" si="1727"/>
        <v>-65000000</v>
      </c>
      <c r="QSP69" s="61">
        <f t="shared" si="1727"/>
        <v>-65000000</v>
      </c>
      <c r="QSQ69" s="61">
        <f t="shared" si="1727"/>
        <v>-65000000</v>
      </c>
      <c r="QSR69" s="61">
        <f t="shared" si="1727"/>
        <v>-65000000</v>
      </c>
      <c r="QSS69" s="61">
        <f t="shared" si="1727"/>
        <v>-65000000</v>
      </c>
      <c r="QST69" s="61">
        <f t="shared" si="1727"/>
        <v>-65000000</v>
      </c>
      <c r="QSU69" s="61">
        <f t="shared" si="1727"/>
        <v>-65000000</v>
      </c>
      <c r="QSV69" s="61">
        <f t="shared" si="1727"/>
        <v>-65000000</v>
      </c>
      <c r="QSW69" s="61">
        <f t="shared" si="1727"/>
        <v>-65000000</v>
      </c>
      <c r="QSX69" s="61">
        <f t="shared" si="1727"/>
        <v>-65000000</v>
      </c>
      <c r="QSY69" s="61">
        <f t="shared" si="1727"/>
        <v>-65000000</v>
      </c>
      <c r="QSZ69" s="61">
        <f t="shared" si="1727"/>
        <v>-65000000</v>
      </c>
      <c r="QTA69" s="61">
        <f t="shared" si="1727"/>
        <v>-65000000</v>
      </c>
      <c r="QTB69" s="61">
        <f t="shared" si="1727"/>
        <v>-65000000</v>
      </c>
      <c r="QTC69" s="61">
        <f t="shared" si="1727"/>
        <v>-65000000</v>
      </c>
      <c r="QTD69" s="61">
        <f t="shared" si="1727"/>
        <v>-65000000</v>
      </c>
      <c r="QTE69" s="61">
        <f t="shared" si="1727"/>
        <v>-65000000</v>
      </c>
      <c r="QTF69" s="61">
        <f t="shared" si="1727"/>
        <v>-65000000</v>
      </c>
      <c r="QTG69" s="61">
        <f t="shared" si="1727"/>
        <v>-65000000</v>
      </c>
      <c r="QTH69" s="61">
        <f t="shared" si="1727"/>
        <v>-65000000</v>
      </c>
      <c r="QTI69" s="61">
        <f t="shared" si="1727"/>
        <v>-65000000</v>
      </c>
      <c r="QTJ69" s="61">
        <f t="shared" si="1727"/>
        <v>-65000000</v>
      </c>
      <c r="QTK69" s="61">
        <f t="shared" si="1727"/>
        <v>-65000000</v>
      </c>
      <c r="QTL69" s="61">
        <f t="shared" si="1727"/>
        <v>-65000000</v>
      </c>
      <c r="QTM69" s="61">
        <f t="shared" si="1727"/>
        <v>-65000000</v>
      </c>
      <c r="QTN69" s="61">
        <f t="shared" si="1727"/>
        <v>-65000000</v>
      </c>
      <c r="QTO69" s="61">
        <f t="shared" si="1727"/>
        <v>-65000000</v>
      </c>
      <c r="QTP69" s="61">
        <f t="shared" si="1727"/>
        <v>-65000000</v>
      </c>
      <c r="QTQ69" s="61">
        <f t="shared" si="1727"/>
        <v>-65000000</v>
      </c>
      <c r="QTR69" s="61">
        <f t="shared" si="1727"/>
        <v>-65000000</v>
      </c>
      <c r="QTS69" s="61">
        <f t="shared" si="1727"/>
        <v>-65000000</v>
      </c>
      <c r="QTT69" s="61">
        <f t="shared" si="1727"/>
        <v>-65000000</v>
      </c>
      <c r="QTU69" s="61">
        <f t="shared" si="1727"/>
        <v>-65000000</v>
      </c>
      <c r="QTV69" s="61">
        <f t="shared" si="1727"/>
        <v>-65000000</v>
      </c>
      <c r="QTW69" s="61">
        <f t="shared" si="1727"/>
        <v>-65000000</v>
      </c>
      <c r="QTX69" s="61">
        <f t="shared" si="1727"/>
        <v>-65000000</v>
      </c>
      <c r="QTY69" s="61">
        <f t="shared" si="1727"/>
        <v>-65000000</v>
      </c>
      <c r="QTZ69" s="61">
        <f t="shared" si="1727"/>
        <v>-65000000</v>
      </c>
      <c r="QUA69" s="61">
        <f t="shared" si="1727"/>
        <v>-65000000</v>
      </c>
      <c r="QUB69" s="61">
        <f t="shared" si="1727"/>
        <v>-65000000</v>
      </c>
      <c r="QUC69" s="61">
        <f t="shared" si="1727"/>
        <v>-65000000</v>
      </c>
      <c r="QUD69" s="61">
        <f t="shared" si="1727"/>
        <v>-65000000</v>
      </c>
      <c r="QUE69" s="61">
        <f t="shared" si="1727"/>
        <v>-65000000</v>
      </c>
      <c r="QUF69" s="61">
        <f t="shared" si="1727"/>
        <v>-65000000</v>
      </c>
      <c r="QUG69" s="61">
        <f t="shared" si="1727"/>
        <v>-65000000</v>
      </c>
      <c r="QUH69" s="61">
        <f t="shared" si="1727"/>
        <v>-65000000</v>
      </c>
      <c r="QUI69" s="61">
        <f t="shared" si="1727"/>
        <v>-65000000</v>
      </c>
      <c r="QUJ69" s="61">
        <f t="shared" si="1727"/>
        <v>-65000000</v>
      </c>
      <c r="QUK69" s="61">
        <f t="shared" si="1727"/>
        <v>-65000000</v>
      </c>
      <c r="QUL69" s="61">
        <f t="shared" si="1727"/>
        <v>-65000000</v>
      </c>
      <c r="QUM69" s="61">
        <f t="shared" si="1727"/>
        <v>-65000000</v>
      </c>
      <c r="QUN69" s="61">
        <f t="shared" si="1727"/>
        <v>-65000000</v>
      </c>
      <c r="QUO69" s="61">
        <f t="shared" si="1727"/>
        <v>-65000000</v>
      </c>
      <c r="QUP69" s="61">
        <f t="shared" si="1727"/>
        <v>-65000000</v>
      </c>
      <c r="QUQ69" s="61">
        <f t="shared" si="1727"/>
        <v>-65000000</v>
      </c>
      <c r="QUR69" s="61">
        <f t="shared" si="1727"/>
        <v>-65000000</v>
      </c>
      <c r="QUS69" s="61">
        <f t="shared" si="1727"/>
        <v>-65000000</v>
      </c>
      <c r="QUT69" s="61">
        <f t="shared" si="1727"/>
        <v>-65000000</v>
      </c>
      <c r="QUU69" s="61">
        <f t="shared" si="1727"/>
        <v>-65000000</v>
      </c>
      <c r="QUV69" s="61">
        <f t="shared" si="1727"/>
        <v>-65000000</v>
      </c>
      <c r="QUW69" s="61">
        <f t="shared" si="1727"/>
        <v>-65000000</v>
      </c>
      <c r="QUX69" s="61">
        <f t="shared" si="1727"/>
        <v>-65000000</v>
      </c>
      <c r="QUY69" s="61">
        <f t="shared" ref="QUY69:QXJ69" si="1728">QUY68-$EC$11-QUY11</f>
        <v>-65000000</v>
      </c>
      <c r="QUZ69" s="61">
        <f t="shared" si="1728"/>
        <v>-65000000</v>
      </c>
      <c r="QVA69" s="61">
        <f t="shared" si="1728"/>
        <v>-65000000</v>
      </c>
      <c r="QVB69" s="61">
        <f t="shared" si="1728"/>
        <v>-65000000</v>
      </c>
      <c r="QVC69" s="61">
        <f t="shared" si="1728"/>
        <v>-65000000</v>
      </c>
      <c r="QVD69" s="61">
        <f t="shared" si="1728"/>
        <v>-65000000</v>
      </c>
      <c r="QVE69" s="61">
        <f t="shared" si="1728"/>
        <v>-65000000</v>
      </c>
      <c r="QVF69" s="61">
        <f t="shared" si="1728"/>
        <v>-65000000</v>
      </c>
      <c r="QVG69" s="61">
        <f t="shared" si="1728"/>
        <v>-65000000</v>
      </c>
      <c r="QVH69" s="61">
        <f t="shared" si="1728"/>
        <v>-65000000</v>
      </c>
      <c r="QVI69" s="61">
        <f t="shared" si="1728"/>
        <v>-65000000</v>
      </c>
      <c r="QVJ69" s="61">
        <f t="shared" si="1728"/>
        <v>-65000000</v>
      </c>
      <c r="QVK69" s="61">
        <f t="shared" si="1728"/>
        <v>-65000000</v>
      </c>
      <c r="QVL69" s="61">
        <f t="shared" si="1728"/>
        <v>-65000000</v>
      </c>
      <c r="QVM69" s="61">
        <f t="shared" si="1728"/>
        <v>-65000000</v>
      </c>
      <c r="QVN69" s="61">
        <f t="shared" si="1728"/>
        <v>-65000000</v>
      </c>
      <c r="QVO69" s="61">
        <f t="shared" si="1728"/>
        <v>-65000000</v>
      </c>
      <c r="QVP69" s="61">
        <f t="shared" si="1728"/>
        <v>-65000000</v>
      </c>
      <c r="QVQ69" s="61">
        <f t="shared" si="1728"/>
        <v>-65000000</v>
      </c>
      <c r="QVR69" s="61">
        <f t="shared" si="1728"/>
        <v>-65000000</v>
      </c>
      <c r="QVS69" s="61">
        <f t="shared" si="1728"/>
        <v>-65000000</v>
      </c>
      <c r="QVT69" s="61">
        <f t="shared" si="1728"/>
        <v>-65000000</v>
      </c>
      <c r="QVU69" s="61">
        <f t="shared" si="1728"/>
        <v>-65000000</v>
      </c>
      <c r="QVV69" s="61">
        <f t="shared" si="1728"/>
        <v>-65000000</v>
      </c>
      <c r="QVW69" s="61">
        <f t="shared" si="1728"/>
        <v>-65000000</v>
      </c>
      <c r="QVX69" s="61">
        <f t="shared" si="1728"/>
        <v>-65000000</v>
      </c>
      <c r="QVY69" s="61">
        <f t="shared" si="1728"/>
        <v>-65000000</v>
      </c>
      <c r="QVZ69" s="61">
        <f t="shared" si="1728"/>
        <v>-65000000</v>
      </c>
      <c r="QWA69" s="61">
        <f t="shared" si="1728"/>
        <v>-65000000</v>
      </c>
      <c r="QWB69" s="61">
        <f t="shared" si="1728"/>
        <v>-65000000</v>
      </c>
      <c r="QWC69" s="61">
        <f t="shared" si="1728"/>
        <v>-65000000</v>
      </c>
      <c r="QWD69" s="61">
        <f t="shared" si="1728"/>
        <v>-65000000</v>
      </c>
      <c r="QWE69" s="61">
        <f t="shared" si="1728"/>
        <v>-65000000</v>
      </c>
      <c r="QWF69" s="61">
        <f t="shared" si="1728"/>
        <v>-65000000</v>
      </c>
      <c r="QWG69" s="61">
        <f t="shared" si="1728"/>
        <v>-65000000</v>
      </c>
      <c r="QWH69" s="61">
        <f t="shared" si="1728"/>
        <v>-65000000</v>
      </c>
      <c r="QWI69" s="61">
        <f t="shared" si="1728"/>
        <v>-65000000</v>
      </c>
      <c r="QWJ69" s="61">
        <f t="shared" si="1728"/>
        <v>-65000000</v>
      </c>
      <c r="QWK69" s="61">
        <f t="shared" si="1728"/>
        <v>-65000000</v>
      </c>
      <c r="QWL69" s="61">
        <f t="shared" si="1728"/>
        <v>-65000000</v>
      </c>
      <c r="QWM69" s="61">
        <f t="shared" si="1728"/>
        <v>-65000000</v>
      </c>
      <c r="QWN69" s="61">
        <f t="shared" si="1728"/>
        <v>-65000000</v>
      </c>
      <c r="QWO69" s="61">
        <f t="shared" si="1728"/>
        <v>-65000000</v>
      </c>
      <c r="QWP69" s="61">
        <f t="shared" si="1728"/>
        <v>-65000000</v>
      </c>
      <c r="QWQ69" s="61">
        <f t="shared" si="1728"/>
        <v>-65000000</v>
      </c>
      <c r="QWR69" s="61">
        <f t="shared" si="1728"/>
        <v>-65000000</v>
      </c>
      <c r="QWS69" s="61">
        <f t="shared" si="1728"/>
        <v>-65000000</v>
      </c>
      <c r="QWT69" s="61">
        <f t="shared" si="1728"/>
        <v>-65000000</v>
      </c>
      <c r="QWU69" s="61">
        <f t="shared" si="1728"/>
        <v>-65000000</v>
      </c>
      <c r="QWV69" s="61">
        <f t="shared" si="1728"/>
        <v>-65000000</v>
      </c>
      <c r="QWW69" s="61">
        <f t="shared" si="1728"/>
        <v>-65000000</v>
      </c>
      <c r="QWX69" s="61">
        <f t="shared" si="1728"/>
        <v>-65000000</v>
      </c>
      <c r="QWY69" s="61">
        <f t="shared" si="1728"/>
        <v>-65000000</v>
      </c>
      <c r="QWZ69" s="61">
        <f t="shared" si="1728"/>
        <v>-65000000</v>
      </c>
      <c r="QXA69" s="61">
        <f t="shared" si="1728"/>
        <v>-65000000</v>
      </c>
      <c r="QXB69" s="61">
        <f t="shared" si="1728"/>
        <v>-65000000</v>
      </c>
      <c r="QXC69" s="61">
        <f t="shared" si="1728"/>
        <v>-65000000</v>
      </c>
      <c r="QXD69" s="61">
        <f t="shared" si="1728"/>
        <v>-65000000</v>
      </c>
      <c r="QXE69" s="61">
        <f t="shared" si="1728"/>
        <v>-65000000</v>
      </c>
      <c r="QXF69" s="61">
        <f t="shared" si="1728"/>
        <v>-65000000</v>
      </c>
      <c r="QXG69" s="61">
        <f t="shared" si="1728"/>
        <v>-65000000</v>
      </c>
      <c r="QXH69" s="61">
        <f t="shared" si="1728"/>
        <v>-65000000</v>
      </c>
      <c r="QXI69" s="61">
        <f t="shared" si="1728"/>
        <v>-65000000</v>
      </c>
      <c r="QXJ69" s="61">
        <f t="shared" si="1728"/>
        <v>-65000000</v>
      </c>
      <c r="QXK69" s="61">
        <f t="shared" ref="QXK69:QZV69" si="1729">QXK68-$EC$11-QXK11</f>
        <v>-65000000</v>
      </c>
      <c r="QXL69" s="61">
        <f t="shared" si="1729"/>
        <v>-65000000</v>
      </c>
      <c r="QXM69" s="61">
        <f t="shared" si="1729"/>
        <v>-65000000</v>
      </c>
      <c r="QXN69" s="61">
        <f t="shared" si="1729"/>
        <v>-65000000</v>
      </c>
      <c r="QXO69" s="61">
        <f t="shared" si="1729"/>
        <v>-65000000</v>
      </c>
      <c r="QXP69" s="61">
        <f t="shared" si="1729"/>
        <v>-65000000</v>
      </c>
      <c r="QXQ69" s="61">
        <f t="shared" si="1729"/>
        <v>-65000000</v>
      </c>
      <c r="QXR69" s="61">
        <f t="shared" si="1729"/>
        <v>-65000000</v>
      </c>
      <c r="QXS69" s="61">
        <f t="shared" si="1729"/>
        <v>-65000000</v>
      </c>
      <c r="QXT69" s="61">
        <f t="shared" si="1729"/>
        <v>-65000000</v>
      </c>
      <c r="QXU69" s="61">
        <f t="shared" si="1729"/>
        <v>-65000000</v>
      </c>
      <c r="QXV69" s="61">
        <f t="shared" si="1729"/>
        <v>-65000000</v>
      </c>
      <c r="QXW69" s="61">
        <f t="shared" si="1729"/>
        <v>-65000000</v>
      </c>
      <c r="QXX69" s="61">
        <f t="shared" si="1729"/>
        <v>-65000000</v>
      </c>
      <c r="QXY69" s="61">
        <f t="shared" si="1729"/>
        <v>-65000000</v>
      </c>
      <c r="QXZ69" s="61">
        <f t="shared" si="1729"/>
        <v>-65000000</v>
      </c>
      <c r="QYA69" s="61">
        <f t="shared" si="1729"/>
        <v>-65000000</v>
      </c>
      <c r="QYB69" s="61">
        <f t="shared" si="1729"/>
        <v>-65000000</v>
      </c>
      <c r="QYC69" s="61">
        <f t="shared" si="1729"/>
        <v>-65000000</v>
      </c>
      <c r="QYD69" s="61">
        <f t="shared" si="1729"/>
        <v>-65000000</v>
      </c>
      <c r="QYE69" s="61">
        <f t="shared" si="1729"/>
        <v>-65000000</v>
      </c>
      <c r="QYF69" s="61">
        <f t="shared" si="1729"/>
        <v>-65000000</v>
      </c>
      <c r="QYG69" s="61">
        <f t="shared" si="1729"/>
        <v>-65000000</v>
      </c>
      <c r="QYH69" s="61">
        <f t="shared" si="1729"/>
        <v>-65000000</v>
      </c>
      <c r="QYI69" s="61">
        <f t="shared" si="1729"/>
        <v>-65000000</v>
      </c>
      <c r="QYJ69" s="61">
        <f t="shared" si="1729"/>
        <v>-65000000</v>
      </c>
      <c r="QYK69" s="61">
        <f t="shared" si="1729"/>
        <v>-65000000</v>
      </c>
      <c r="QYL69" s="61">
        <f t="shared" si="1729"/>
        <v>-65000000</v>
      </c>
      <c r="QYM69" s="61">
        <f t="shared" si="1729"/>
        <v>-65000000</v>
      </c>
      <c r="QYN69" s="61">
        <f t="shared" si="1729"/>
        <v>-65000000</v>
      </c>
      <c r="QYO69" s="61">
        <f t="shared" si="1729"/>
        <v>-65000000</v>
      </c>
      <c r="QYP69" s="61">
        <f t="shared" si="1729"/>
        <v>-65000000</v>
      </c>
      <c r="QYQ69" s="61">
        <f t="shared" si="1729"/>
        <v>-65000000</v>
      </c>
      <c r="QYR69" s="61">
        <f t="shared" si="1729"/>
        <v>-65000000</v>
      </c>
      <c r="QYS69" s="61">
        <f t="shared" si="1729"/>
        <v>-65000000</v>
      </c>
      <c r="QYT69" s="61">
        <f t="shared" si="1729"/>
        <v>-65000000</v>
      </c>
      <c r="QYU69" s="61">
        <f t="shared" si="1729"/>
        <v>-65000000</v>
      </c>
      <c r="QYV69" s="61">
        <f t="shared" si="1729"/>
        <v>-65000000</v>
      </c>
      <c r="QYW69" s="61">
        <f t="shared" si="1729"/>
        <v>-65000000</v>
      </c>
      <c r="QYX69" s="61">
        <f t="shared" si="1729"/>
        <v>-65000000</v>
      </c>
      <c r="QYY69" s="61">
        <f t="shared" si="1729"/>
        <v>-65000000</v>
      </c>
      <c r="QYZ69" s="61">
        <f t="shared" si="1729"/>
        <v>-65000000</v>
      </c>
      <c r="QZA69" s="61">
        <f t="shared" si="1729"/>
        <v>-65000000</v>
      </c>
      <c r="QZB69" s="61">
        <f t="shared" si="1729"/>
        <v>-65000000</v>
      </c>
      <c r="QZC69" s="61">
        <f t="shared" si="1729"/>
        <v>-65000000</v>
      </c>
      <c r="QZD69" s="61">
        <f t="shared" si="1729"/>
        <v>-65000000</v>
      </c>
      <c r="QZE69" s="61">
        <f t="shared" si="1729"/>
        <v>-65000000</v>
      </c>
      <c r="QZF69" s="61">
        <f t="shared" si="1729"/>
        <v>-65000000</v>
      </c>
      <c r="QZG69" s="61">
        <f t="shared" si="1729"/>
        <v>-65000000</v>
      </c>
      <c r="QZH69" s="61">
        <f t="shared" si="1729"/>
        <v>-65000000</v>
      </c>
      <c r="QZI69" s="61">
        <f t="shared" si="1729"/>
        <v>-65000000</v>
      </c>
      <c r="QZJ69" s="61">
        <f t="shared" si="1729"/>
        <v>-65000000</v>
      </c>
      <c r="QZK69" s="61">
        <f t="shared" si="1729"/>
        <v>-65000000</v>
      </c>
      <c r="QZL69" s="61">
        <f t="shared" si="1729"/>
        <v>-65000000</v>
      </c>
      <c r="QZM69" s="61">
        <f t="shared" si="1729"/>
        <v>-65000000</v>
      </c>
      <c r="QZN69" s="61">
        <f t="shared" si="1729"/>
        <v>-65000000</v>
      </c>
      <c r="QZO69" s="61">
        <f t="shared" si="1729"/>
        <v>-65000000</v>
      </c>
      <c r="QZP69" s="61">
        <f t="shared" si="1729"/>
        <v>-65000000</v>
      </c>
      <c r="QZQ69" s="61">
        <f t="shared" si="1729"/>
        <v>-65000000</v>
      </c>
      <c r="QZR69" s="61">
        <f t="shared" si="1729"/>
        <v>-65000000</v>
      </c>
      <c r="QZS69" s="61">
        <f t="shared" si="1729"/>
        <v>-65000000</v>
      </c>
      <c r="QZT69" s="61">
        <f t="shared" si="1729"/>
        <v>-65000000</v>
      </c>
      <c r="QZU69" s="61">
        <f t="shared" si="1729"/>
        <v>-65000000</v>
      </c>
      <c r="QZV69" s="61">
        <f t="shared" si="1729"/>
        <v>-65000000</v>
      </c>
      <c r="QZW69" s="61">
        <f t="shared" ref="QZW69:RCH69" si="1730">QZW68-$EC$11-QZW11</f>
        <v>-65000000</v>
      </c>
      <c r="QZX69" s="61">
        <f t="shared" si="1730"/>
        <v>-65000000</v>
      </c>
      <c r="QZY69" s="61">
        <f t="shared" si="1730"/>
        <v>-65000000</v>
      </c>
      <c r="QZZ69" s="61">
        <f t="shared" si="1730"/>
        <v>-65000000</v>
      </c>
      <c r="RAA69" s="61">
        <f t="shared" si="1730"/>
        <v>-65000000</v>
      </c>
      <c r="RAB69" s="61">
        <f t="shared" si="1730"/>
        <v>-65000000</v>
      </c>
      <c r="RAC69" s="61">
        <f t="shared" si="1730"/>
        <v>-65000000</v>
      </c>
      <c r="RAD69" s="61">
        <f t="shared" si="1730"/>
        <v>-65000000</v>
      </c>
      <c r="RAE69" s="61">
        <f t="shared" si="1730"/>
        <v>-65000000</v>
      </c>
      <c r="RAF69" s="61">
        <f t="shared" si="1730"/>
        <v>-65000000</v>
      </c>
      <c r="RAG69" s="61">
        <f t="shared" si="1730"/>
        <v>-65000000</v>
      </c>
      <c r="RAH69" s="61">
        <f t="shared" si="1730"/>
        <v>-65000000</v>
      </c>
      <c r="RAI69" s="61">
        <f t="shared" si="1730"/>
        <v>-65000000</v>
      </c>
      <c r="RAJ69" s="61">
        <f t="shared" si="1730"/>
        <v>-65000000</v>
      </c>
      <c r="RAK69" s="61">
        <f t="shared" si="1730"/>
        <v>-65000000</v>
      </c>
      <c r="RAL69" s="61">
        <f t="shared" si="1730"/>
        <v>-65000000</v>
      </c>
      <c r="RAM69" s="61">
        <f t="shared" si="1730"/>
        <v>-65000000</v>
      </c>
      <c r="RAN69" s="61">
        <f t="shared" si="1730"/>
        <v>-65000000</v>
      </c>
      <c r="RAO69" s="61">
        <f t="shared" si="1730"/>
        <v>-65000000</v>
      </c>
      <c r="RAP69" s="61">
        <f t="shared" si="1730"/>
        <v>-65000000</v>
      </c>
      <c r="RAQ69" s="61">
        <f t="shared" si="1730"/>
        <v>-65000000</v>
      </c>
      <c r="RAR69" s="61">
        <f t="shared" si="1730"/>
        <v>-65000000</v>
      </c>
      <c r="RAS69" s="61">
        <f t="shared" si="1730"/>
        <v>-65000000</v>
      </c>
      <c r="RAT69" s="61">
        <f t="shared" si="1730"/>
        <v>-65000000</v>
      </c>
      <c r="RAU69" s="61">
        <f t="shared" si="1730"/>
        <v>-65000000</v>
      </c>
      <c r="RAV69" s="61">
        <f t="shared" si="1730"/>
        <v>-65000000</v>
      </c>
      <c r="RAW69" s="61">
        <f t="shared" si="1730"/>
        <v>-65000000</v>
      </c>
      <c r="RAX69" s="61">
        <f t="shared" si="1730"/>
        <v>-65000000</v>
      </c>
      <c r="RAY69" s="61">
        <f t="shared" si="1730"/>
        <v>-65000000</v>
      </c>
      <c r="RAZ69" s="61">
        <f t="shared" si="1730"/>
        <v>-65000000</v>
      </c>
      <c r="RBA69" s="61">
        <f t="shared" si="1730"/>
        <v>-65000000</v>
      </c>
      <c r="RBB69" s="61">
        <f t="shared" si="1730"/>
        <v>-65000000</v>
      </c>
      <c r="RBC69" s="61">
        <f t="shared" si="1730"/>
        <v>-65000000</v>
      </c>
      <c r="RBD69" s="61">
        <f t="shared" si="1730"/>
        <v>-65000000</v>
      </c>
      <c r="RBE69" s="61">
        <f t="shared" si="1730"/>
        <v>-65000000</v>
      </c>
      <c r="RBF69" s="61">
        <f t="shared" si="1730"/>
        <v>-65000000</v>
      </c>
      <c r="RBG69" s="61">
        <f t="shared" si="1730"/>
        <v>-65000000</v>
      </c>
      <c r="RBH69" s="61">
        <f t="shared" si="1730"/>
        <v>-65000000</v>
      </c>
      <c r="RBI69" s="61">
        <f t="shared" si="1730"/>
        <v>-65000000</v>
      </c>
      <c r="RBJ69" s="61">
        <f t="shared" si="1730"/>
        <v>-65000000</v>
      </c>
      <c r="RBK69" s="61">
        <f t="shared" si="1730"/>
        <v>-65000000</v>
      </c>
      <c r="RBL69" s="61">
        <f t="shared" si="1730"/>
        <v>-65000000</v>
      </c>
      <c r="RBM69" s="61">
        <f t="shared" si="1730"/>
        <v>-65000000</v>
      </c>
      <c r="RBN69" s="61">
        <f t="shared" si="1730"/>
        <v>-65000000</v>
      </c>
      <c r="RBO69" s="61">
        <f t="shared" si="1730"/>
        <v>-65000000</v>
      </c>
      <c r="RBP69" s="61">
        <f t="shared" si="1730"/>
        <v>-65000000</v>
      </c>
      <c r="RBQ69" s="61">
        <f t="shared" si="1730"/>
        <v>-65000000</v>
      </c>
      <c r="RBR69" s="61">
        <f t="shared" si="1730"/>
        <v>-65000000</v>
      </c>
      <c r="RBS69" s="61">
        <f t="shared" si="1730"/>
        <v>-65000000</v>
      </c>
      <c r="RBT69" s="61">
        <f t="shared" si="1730"/>
        <v>-65000000</v>
      </c>
      <c r="RBU69" s="61">
        <f t="shared" si="1730"/>
        <v>-65000000</v>
      </c>
      <c r="RBV69" s="61">
        <f t="shared" si="1730"/>
        <v>-65000000</v>
      </c>
      <c r="RBW69" s="61">
        <f t="shared" si="1730"/>
        <v>-65000000</v>
      </c>
      <c r="RBX69" s="61">
        <f t="shared" si="1730"/>
        <v>-65000000</v>
      </c>
      <c r="RBY69" s="61">
        <f t="shared" si="1730"/>
        <v>-65000000</v>
      </c>
      <c r="RBZ69" s="61">
        <f t="shared" si="1730"/>
        <v>-65000000</v>
      </c>
      <c r="RCA69" s="61">
        <f t="shared" si="1730"/>
        <v>-65000000</v>
      </c>
      <c r="RCB69" s="61">
        <f t="shared" si="1730"/>
        <v>-65000000</v>
      </c>
      <c r="RCC69" s="61">
        <f t="shared" si="1730"/>
        <v>-65000000</v>
      </c>
      <c r="RCD69" s="61">
        <f t="shared" si="1730"/>
        <v>-65000000</v>
      </c>
      <c r="RCE69" s="61">
        <f t="shared" si="1730"/>
        <v>-65000000</v>
      </c>
      <c r="RCF69" s="61">
        <f t="shared" si="1730"/>
        <v>-65000000</v>
      </c>
      <c r="RCG69" s="61">
        <f t="shared" si="1730"/>
        <v>-65000000</v>
      </c>
      <c r="RCH69" s="61">
        <f t="shared" si="1730"/>
        <v>-65000000</v>
      </c>
      <c r="RCI69" s="61">
        <f t="shared" ref="RCI69:RET69" si="1731">RCI68-$EC$11-RCI11</f>
        <v>-65000000</v>
      </c>
      <c r="RCJ69" s="61">
        <f t="shared" si="1731"/>
        <v>-65000000</v>
      </c>
      <c r="RCK69" s="61">
        <f t="shared" si="1731"/>
        <v>-65000000</v>
      </c>
      <c r="RCL69" s="61">
        <f t="shared" si="1731"/>
        <v>-65000000</v>
      </c>
      <c r="RCM69" s="61">
        <f t="shared" si="1731"/>
        <v>-65000000</v>
      </c>
      <c r="RCN69" s="61">
        <f t="shared" si="1731"/>
        <v>-65000000</v>
      </c>
      <c r="RCO69" s="61">
        <f t="shared" si="1731"/>
        <v>-65000000</v>
      </c>
      <c r="RCP69" s="61">
        <f t="shared" si="1731"/>
        <v>-65000000</v>
      </c>
      <c r="RCQ69" s="61">
        <f t="shared" si="1731"/>
        <v>-65000000</v>
      </c>
      <c r="RCR69" s="61">
        <f t="shared" si="1731"/>
        <v>-65000000</v>
      </c>
      <c r="RCS69" s="61">
        <f t="shared" si="1731"/>
        <v>-65000000</v>
      </c>
      <c r="RCT69" s="61">
        <f t="shared" si="1731"/>
        <v>-65000000</v>
      </c>
      <c r="RCU69" s="61">
        <f t="shared" si="1731"/>
        <v>-65000000</v>
      </c>
      <c r="RCV69" s="61">
        <f t="shared" si="1731"/>
        <v>-65000000</v>
      </c>
      <c r="RCW69" s="61">
        <f t="shared" si="1731"/>
        <v>-65000000</v>
      </c>
      <c r="RCX69" s="61">
        <f t="shared" si="1731"/>
        <v>-65000000</v>
      </c>
      <c r="RCY69" s="61">
        <f t="shared" si="1731"/>
        <v>-65000000</v>
      </c>
      <c r="RCZ69" s="61">
        <f t="shared" si="1731"/>
        <v>-65000000</v>
      </c>
      <c r="RDA69" s="61">
        <f t="shared" si="1731"/>
        <v>-65000000</v>
      </c>
      <c r="RDB69" s="61">
        <f t="shared" si="1731"/>
        <v>-65000000</v>
      </c>
      <c r="RDC69" s="61">
        <f t="shared" si="1731"/>
        <v>-65000000</v>
      </c>
      <c r="RDD69" s="61">
        <f t="shared" si="1731"/>
        <v>-65000000</v>
      </c>
      <c r="RDE69" s="61">
        <f t="shared" si="1731"/>
        <v>-65000000</v>
      </c>
      <c r="RDF69" s="61">
        <f t="shared" si="1731"/>
        <v>-65000000</v>
      </c>
      <c r="RDG69" s="61">
        <f t="shared" si="1731"/>
        <v>-65000000</v>
      </c>
      <c r="RDH69" s="61">
        <f t="shared" si="1731"/>
        <v>-65000000</v>
      </c>
      <c r="RDI69" s="61">
        <f t="shared" si="1731"/>
        <v>-65000000</v>
      </c>
      <c r="RDJ69" s="61">
        <f t="shared" si="1731"/>
        <v>-65000000</v>
      </c>
      <c r="RDK69" s="61">
        <f t="shared" si="1731"/>
        <v>-65000000</v>
      </c>
      <c r="RDL69" s="61">
        <f t="shared" si="1731"/>
        <v>-65000000</v>
      </c>
      <c r="RDM69" s="61">
        <f t="shared" si="1731"/>
        <v>-65000000</v>
      </c>
      <c r="RDN69" s="61">
        <f t="shared" si="1731"/>
        <v>-65000000</v>
      </c>
      <c r="RDO69" s="61">
        <f t="shared" si="1731"/>
        <v>-65000000</v>
      </c>
      <c r="RDP69" s="61">
        <f t="shared" si="1731"/>
        <v>-65000000</v>
      </c>
      <c r="RDQ69" s="61">
        <f t="shared" si="1731"/>
        <v>-65000000</v>
      </c>
      <c r="RDR69" s="61">
        <f t="shared" si="1731"/>
        <v>-65000000</v>
      </c>
      <c r="RDS69" s="61">
        <f t="shared" si="1731"/>
        <v>-65000000</v>
      </c>
      <c r="RDT69" s="61">
        <f t="shared" si="1731"/>
        <v>-65000000</v>
      </c>
      <c r="RDU69" s="61">
        <f t="shared" si="1731"/>
        <v>-65000000</v>
      </c>
      <c r="RDV69" s="61">
        <f t="shared" si="1731"/>
        <v>-65000000</v>
      </c>
      <c r="RDW69" s="61">
        <f t="shared" si="1731"/>
        <v>-65000000</v>
      </c>
      <c r="RDX69" s="61">
        <f t="shared" si="1731"/>
        <v>-65000000</v>
      </c>
      <c r="RDY69" s="61">
        <f t="shared" si="1731"/>
        <v>-65000000</v>
      </c>
      <c r="RDZ69" s="61">
        <f t="shared" si="1731"/>
        <v>-65000000</v>
      </c>
      <c r="REA69" s="61">
        <f t="shared" si="1731"/>
        <v>-65000000</v>
      </c>
      <c r="REB69" s="61">
        <f t="shared" si="1731"/>
        <v>-65000000</v>
      </c>
      <c r="REC69" s="61">
        <f t="shared" si="1731"/>
        <v>-65000000</v>
      </c>
      <c r="RED69" s="61">
        <f t="shared" si="1731"/>
        <v>-65000000</v>
      </c>
      <c r="REE69" s="61">
        <f t="shared" si="1731"/>
        <v>-65000000</v>
      </c>
      <c r="REF69" s="61">
        <f t="shared" si="1731"/>
        <v>-65000000</v>
      </c>
      <c r="REG69" s="61">
        <f t="shared" si="1731"/>
        <v>-65000000</v>
      </c>
      <c r="REH69" s="61">
        <f t="shared" si="1731"/>
        <v>-65000000</v>
      </c>
      <c r="REI69" s="61">
        <f t="shared" si="1731"/>
        <v>-65000000</v>
      </c>
      <c r="REJ69" s="61">
        <f t="shared" si="1731"/>
        <v>-65000000</v>
      </c>
      <c r="REK69" s="61">
        <f t="shared" si="1731"/>
        <v>-65000000</v>
      </c>
      <c r="REL69" s="61">
        <f t="shared" si="1731"/>
        <v>-65000000</v>
      </c>
      <c r="REM69" s="61">
        <f t="shared" si="1731"/>
        <v>-65000000</v>
      </c>
      <c r="REN69" s="61">
        <f t="shared" si="1731"/>
        <v>-65000000</v>
      </c>
      <c r="REO69" s="61">
        <f t="shared" si="1731"/>
        <v>-65000000</v>
      </c>
      <c r="REP69" s="61">
        <f t="shared" si="1731"/>
        <v>-65000000</v>
      </c>
      <c r="REQ69" s="61">
        <f t="shared" si="1731"/>
        <v>-65000000</v>
      </c>
      <c r="RER69" s="61">
        <f t="shared" si="1731"/>
        <v>-65000000</v>
      </c>
      <c r="RES69" s="61">
        <f t="shared" si="1731"/>
        <v>-65000000</v>
      </c>
      <c r="RET69" s="61">
        <f t="shared" si="1731"/>
        <v>-65000000</v>
      </c>
      <c r="REU69" s="61">
        <f t="shared" ref="REU69:RHF69" si="1732">REU68-$EC$11-REU11</f>
        <v>-65000000</v>
      </c>
      <c r="REV69" s="61">
        <f t="shared" si="1732"/>
        <v>-65000000</v>
      </c>
      <c r="REW69" s="61">
        <f t="shared" si="1732"/>
        <v>-65000000</v>
      </c>
      <c r="REX69" s="61">
        <f t="shared" si="1732"/>
        <v>-65000000</v>
      </c>
      <c r="REY69" s="61">
        <f t="shared" si="1732"/>
        <v>-65000000</v>
      </c>
      <c r="REZ69" s="61">
        <f t="shared" si="1732"/>
        <v>-65000000</v>
      </c>
      <c r="RFA69" s="61">
        <f t="shared" si="1732"/>
        <v>-65000000</v>
      </c>
      <c r="RFB69" s="61">
        <f t="shared" si="1732"/>
        <v>-65000000</v>
      </c>
      <c r="RFC69" s="61">
        <f t="shared" si="1732"/>
        <v>-65000000</v>
      </c>
      <c r="RFD69" s="61">
        <f t="shared" si="1732"/>
        <v>-65000000</v>
      </c>
      <c r="RFE69" s="61">
        <f t="shared" si="1732"/>
        <v>-65000000</v>
      </c>
      <c r="RFF69" s="61">
        <f t="shared" si="1732"/>
        <v>-65000000</v>
      </c>
      <c r="RFG69" s="61">
        <f t="shared" si="1732"/>
        <v>-65000000</v>
      </c>
      <c r="RFH69" s="61">
        <f t="shared" si="1732"/>
        <v>-65000000</v>
      </c>
      <c r="RFI69" s="61">
        <f t="shared" si="1732"/>
        <v>-65000000</v>
      </c>
      <c r="RFJ69" s="61">
        <f t="shared" si="1732"/>
        <v>-65000000</v>
      </c>
      <c r="RFK69" s="61">
        <f t="shared" si="1732"/>
        <v>-65000000</v>
      </c>
      <c r="RFL69" s="61">
        <f t="shared" si="1732"/>
        <v>-65000000</v>
      </c>
      <c r="RFM69" s="61">
        <f t="shared" si="1732"/>
        <v>-65000000</v>
      </c>
      <c r="RFN69" s="61">
        <f t="shared" si="1732"/>
        <v>-65000000</v>
      </c>
      <c r="RFO69" s="61">
        <f t="shared" si="1732"/>
        <v>-65000000</v>
      </c>
      <c r="RFP69" s="61">
        <f t="shared" si="1732"/>
        <v>-65000000</v>
      </c>
      <c r="RFQ69" s="61">
        <f t="shared" si="1732"/>
        <v>-65000000</v>
      </c>
      <c r="RFR69" s="61">
        <f t="shared" si="1732"/>
        <v>-65000000</v>
      </c>
      <c r="RFS69" s="61">
        <f t="shared" si="1732"/>
        <v>-65000000</v>
      </c>
      <c r="RFT69" s="61">
        <f t="shared" si="1732"/>
        <v>-65000000</v>
      </c>
      <c r="RFU69" s="61">
        <f t="shared" si="1732"/>
        <v>-65000000</v>
      </c>
      <c r="RFV69" s="61">
        <f t="shared" si="1732"/>
        <v>-65000000</v>
      </c>
      <c r="RFW69" s="61">
        <f t="shared" si="1732"/>
        <v>-65000000</v>
      </c>
      <c r="RFX69" s="61">
        <f t="shared" si="1732"/>
        <v>-65000000</v>
      </c>
      <c r="RFY69" s="61">
        <f t="shared" si="1732"/>
        <v>-65000000</v>
      </c>
      <c r="RFZ69" s="61">
        <f t="shared" si="1732"/>
        <v>-65000000</v>
      </c>
      <c r="RGA69" s="61">
        <f t="shared" si="1732"/>
        <v>-65000000</v>
      </c>
      <c r="RGB69" s="61">
        <f t="shared" si="1732"/>
        <v>-65000000</v>
      </c>
      <c r="RGC69" s="61">
        <f t="shared" si="1732"/>
        <v>-65000000</v>
      </c>
      <c r="RGD69" s="61">
        <f t="shared" si="1732"/>
        <v>-65000000</v>
      </c>
      <c r="RGE69" s="61">
        <f t="shared" si="1732"/>
        <v>-65000000</v>
      </c>
      <c r="RGF69" s="61">
        <f t="shared" si="1732"/>
        <v>-65000000</v>
      </c>
      <c r="RGG69" s="61">
        <f t="shared" si="1732"/>
        <v>-65000000</v>
      </c>
      <c r="RGH69" s="61">
        <f t="shared" si="1732"/>
        <v>-65000000</v>
      </c>
      <c r="RGI69" s="61">
        <f t="shared" si="1732"/>
        <v>-65000000</v>
      </c>
      <c r="RGJ69" s="61">
        <f t="shared" si="1732"/>
        <v>-65000000</v>
      </c>
      <c r="RGK69" s="61">
        <f t="shared" si="1732"/>
        <v>-65000000</v>
      </c>
      <c r="RGL69" s="61">
        <f t="shared" si="1732"/>
        <v>-65000000</v>
      </c>
      <c r="RGM69" s="61">
        <f t="shared" si="1732"/>
        <v>-65000000</v>
      </c>
      <c r="RGN69" s="61">
        <f t="shared" si="1732"/>
        <v>-65000000</v>
      </c>
      <c r="RGO69" s="61">
        <f t="shared" si="1732"/>
        <v>-65000000</v>
      </c>
      <c r="RGP69" s="61">
        <f t="shared" si="1732"/>
        <v>-65000000</v>
      </c>
      <c r="RGQ69" s="61">
        <f t="shared" si="1732"/>
        <v>-65000000</v>
      </c>
      <c r="RGR69" s="61">
        <f t="shared" si="1732"/>
        <v>-65000000</v>
      </c>
      <c r="RGS69" s="61">
        <f t="shared" si="1732"/>
        <v>-65000000</v>
      </c>
      <c r="RGT69" s="61">
        <f t="shared" si="1732"/>
        <v>-65000000</v>
      </c>
      <c r="RGU69" s="61">
        <f t="shared" si="1732"/>
        <v>-65000000</v>
      </c>
      <c r="RGV69" s="61">
        <f t="shared" si="1732"/>
        <v>-65000000</v>
      </c>
      <c r="RGW69" s="61">
        <f t="shared" si="1732"/>
        <v>-65000000</v>
      </c>
      <c r="RGX69" s="61">
        <f t="shared" si="1732"/>
        <v>-65000000</v>
      </c>
      <c r="RGY69" s="61">
        <f t="shared" si="1732"/>
        <v>-65000000</v>
      </c>
      <c r="RGZ69" s="61">
        <f t="shared" si="1732"/>
        <v>-65000000</v>
      </c>
      <c r="RHA69" s="61">
        <f t="shared" si="1732"/>
        <v>-65000000</v>
      </c>
      <c r="RHB69" s="61">
        <f t="shared" si="1732"/>
        <v>-65000000</v>
      </c>
      <c r="RHC69" s="61">
        <f t="shared" si="1732"/>
        <v>-65000000</v>
      </c>
      <c r="RHD69" s="61">
        <f t="shared" si="1732"/>
        <v>-65000000</v>
      </c>
      <c r="RHE69" s="61">
        <f t="shared" si="1732"/>
        <v>-65000000</v>
      </c>
      <c r="RHF69" s="61">
        <f t="shared" si="1732"/>
        <v>-65000000</v>
      </c>
      <c r="RHG69" s="61">
        <f t="shared" ref="RHG69:RJR69" si="1733">RHG68-$EC$11-RHG11</f>
        <v>-65000000</v>
      </c>
      <c r="RHH69" s="61">
        <f t="shared" si="1733"/>
        <v>-65000000</v>
      </c>
      <c r="RHI69" s="61">
        <f t="shared" si="1733"/>
        <v>-65000000</v>
      </c>
      <c r="RHJ69" s="61">
        <f t="shared" si="1733"/>
        <v>-65000000</v>
      </c>
      <c r="RHK69" s="61">
        <f t="shared" si="1733"/>
        <v>-65000000</v>
      </c>
      <c r="RHL69" s="61">
        <f t="shared" si="1733"/>
        <v>-65000000</v>
      </c>
      <c r="RHM69" s="61">
        <f t="shared" si="1733"/>
        <v>-65000000</v>
      </c>
      <c r="RHN69" s="61">
        <f t="shared" si="1733"/>
        <v>-65000000</v>
      </c>
      <c r="RHO69" s="61">
        <f t="shared" si="1733"/>
        <v>-65000000</v>
      </c>
      <c r="RHP69" s="61">
        <f t="shared" si="1733"/>
        <v>-65000000</v>
      </c>
      <c r="RHQ69" s="61">
        <f t="shared" si="1733"/>
        <v>-65000000</v>
      </c>
      <c r="RHR69" s="61">
        <f t="shared" si="1733"/>
        <v>-65000000</v>
      </c>
      <c r="RHS69" s="61">
        <f t="shared" si="1733"/>
        <v>-65000000</v>
      </c>
      <c r="RHT69" s="61">
        <f t="shared" si="1733"/>
        <v>-65000000</v>
      </c>
      <c r="RHU69" s="61">
        <f t="shared" si="1733"/>
        <v>-65000000</v>
      </c>
      <c r="RHV69" s="61">
        <f t="shared" si="1733"/>
        <v>-65000000</v>
      </c>
      <c r="RHW69" s="61">
        <f t="shared" si="1733"/>
        <v>-65000000</v>
      </c>
      <c r="RHX69" s="61">
        <f t="shared" si="1733"/>
        <v>-65000000</v>
      </c>
      <c r="RHY69" s="61">
        <f t="shared" si="1733"/>
        <v>-65000000</v>
      </c>
      <c r="RHZ69" s="61">
        <f t="shared" si="1733"/>
        <v>-65000000</v>
      </c>
      <c r="RIA69" s="61">
        <f t="shared" si="1733"/>
        <v>-65000000</v>
      </c>
      <c r="RIB69" s="61">
        <f t="shared" si="1733"/>
        <v>-65000000</v>
      </c>
      <c r="RIC69" s="61">
        <f t="shared" si="1733"/>
        <v>-65000000</v>
      </c>
      <c r="RID69" s="61">
        <f t="shared" si="1733"/>
        <v>-65000000</v>
      </c>
      <c r="RIE69" s="61">
        <f t="shared" si="1733"/>
        <v>-65000000</v>
      </c>
      <c r="RIF69" s="61">
        <f t="shared" si="1733"/>
        <v>-65000000</v>
      </c>
      <c r="RIG69" s="61">
        <f t="shared" si="1733"/>
        <v>-65000000</v>
      </c>
      <c r="RIH69" s="61">
        <f t="shared" si="1733"/>
        <v>-65000000</v>
      </c>
      <c r="RII69" s="61">
        <f t="shared" si="1733"/>
        <v>-65000000</v>
      </c>
      <c r="RIJ69" s="61">
        <f t="shared" si="1733"/>
        <v>-65000000</v>
      </c>
      <c r="RIK69" s="61">
        <f t="shared" si="1733"/>
        <v>-65000000</v>
      </c>
      <c r="RIL69" s="61">
        <f t="shared" si="1733"/>
        <v>-65000000</v>
      </c>
      <c r="RIM69" s="61">
        <f t="shared" si="1733"/>
        <v>-65000000</v>
      </c>
      <c r="RIN69" s="61">
        <f t="shared" si="1733"/>
        <v>-65000000</v>
      </c>
      <c r="RIO69" s="61">
        <f t="shared" si="1733"/>
        <v>-65000000</v>
      </c>
      <c r="RIP69" s="61">
        <f t="shared" si="1733"/>
        <v>-65000000</v>
      </c>
      <c r="RIQ69" s="61">
        <f t="shared" si="1733"/>
        <v>-65000000</v>
      </c>
      <c r="RIR69" s="61">
        <f t="shared" si="1733"/>
        <v>-65000000</v>
      </c>
      <c r="RIS69" s="61">
        <f t="shared" si="1733"/>
        <v>-65000000</v>
      </c>
      <c r="RIT69" s="61">
        <f t="shared" si="1733"/>
        <v>-65000000</v>
      </c>
      <c r="RIU69" s="61">
        <f t="shared" si="1733"/>
        <v>-65000000</v>
      </c>
      <c r="RIV69" s="61">
        <f t="shared" si="1733"/>
        <v>-65000000</v>
      </c>
      <c r="RIW69" s="61">
        <f t="shared" si="1733"/>
        <v>-65000000</v>
      </c>
      <c r="RIX69" s="61">
        <f t="shared" si="1733"/>
        <v>-65000000</v>
      </c>
      <c r="RIY69" s="61">
        <f t="shared" si="1733"/>
        <v>-65000000</v>
      </c>
      <c r="RIZ69" s="61">
        <f t="shared" si="1733"/>
        <v>-65000000</v>
      </c>
      <c r="RJA69" s="61">
        <f t="shared" si="1733"/>
        <v>-65000000</v>
      </c>
      <c r="RJB69" s="61">
        <f t="shared" si="1733"/>
        <v>-65000000</v>
      </c>
      <c r="RJC69" s="61">
        <f t="shared" si="1733"/>
        <v>-65000000</v>
      </c>
      <c r="RJD69" s="61">
        <f t="shared" si="1733"/>
        <v>-65000000</v>
      </c>
      <c r="RJE69" s="61">
        <f t="shared" si="1733"/>
        <v>-65000000</v>
      </c>
      <c r="RJF69" s="61">
        <f t="shared" si="1733"/>
        <v>-65000000</v>
      </c>
      <c r="RJG69" s="61">
        <f t="shared" si="1733"/>
        <v>-65000000</v>
      </c>
      <c r="RJH69" s="61">
        <f t="shared" si="1733"/>
        <v>-65000000</v>
      </c>
      <c r="RJI69" s="61">
        <f t="shared" si="1733"/>
        <v>-65000000</v>
      </c>
      <c r="RJJ69" s="61">
        <f t="shared" si="1733"/>
        <v>-65000000</v>
      </c>
      <c r="RJK69" s="61">
        <f t="shared" si="1733"/>
        <v>-65000000</v>
      </c>
      <c r="RJL69" s="61">
        <f t="shared" si="1733"/>
        <v>-65000000</v>
      </c>
      <c r="RJM69" s="61">
        <f t="shared" si="1733"/>
        <v>-65000000</v>
      </c>
      <c r="RJN69" s="61">
        <f t="shared" si="1733"/>
        <v>-65000000</v>
      </c>
      <c r="RJO69" s="61">
        <f t="shared" si="1733"/>
        <v>-65000000</v>
      </c>
      <c r="RJP69" s="61">
        <f t="shared" si="1733"/>
        <v>-65000000</v>
      </c>
      <c r="RJQ69" s="61">
        <f t="shared" si="1733"/>
        <v>-65000000</v>
      </c>
      <c r="RJR69" s="61">
        <f t="shared" si="1733"/>
        <v>-65000000</v>
      </c>
      <c r="RJS69" s="61">
        <f t="shared" ref="RJS69:RMD69" si="1734">RJS68-$EC$11-RJS11</f>
        <v>-65000000</v>
      </c>
      <c r="RJT69" s="61">
        <f t="shared" si="1734"/>
        <v>-65000000</v>
      </c>
      <c r="RJU69" s="61">
        <f t="shared" si="1734"/>
        <v>-65000000</v>
      </c>
      <c r="RJV69" s="61">
        <f t="shared" si="1734"/>
        <v>-65000000</v>
      </c>
      <c r="RJW69" s="61">
        <f t="shared" si="1734"/>
        <v>-65000000</v>
      </c>
      <c r="RJX69" s="61">
        <f t="shared" si="1734"/>
        <v>-65000000</v>
      </c>
      <c r="RJY69" s="61">
        <f t="shared" si="1734"/>
        <v>-65000000</v>
      </c>
      <c r="RJZ69" s="61">
        <f t="shared" si="1734"/>
        <v>-65000000</v>
      </c>
      <c r="RKA69" s="61">
        <f t="shared" si="1734"/>
        <v>-65000000</v>
      </c>
      <c r="RKB69" s="61">
        <f t="shared" si="1734"/>
        <v>-65000000</v>
      </c>
      <c r="RKC69" s="61">
        <f t="shared" si="1734"/>
        <v>-65000000</v>
      </c>
      <c r="RKD69" s="61">
        <f t="shared" si="1734"/>
        <v>-65000000</v>
      </c>
      <c r="RKE69" s="61">
        <f t="shared" si="1734"/>
        <v>-65000000</v>
      </c>
      <c r="RKF69" s="61">
        <f t="shared" si="1734"/>
        <v>-65000000</v>
      </c>
      <c r="RKG69" s="61">
        <f t="shared" si="1734"/>
        <v>-65000000</v>
      </c>
      <c r="RKH69" s="61">
        <f t="shared" si="1734"/>
        <v>-65000000</v>
      </c>
      <c r="RKI69" s="61">
        <f t="shared" si="1734"/>
        <v>-65000000</v>
      </c>
      <c r="RKJ69" s="61">
        <f t="shared" si="1734"/>
        <v>-65000000</v>
      </c>
      <c r="RKK69" s="61">
        <f t="shared" si="1734"/>
        <v>-65000000</v>
      </c>
      <c r="RKL69" s="61">
        <f t="shared" si="1734"/>
        <v>-65000000</v>
      </c>
      <c r="RKM69" s="61">
        <f t="shared" si="1734"/>
        <v>-65000000</v>
      </c>
      <c r="RKN69" s="61">
        <f t="shared" si="1734"/>
        <v>-65000000</v>
      </c>
      <c r="RKO69" s="61">
        <f t="shared" si="1734"/>
        <v>-65000000</v>
      </c>
      <c r="RKP69" s="61">
        <f t="shared" si="1734"/>
        <v>-65000000</v>
      </c>
      <c r="RKQ69" s="61">
        <f t="shared" si="1734"/>
        <v>-65000000</v>
      </c>
      <c r="RKR69" s="61">
        <f t="shared" si="1734"/>
        <v>-65000000</v>
      </c>
      <c r="RKS69" s="61">
        <f t="shared" si="1734"/>
        <v>-65000000</v>
      </c>
      <c r="RKT69" s="61">
        <f t="shared" si="1734"/>
        <v>-65000000</v>
      </c>
      <c r="RKU69" s="61">
        <f t="shared" si="1734"/>
        <v>-65000000</v>
      </c>
      <c r="RKV69" s="61">
        <f t="shared" si="1734"/>
        <v>-65000000</v>
      </c>
      <c r="RKW69" s="61">
        <f t="shared" si="1734"/>
        <v>-65000000</v>
      </c>
      <c r="RKX69" s="61">
        <f t="shared" si="1734"/>
        <v>-65000000</v>
      </c>
      <c r="RKY69" s="61">
        <f t="shared" si="1734"/>
        <v>-65000000</v>
      </c>
      <c r="RKZ69" s="61">
        <f t="shared" si="1734"/>
        <v>-65000000</v>
      </c>
      <c r="RLA69" s="61">
        <f t="shared" si="1734"/>
        <v>-65000000</v>
      </c>
      <c r="RLB69" s="61">
        <f t="shared" si="1734"/>
        <v>-65000000</v>
      </c>
      <c r="RLC69" s="61">
        <f t="shared" si="1734"/>
        <v>-65000000</v>
      </c>
      <c r="RLD69" s="61">
        <f t="shared" si="1734"/>
        <v>-65000000</v>
      </c>
      <c r="RLE69" s="61">
        <f t="shared" si="1734"/>
        <v>-65000000</v>
      </c>
      <c r="RLF69" s="61">
        <f t="shared" si="1734"/>
        <v>-65000000</v>
      </c>
      <c r="RLG69" s="61">
        <f t="shared" si="1734"/>
        <v>-65000000</v>
      </c>
      <c r="RLH69" s="61">
        <f t="shared" si="1734"/>
        <v>-65000000</v>
      </c>
      <c r="RLI69" s="61">
        <f t="shared" si="1734"/>
        <v>-65000000</v>
      </c>
      <c r="RLJ69" s="61">
        <f t="shared" si="1734"/>
        <v>-65000000</v>
      </c>
      <c r="RLK69" s="61">
        <f t="shared" si="1734"/>
        <v>-65000000</v>
      </c>
      <c r="RLL69" s="61">
        <f t="shared" si="1734"/>
        <v>-65000000</v>
      </c>
      <c r="RLM69" s="61">
        <f t="shared" si="1734"/>
        <v>-65000000</v>
      </c>
      <c r="RLN69" s="61">
        <f t="shared" si="1734"/>
        <v>-65000000</v>
      </c>
      <c r="RLO69" s="61">
        <f t="shared" si="1734"/>
        <v>-65000000</v>
      </c>
      <c r="RLP69" s="61">
        <f t="shared" si="1734"/>
        <v>-65000000</v>
      </c>
      <c r="RLQ69" s="61">
        <f t="shared" si="1734"/>
        <v>-65000000</v>
      </c>
      <c r="RLR69" s="61">
        <f t="shared" si="1734"/>
        <v>-65000000</v>
      </c>
      <c r="RLS69" s="61">
        <f t="shared" si="1734"/>
        <v>-65000000</v>
      </c>
      <c r="RLT69" s="61">
        <f t="shared" si="1734"/>
        <v>-65000000</v>
      </c>
      <c r="RLU69" s="61">
        <f t="shared" si="1734"/>
        <v>-65000000</v>
      </c>
      <c r="RLV69" s="61">
        <f t="shared" si="1734"/>
        <v>-65000000</v>
      </c>
      <c r="RLW69" s="61">
        <f t="shared" si="1734"/>
        <v>-65000000</v>
      </c>
      <c r="RLX69" s="61">
        <f t="shared" si="1734"/>
        <v>-65000000</v>
      </c>
      <c r="RLY69" s="61">
        <f t="shared" si="1734"/>
        <v>-65000000</v>
      </c>
      <c r="RLZ69" s="61">
        <f t="shared" si="1734"/>
        <v>-65000000</v>
      </c>
      <c r="RMA69" s="61">
        <f t="shared" si="1734"/>
        <v>-65000000</v>
      </c>
      <c r="RMB69" s="61">
        <f t="shared" si="1734"/>
        <v>-65000000</v>
      </c>
      <c r="RMC69" s="61">
        <f t="shared" si="1734"/>
        <v>-65000000</v>
      </c>
      <c r="RMD69" s="61">
        <f t="shared" si="1734"/>
        <v>-65000000</v>
      </c>
      <c r="RME69" s="61">
        <f t="shared" ref="RME69:ROP69" si="1735">RME68-$EC$11-RME11</f>
        <v>-65000000</v>
      </c>
      <c r="RMF69" s="61">
        <f t="shared" si="1735"/>
        <v>-65000000</v>
      </c>
      <c r="RMG69" s="61">
        <f t="shared" si="1735"/>
        <v>-65000000</v>
      </c>
      <c r="RMH69" s="61">
        <f t="shared" si="1735"/>
        <v>-65000000</v>
      </c>
      <c r="RMI69" s="61">
        <f t="shared" si="1735"/>
        <v>-65000000</v>
      </c>
      <c r="RMJ69" s="61">
        <f t="shared" si="1735"/>
        <v>-65000000</v>
      </c>
      <c r="RMK69" s="61">
        <f t="shared" si="1735"/>
        <v>-65000000</v>
      </c>
      <c r="RML69" s="61">
        <f t="shared" si="1735"/>
        <v>-65000000</v>
      </c>
      <c r="RMM69" s="61">
        <f t="shared" si="1735"/>
        <v>-65000000</v>
      </c>
      <c r="RMN69" s="61">
        <f t="shared" si="1735"/>
        <v>-65000000</v>
      </c>
      <c r="RMO69" s="61">
        <f t="shared" si="1735"/>
        <v>-65000000</v>
      </c>
      <c r="RMP69" s="61">
        <f t="shared" si="1735"/>
        <v>-65000000</v>
      </c>
      <c r="RMQ69" s="61">
        <f t="shared" si="1735"/>
        <v>-65000000</v>
      </c>
      <c r="RMR69" s="61">
        <f t="shared" si="1735"/>
        <v>-65000000</v>
      </c>
      <c r="RMS69" s="61">
        <f t="shared" si="1735"/>
        <v>-65000000</v>
      </c>
      <c r="RMT69" s="61">
        <f t="shared" si="1735"/>
        <v>-65000000</v>
      </c>
      <c r="RMU69" s="61">
        <f t="shared" si="1735"/>
        <v>-65000000</v>
      </c>
      <c r="RMV69" s="61">
        <f t="shared" si="1735"/>
        <v>-65000000</v>
      </c>
      <c r="RMW69" s="61">
        <f t="shared" si="1735"/>
        <v>-65000000</v>
      </c>
      <c r="RMX69" s="61">
        <f t="shared" si="1735"/>
        <v>-65000000</v>
      </c>
      <c r="RMY69" s="61">
        <f t="shared" si="1735"/>
        <v>-65000000</v>
      </c>
      <c r="RMZ69" s="61">
        <f t="shared" si="1735"/>
        <v>-65000000</v>
      </c>
      <c r="RNA69" s="61">
        <f t="shared" si="1735"/>
        <v>-65000000</v>
      </c>
      <c r="RNB69" s="61">
        <f t="shared" si="1735"/>
        <v>-65000000</v>
      </c>
      <c r="RNC69" s="61">
        <f t="shared" si="1735"/>
        <v>-65000000</v>
      </c>
      <c r="RND69" s="61">
        <f t="shared" si="1735"/>
        <v>-65000000</v>
      </c>
      <c r="RNE69" s="61">
        <f t="shared" si="1735"/>
        <v>-65000000</v>
      </c>
      <c r="RNF69" s="61">
        <f t="shared" si="1735"/>
        <v>-65000000</v>
      </c>
      <c r="RNG69" s="61">
        <f t="shared" si="1735"/>
        <v>-65000000</v>
      </c>
      <c r="RNH69" s="61">
        <f t="shared" si="1735"/>
        <v>-65000000</v>
      </c>
      <c r="RNI69" s="61">
        <f t="shared" si="1735"/>
        <v>-65000000</v>
      </c>
      <c r="RNJ69" s="61">
        <f t="shared" si="1735"/>
        <v>-65000000</v>
      </c>
      <c r="RNK69" s="61">
        <f t="shared" si="1735"/>
        <v>-65000000</v>
      </c>
      <c r="RNL69" s="61">
        <f t="shared" si="1735"/>
        <v>-65000000</v>
      </c>
      <c r="RNM69" s="61">
        <f t="shared" si="1735"/>
        <v>-65000000</v>
      </c>
      <c r="RNN69" s="61">
        <f t="shared" si="1735"/>
        <v>-65000000</v>
      </c>
      <c r="RNO69" s="61">
        <f t="shared" si="1735"/>
        <v>-65000000</v>
      </c>
      <c r="RNP69" s="61">
        <f t="shared" si="1735"/>
        <v>-65000000</v>
      </c>
      <c r="RNQ69" s="61">
        <f t="shared" si="1735"/>
        <v>-65000000</v>
      </c>
      <c r="RNR69" s="61">
        <f t="shared" si="1735"/>
        <v>-65000000</v>
      </c>
      <c r="RNS69" s="61">
        <f t="shared" si="1735"/>
        <v>-65000000</v>
      </c>
      <c r="RNT69" s="61">
        <f t="shared" si="1735"/>
        <v>-65000000</v>
      </c>
      <c r="RNU69" s="61">
        <f t="shared" si="1735"/>
        <v>-65000000</v>
      </c>
      <c r="RNV69" s="61">
        <f t="shared" si="1735"/>
        <v>-65000000</v>
      </c>
      <c r="RNW69" s="61">
        <f t="shared" si="1735"/>
        <v>-65000000</v>
      </c>
      <c r="RNX69" s="61">
        <f t="shared" si="1735"/>
        <v>-65000000</v>
      </c>
      <c r="RNY69" s="61">
        <f t="shared" si="1735"/>
        <v>-65000000</v>
      </c>
      <c r="RNZ69" s="61">
        <f t="shared" si="1735"/>
        <v>-65000000</v>
      </c>
      <c r="ROA69" s="61">
        <f t="shared" si="1735"/>
        <v>-65000000</v>
      </c>
      <c r="ROB69" s="61">
        <f t="shared" si="1735"/>
        <v>-65000000</v>
      </c>
      <c r="ROC69" s="61">
        <f t="shared" si="1735"/>
        <v>-65000000</v>
      </c>
      <c r="ROD69" s="61">
        <f t="shared" si="1735"/>
        <v>-65000000</v>
      </c>
      <c r="ROE69" s="61">
        <f t="shared" si="1735"/>
        <v>-65000000</v>
      </c>
      <c r="ROF69" s="61">
        <f t="shared" si="1735"/>
        <v>-65000000</v>
      </c>
      <c r="ROG69" s="61">
        <f t="shared" si="1735"/>
        <v>-65000000</v>
      </c>
      <c r="ROH69" s="61">
        <f t="shared" si="1735"/>
        <v>-65000000</v>
      </c>
      <c r="ROI69" s="61">
        <f t="shared" si="1735"/>
        <v>-65000000</v>
      </c>
      <c r="ROJ69" s="61">
        <f t="shared" si="1735"/>
        <v>-65000000</v>
      </c>
      <c r="ROK69" s="61">
        <f t="shared" si="1735"/>
        <v>-65000000</v>
      </c>
      <c r="ROL69" s="61">
        <f t="shared" si="1735"/>
        <v>-65000000</v>
      </c>
      <c r="ROM69" s="61">
        <f t="shared" si="1735"/>
        <v>-65000000</v>
      </c>
      <c r="RON69" s="61">
        <f t="shared" si="1735"/>
        <v>-65000000</v>
      </c>
      <c r="ROO69" s="61">
        <f t="shared" si="1735"/>
        <v>-65000000</v>
      </c>
      <c r="ROP69" s="61">
        <f t="shared" si="1735"/>
        <v>-65000000</v>
      </c>
      <c r="ROQ69" s="61">
        <f t="shared" ref="ROQ69:RRB69" si="1736">ROQ68-$EC$11-ROQ11</f>
        <v>-65000000</v>
      </c>
      <c r="ROR69" s="61">
        <f t="shared" si="1736"/>
        <v>-65000000</v>
      </c>
      <c r="ROS69" s="61">
        <f t="shared" si="1736"/>
        <v>-65000000</v>
      </c>
      <c r="ROT69" s="61">
        <f t="shared" si="1736"/>
        <v>-65000000</v>
      </c>
      <c r="ROU69" s="61">
        <f t="shared" si="1736"/>
        <v>-65000000</v>
      </c>
      <c r="ROV69" s="61">
        <f t="shared" si="1736"/>
        <v>-65000000</v>
      </c>
      <c r="ROW69" s="61">
        <f t="shared" si="1736"/>
        <v>-65000000</v>
      </c>
      <c r="ROX69" s="61">
        <f t="shared" si="1736"/>
        <v>-65000000</v>
      </c>
      <c r="ROY69" s="61">
        <f t="shared" si="1736"/>
        <v>-65000000</v>
      </c>
      <c r="ROZ69" s="61">
        <f t="shared" si="1736"/>
        <v>-65000000</v>
      </c>
      <c r="RPA69" s="61">
        <f t="shared" si="1736"/>
        <v>-65000000</v>
      </c>
      <c r="RPB69" s="61">
        <f t="shared" si="1736"/>
        <v>-65000000</v>
      </c>
      <c r="RPC69" s="61">
        <f t="shared" si="1736"/>
        <v>-65000000</v>
      </c>
      <c r="RPD69" s="61">
        <f t="shared" si="1736"/>
        <v>-65000000</v>
      </c>
      <c r="RPE69" s="61">
        <f t="shared" si="1736"/>
        <v>-65000000</v>
      </c>
      <c r="RPF69" s="61">
        <f t="shared" si="1736"/>
        <v>-65000000</v>
      </c>
      <c r="RPG69" s="61">
        <f t="shared" si="1736"/>
        <v>-65000000</v>
      </c>
      <c r="RPH69" s="61">
        <f t="shared" si="1736"/>
        <v>-65000000</v>
      </c>
      <c r="RPI69" s="61">
        <f t="shared" si="1736"/>
        <v>-65000000</v>
      </c>
      <c r="RPJ69" s="61">
        <f t="shared" si="1736"/>
        <v>-65000000</v>
      </c>
      <c r="RPK69" s="61">
        <f t="shared" si="1736"/>
        <v>-65000000</v>
      </c>
      <c r="RPL69" s="61">
        <f t="shared" si="1736"/>
        <v>-65000000</v>
      </c>
      <c r="RPM69" s="61">
        <f t="shared" si="1736"/>
        <v>-65000000</v>
      </c>
      <c r="RPN69" s="61">
        <f t="shared" si="1736"/>
        <v>-65000000</v>
      </c>
      <c r="RPO69" s="61">
        <f t="shared" si="1736"/>
        <v>-65000000</v>
      </c>
      <c r="RPP69" s="61">
        <f t="shared" si="1736"/>
        <v>-65000000</v>
      </c>
      <c r="RPQ69" s="61">
        <f t="shared" si="1736"/>
        <v>-65000000</v>
      </c>
      <c r="RPR69" s="61">
        <f t="shared" si="1736"/>
        <v>-65000000</v>
      </c>
      <c r="RPS69" s="61">
        <f t="shared" si="1736"/>
        <v>-65000000</v>
      </c>
      <c r="RPT69" s="61">
        <f t="shared" si="1736"/>
        <v>-65000000</v>
      </c>
      <c r="RPU69" s="61">
        <f t="shared" si="1736"/>
        <v>-65000000</v>
      </c>
      <c r="RPV69" s="61">
        <f t="shared" si="1736"/>
        <v>-65000000</v>
      </c>
      <c r="RPW69" s="61">
        <f t="shared" si="1736"/>
        <v>-65000000</v>
      </c>
      <c r="RPX69" s="61">
        <f t="shared" si="1736"/>
        <v>-65000000</v>
      </c>
      <c r="RPY69" s="61">
        <f t="shared" si="1736"/>
        <v>-65000000</v>
      </c>
      <c r="RPZ69" s="61">
        <f t="shared" si="1736"/>
        <v>-65000000</v>
      </c>
      <c r="RQA69" s="61">
        <f t="shared" si="1736"/>
        <v>-65000000</v>
      </c>
      <c r="RQB69" s="61">
        <f t="shared" si="1736"/>
        <v>-65000000</v>
      </c>
      <c r="RQC69" s="61">
        <f t="shared" si="1736"/>
        <v>-65000000</v>
      </c>
      <c r="RQD69" s="61">
        <f t="shared" si="1736"/>
        <v>-65000000</v>
      </c>
      <c r="RQE69" s="61">
        <f t="shared" si="1736"/>
        <v>-65000000</v>
      </c>
      <c r="RQF69" s="61">
        <f t="shared" si="1736"/>
        <v>-65000000</v>
      </c>
      <c r="RQG69" s="61">
        <f t="shared" si="1736"/>
        <v>-65000000</v>
      </c>
      <c r="RQH69" s="61">
        <f t="shared" si="1736"/>
        <v>-65000000</v>
      </c>
      <c r="RQI69" s="61">
        <f t="shared" si="1736"/>
        <v>-65000000</v>
      </c>
      <c r="RQJ69" s="61">
        <f t="shared" si="1736"/>
        <v>-65000000</v>
      </c>
      <c r="RQK69" s="61">
        <f t="shared" si="1736"/>
        <v>-65000000</v>
      </c>
      <c r="RQL69" s="61">
        <f t="shared" si="1736"/>
        <v>-65000000</v>
      </c>
      <c r="RQM69" s="61">
        <f t="shared" si="1736"/>
        <v>-65000000</v>
      </c>
      <c r="RQN69" s="61">
        <f t="shared" si="1736"/>
        <v>-65000000</v>
      </c>
      <c r="RQO69" s="61">
        <f t="shared" si="1736"/>
        <v>-65000000</v>
      </c>
      <c r="RQP69" s="61">
        <f t="shared" si="1736"/>
        <v>-65000000</v>
      </c>
      <c r="RQQ69" s="61">
        <f t="shared" si="1736"/>
        <v>-65000000</v>
      </c>
      <c r="RQR69" s="61">
        <f t="shared" si="1736"/>
        <v>-65000000</v>
      </c>
      <c r="RQS69" s="61">
        <f t="shared" si="1736"/>
        <v>-65000000</v>
      </c>
      <c r="RQT69" s="61">
        <f t="shared" si="1736"/>
        <v>-65000000</v>
      </c>
      <c r="RQU69" s="61">
        <f t="shared" si="1736"/>
        <v>-65000000</v>
      </c>
      <c r="RQV69" s="61">
        <f t="shared" si="1736"/>
        <v>-65000000</v>
      </c>
      <c r="RQW69" s="61">
        <f t="shared" si="1736"/>
        <v>-65000000</v>
      </c>
      <c r="RQX69" s="61">
        <f t="shared" si="1736"/>
        <v>-65000000</v>
      </c>
      <c r="RQY69" s="61">
        <f t="shared" si="1736"/>
        <v>-65000000</v>
      </c>
      <c r="RQZ69" s="61">
        <f t="shared" si="1736"/>
        <v>-65000000</v>
      </c>
      <c r="RRA69" s="61">
        <f t="shared" si="1736"/>
        <v>-65000000</v>
      </c>
      <c r="RRB69" s="61">
        <f t="shared" si="1736"/>
        <v>-65000000</v>
      </c>
      <c r="RRC69" s="61">
        <f t="shared" ref="RRC69:RTN69" si="1737">RRC68-$EC$11-RRC11</f>
        <v>-65000000</v>
      </c>
      <c r="RRD69" s="61">
        <f t="shared" si="1737"/>
        <v>-65000000</v>
      </c>
      <c r="RRE69" s="61">
        <f t="shared" si="1737"/>
        <v>-65000000</v>
      </c>
      <c r="RRF69" s="61">
        <f t="shared" si="1737"/>
        <v>-65000000</v>
      </c>
      <c r="RRG69" s="61">
        <f t="shared" si="1737"/>
        <v>-65000000</v>
      </c>
      <c r="RRH69" s="61">
        <f t="shared" si="1737"/>
        <v>-65000000</v>
      </c>
      <c r="RRI69" s="61">
        <f t="shared" si="1737"/>
        <v>-65000000</v>
      </c>
      <c r="RRJ69" s="61">
        <f t="shared" si="1737"/>
        <v>-65000000</v>
      </c>
      <c r="RRK69" s="61">
        <f t="shared" si="1737"/>
        <v>-65000000</v>
      </c>
      <c r="RRL69" s="61">
        <f t="shared" si="1737"/>
        <v>-65000000</v>
      </c>
      <c r="RRM69" s="61">
        <f t="shared" si="1737"/>
        <v>-65000000</v>
      </c>
      <c r="RRN69" s="61">
        <f t="shared" si="1737"/>
        <v>-65000000</v>
      </c>
      <c r="RRO69" s="61">
        <f t="shared" si="1737"/>
        <v>-65000000</v>
      </c>
      <c r="RRP69" s="61">
        <f t="shared" si="1737"/>
        <v>-65000000</v>
      </c>
      <c r="RRQ69" s="61">
        <f t="shared" si="1737"/>
        <v>-65000000</v>
      </c>
      <c r="RRR69" s="61">
        <f t="shared" si="1737"/>
        <v>-65000000</v>
      </c>
      <c r="RRS69" s="61">
        <f t="shared" si="1737"/>
        <v>-65000000</v>
      </c>
      <c r="RRT69" s="61">
        <f t="shared" si="1737"/>
        <v>-65000000</v>
      </c>
      <c r="RRU69" s="61">
        <f t="shared" si="1737"/>
        <v>-65000000</v>
      </c>
      <c r="RRV69" s="61">
        <f t="shared" si="1737"/>
        <v>-65000000</v>
      </c>
      <c r="RRW69" s="61">
        <f t="shared" si="1737"/>
        <v>-65000000</v>
      </c>
      <c r="RRX69" s="61">
        <f t="shared" si="1737"/>
        <v>-65000000</v>
      </c>
      <c r="RRY69" s="61">
        <f t="shared" si="1737"/>
        <v>-65000000</v>
      </c>
      <c r="RRZ69" s="61">
        <f t="shared" si="1737"/>
        <v>-65000000</v>
      </c>
      <c r="RSA69" s="61">
        <f t="shared" si="1737"/>
        <v>-65000000</v>
      </c>
      <c r="RSB69" s="61">
        <f t="shared" si="1737"/>
        <v>-65000000</v>
      </c>
      <c r="RSC69" s="61">
        <f t="shared" si="1737"/>
        <v>-65000000</v>
      </c>
      <c r="RSD69" s="61">
        <f t="shared" si="1737"/>
        <v>-65000000</v>
      </c>
      <c r="RSE69" s="61">
        <f t="shared" si="1737"/>
        <v>-65000000</v>
      </c>
      <c r="RSF69" s="61">
        <f t="shared" si="1737"/>
        <v>-65000000</v>
      </c>
      <c r="RSG69" s="61">
        <f t="shared" si="1737"/>
        <v>-65000000</v>
      </c>
      <c r="RSH69" s="61">
        <f t="shared" si="1737"/>
        <v>-65000000</v>
      </c>
      <c r="RSI69" s="61">
        <f t="shared" si="1737"/>
        <v>-65000000</v>
      </c>
      <c r="RSJ69" s="61">
        <f t="shared" si="1737"/>
        <v>-65000000</v>
      </c>
      <c r="RSK69" s="61">
        <f t="shared" si="1737"/>
        <v>-65000000</v>
      </c>
      <c r="RSL69" s="61">
        <f t="shared" si="1737"/>
        <v>-65000000</v>
      </c>
      <c r="RSM69" s="61">
        <f t="shared" si="1737"/>
        <v>-65000000</v>
      </c>
      <c r="RSN69" s="61">
        <f t="shared" si="1737"/>
        <v>-65000000</v>
      </c>
      <c r="RSO69" s="61">
        <f t="shared" si="1737"/>
        <v>-65000000</v>
      </c>
      <c r="RSP69" s="61">
        <f t="shared" si="1737"/>
        <v>-65000000</v>
      </c>
      <c r="RSQ69" s="61">
        <f t="shared" si="1737"/>
        <v>-65000000</v>
      </c>
      <c r="RSR69" s="61">
        <f t="shared" si="1737"/>
        <v>-65000000</v>
      </c>
      <c r="RSS69" s="61">
        <f t="shared" si="1737"/>
        <v>-65000000</v>
      </c>
      <c r="RST69" s="61">
        <f t="shared" si="1737"/>
        <v>-65000000</v>
      </c>
      <c r="RSU69" s="61">
        <f t="shared" si="1737"/>
        <v>-65000000</v>
      </c>
      <c r="RSV69" s="61">
        <f t="shared" si="1737"/>
        <v>-65000000</v>
      </c>
      <c r="RSW69" s="61">
        <f t="shared" si="1737"/>
        <v>-65000000</v>
      </c>
      <c r="RSX69" s="61">
        <f t="shared" si="1737"/>
        <v>-65000000</v>
      </c>
      <c r="RSY69" s="61">
        <f t="shared" si="1737"/>
        <v>-65000000</v>
      </c>
      <c r="RSZ69" s="61">
        <f t="shared" si="1737"/>
        <v>-65000000</v>
      </c>
      <c r="RTA69" s="61">
        <f t="shared" si="1737"/>
        <v>-65000000</v>
      </c>
      <c r="RTB69" s="61">
        <f t="shared" si="1737"/>
        <v>-65000000</v>
      </c>
      <c r="RTC69" s="61">
        <f t="shared" si="1737"/>
        <v>-65000000</v>
      </c>
      <c r="RTD69" s="61">
        <f t="shared" si="1737"/>
        <v>-65000000</v>
      </c>
      <c r="RTE69" s="61">
        <f t="shared" si="1737"/>
        <v>-65000000</v>
      </c>
      <c r="RTF69" s="61">
        <f t="shared" si="1737"/>
        <v>-65000000</v>
      </c>
      <c r="RTG69" s="61">
        <f t="shared" si="1737"/>
        <v>-65000000</v>
      </c>
      <c r="RTH69" s="61">
        <f t="shared" si="1737"/>
        <v>-65000000</v>
      </c>
      <c r="RTI69" s="61">
        <f t="shared" si="1737"/>
        <v>-65000000</v>
      </c>
      <c r="RTJ69" s="61">
        <f t="shared" si="1737"/>
        <v>-65000000</v>
      </c>
      <c r="RTK69" s="61">
        <f t="shared" si="1737"/>
        <v>-65000000</v>
      </c>
      <c r="RTL69" s="61">
        <f t="shared" si="1737"/>
        <v>-65000000</v>
      </c>
      <c r="RTM69" s="61">
        <f t="shared" si="1737"/>
        <v>-65000000</v>
      </c>
      <c r="RTN69" s="61">
        <f t="shared" si="1737"/>
        <v>-65000000</v>
      </c>
      <c r="RTO69" s="61">
        <f t="shared" ref="RTO69:RVZ69" si="1738">RTO68-$EC$11-RTO11</f>
        <v>-65000000</v>
      </c>
      <c r="RTP69" s="61">
        <f t="shared" si="1738"/>
        <v>-65000000</v>
      </c>
      <c r="RTQ69" s="61">
        <f t="shared" si="1738"/>
        <v>-65000000</v>
      </c>
      <c r="RTR69" s="61">
        <f t="shared" si="1738"/>
        <v>-65000000</v>
      </c>
      <c r="RTS69" s="61">
        <f t="shared" si="1738"/>
        <v>-65000000</v>
      </c>
      <c r="RTT69" s="61">
        <f t="shared" si="1738"/>
        <v>-65000000</v>
      </c>
      <c r="RTU69" s="61">
        <f t="shared" si="1738"/>
        <v>-65000000</v>
      </c>
      <c r="RTV69" s="61">
        <f t="shared" si="1738"/>
        <v>-65000000</v>
      </c>
      <c r="RTW69" s="61">
        <f t="shared" si="1738"/>
        <v>-65000000</v>
      </c>
      <c r="RTX69" s="61">
        <f t="shared" si="1738"/>
        <v>-65000000</v>
      </c>
      <c r="RTY69" s="61">
        <f t="shared" si="1738"/>
        <v>-65000000</v>
      </c>
      <c r="RTZ69" s="61">
        <f t="shared" si="1738"/>
        <v>-65000000</v>
      </c>
      <c r="RUA69" s="61">
        <f t="shared" si="1738"/>
        <v>-65000000</v>
      </c>
      <c r="RUB69" s="61">
        <f t="shared" si="1738"/>
        <v>-65000000</v>
      </c>
      <c r="RUC69" s="61">
        <f t="shared" si="1738"/>
        <v>-65000000</v>
      </c>
      <c r="RUD69" s="61">
        <f t="shared" si="1738"/>
        <v>-65000000</v>
      </c>
      <c r="RUE69" s="61">
        <f t="shared" si="1738"/>
        <v>-65000000</v>
      </c>
      <c r="RUF69" s="61">
        <f t="shared" si="1738"/>
        <v>-65000000</v>
      </c>
      <c r="RUG69" s="61">
        <f t="shared" si="1738"/>
        <v>-65000000</v>
      </c>
      <c r="RUH69" s="61">
        <f t="shared" si="1738"/>
        <v>-65000000</v>
      </c>
      <c r="RUI69" s="61">
        <f t="shared" si="1738"/>
        <v>-65000000</v>
      </c>
      <c r="RUJ69" s="61">
        <f t="shared" si="1738"/>
        <v>-65000000</v>
      </c>
      <c r="RUK69" s="61">
        <f t="shared" si="1738"/>
        <v>-65000000</v>
      </c>
      <c r="RUL69" s="61">
        <f t="shared" si="1738"/>
        <v>-65000000</v>
      </c>
      <c r="RUM69" s="61">
        <f t="shared" si="1738"/>
        <v>-65000000</v>
      </c>
      <c r="RUN69" s="61">
        <f t="shared" si="1738"/>
        <v>-65000000</v>
      </c>
      <c r="RUO69" s="61">
        <f t="shared" si="1738"/>
        <v>-65000000</v>
      </c>
      <c r="RUP69" s="61">
        <f t="shared" si="1738"/>
        <v>-65000000</v>
      </c>
      <c r="RUQ69" s="61">
        <f t="shared" si="1738"/>
        <v>-65000000</v>
      </c>
      <c r="RUR69" s="61">
        <f t="shared" si="1738"/>
        <v>-65000000</v>
      </c>
      <c r="RUS69" s="61">
        <f t="shared" si="1738"/>
        <v>-65000000</v>
      </c>
      <c r="RUT69" s="61">
        <f t="shared" si="1738"/>
        <v>-65000000</v>
      </c>
      <c r="RUU69" s="61">
        <f t="shared" si="1738"/>
        <v>-65000000</v>
      </c>
      <c r="RUV69" s="61">
        <f t="shared" si="1738"/>
        <v>-65000000</v>
      </c>
      <c r="RUW69" s="61">
        <f t="shared" si="1738"/>
        <v>-65000000</v>
      </c>
      <c r="RUX69" s="61">
        <f t="shared" si="1738"/>
        <v>-65000000</v>
      </c>
      <c r="RUY69" s="61">
        <f t="shared" si="1738"/>
        <v>-65000000</v>
      </c>
      <c r="RUZ69" s="61">
        <f t="shared" si="1738"/>
        <v>-65000000</v>
      </c>
      <c r="RVA69" s="61">
        <f t="shared" si="1738"/>
        <v>-65000000</v>
      </c>
      <c r="RVB69" s="61">
        <f t="shared" si="1738"/>
        <v>-65000000</v>
      </c>
      <c r="RVC69" s="61">
        <f t="shared" si="1738"/>
        <v>-65000000</v>
      </c>
      <c r="RVD69" s="61">
        <f t="shared" si="1738"/>
        <v>-65000000</v>
      </c>
      <c r="RVE69" s="61">
        <f t="shared" si="1738"/>
        <v>-65000000</v>
      </c>
      <c r="RVF69" s="61">
        <f t="shared" si="1738"/>
        <v>-65000000</v>
      </c>
      <c r="RVG69" s="61">
        <f t="shared" si="1738"/>
        <v>-65000000</v>
      </c>
      <c r="RVH69" s="61">
        <f t="shared" si="1738"/>
        <v>-65000000</v>
      </c>
      <c r="RVI69" s="61">
        <f t="shared" si="1738"/>
        <v>-65000000</v>
      </c>
      <c r="RVJ69" s="61">
        <f t="shared" si="1738"/>
        <v>-65000000</v>
      </c>
      <c r="RVK69" s="61">
        <f t="shared" si="1738"/>
        <v>-65000000</v>
      </c>
      <c r="RVL69" s="61">
        <f t="shared" si="1738"/>
        <v>-65000000</v>
      </c>
      <c r="RVM69" s="61">
        <f t="shared" si="1738"/>
        <v>-65000000</v>
      </c>
      <c r="RVN69" s="61">
        <f t="shared" si="1738"/>
        <v>-65000000</v>
      </c>
      <c r="RVO69" s="61">
        <f t="shared" si="1738"/>
        <v>-65000000</v>
      </c>
      <c r="RVP69" s="61">
        <f t="shared" si="1738"/>
        <v>-65000000</v>
      </c>
      <c r="RVQ69" s="61">
        <f t="shared" si="1738"/>
        <v>-65000000</v>
      </c>
      <c r="RVR69" s="61">
        <f t="shared" si="1738"/>
        <v>-65000000</v>
      </c>
      <c r="RVS69" s="61">
        <f t="shared" si="1738"/>
        <v>-65000000</v>
      </c>
      <c r="RVT69" s="61">
        <f t="shared" si="1738"/>
        <v>-65000000</v>
      </c>
      <c r="RVU69" s="61">
        <f t="shared" si="1738"/>
        <v>-65000000</v>
      </c>
      <c r="RVV69" s="61">
        <f t="shared" si="1738"/>
        <v>-65000000</v>
      </c>
      <c r="RVW69" s="61">
        <f t="shared" si="1738"/>
        <v>-65000000</v>
      </c>
      <c r="RVX69" s="61">
        <f t="shared" si="1738"/>
        <v>-65000000</v>
      </c>
      <c r="RVY69" s="61">
        <f t="shared" si="1738"/>
        <v>-65000000</v>
      </c>
      <c r="RVZ69" s="61">
        <f t="shared" si="1738"/>
        <v>-65000000</v>
      </c>
      <c r="RWA69" s="61">
        <f t="shared" ref="RWA69:RYL69" si="1739">RWA68-$EC$11-RWA11</f>
        <v>-65000000</v>
      </c>
      <c r="RWB69" s="61">
        <f t="shared" si="1739"/>
        <v>-65000000</v>
      </c>
      <c r="RWC69" s="61">
        <f t="shared" si="1739"/>
        <v>-65000000</v>
      </c>
      <c r="RWD69" s="61">
        <f t="shared" si="1739"/>
        <v>-65000000</v>
      </c>
      <c r="RWE69" s="61">
        <f t="shared" si="1739"/>
        <v>-65000000</v>
      </c>
      <c r="RWF69" s="61">
        <f t="shared" si="1739"/>
        <v>-65000000</v>
      </c>
      <c r="RWG69" s="61">
        <f t="shared" si="1739"/>
        <v>-65000000</v>
      </c>
      <c r="RWH69" s="61">
        <f t="shared" si="1739"/>
        <v>-65000000</v>
      </c>
      <c r="RWI69" s="61">
        <f t="shared" si="1739"/>
        <v>-65000000</v>
      </c>
      <c r="RWJ69" s="61">
        <f t="shared" si="1739"/>
        <v>-65000000</v>
      </c>
      <c r="RWK69" s="61">
        <f t="shared" si="1739"/>
        <v>-65000000</v>
      </c>
      <c r="RWL69" s="61">
        <f t="shared" si="1739"/>
        <v>-65000000</v>
      </c>
      <c r="RWM69" s="61">
        <f t="shared" si="1739"/>
        <v>-65000000</v>
      </c>
      <c r="RWN69" s="61">
        <f t="shared" si="1739"/>
        <v>-65000000</v>
      </c>
      <c r="RWO69" s="61">
        <f t="shared" si="1739"/>
        <v>-65000000</v>
      </c>
      <c r="RWP69" s="61">
        <f t="shared" si="1739"/>
        <v>-65000000</v>
      </c>
      <c r="RWQ69" s="61">
        <f t="shared" si="1739"/>
        <v>-65000000</v>
      </c>
      <c r="RWR69" s="61">
        <f t="shared" si="1739"/>
        <v>-65000000</v>
      </c>
      <c r="RWS69" s="61">
        <f t="shared" si="1739"/>
        <v>-65000000</v>
      </c>
      <c r="RWT69" s="61">
        <f t="shared" si="1739"/>
        <v>-65000000</v>
      </c>
      <c r="RWU69" s="61">
        <f t="shared" si="1739"/>
        <v>-65000000</v>
      </c>
      <c r="RWV69" s="61">
        <f t="shared" si="1739"/>
        <v>-65000000</v>
      </c>
      <c r="RWW69" s="61">
        <f t="shared" si="1739"/>
        <v>-65000000</v>
      </c>
      <c r="RWX69" s="61">
        <f t="shared" si="1739"/>
        <v>-65000000</v>
      </c>
      <c r="RWY69" s="61">
        <f t="shared" si="1739"/>
        <v>-65000000</v>
      </c>
      <c r="RWZ69" s="61">
        <f t="shared" si="1739"/>
        <v>-65000000</v>
      </c>
      <c r="RXA69" s="61">
        <f t="shared" si="1739"/>
        <v>-65000000</v>
      </c>
      <c r="RXB69" s="61">
        <f t="shared" si="1739"/>
        <v>-65000000</v>
      </c>
      <c r="RXC69" s="61">
        <f t="shared" si="1739"/>
        <v>-65000000</v>
      </c>
      <c r="RXD69" s="61">
        <f t="shared" si="1739"/>
        <v>-65000000</v>
      </c>
      <c r="RXE69" s="61">
        <f t="shared" si="1739"/>
        <v>-65000000</v>
      </c>
      <c r="RXF69" s="61">
        <f t="shared" si="1739"/>
        <v>-65000000</v>
      </c>
      <c r="RXG69" s="61">
        <f t="shared" si="1739"/>
        <v>-65000000</v>
      </c>
      <c r="RXH69" s="61">
        <f t="shared" si="1739"/>
        <v>-65000000</v>
      </c>
      <c r="RXI69" s="61">
        <f t="shared" si="1739"/>
        <v>-65000000</v>
      </c>
      <c r="RXJ69" s="61">
        <f t="shared" si="1739"/>
        <v>-65000000</v>
      </c>
      <c r="RXK69" s="61">
        <f t="shared" si="1739"/>
        <v>-65000000</v>
      </c>
      <c r="RXL69" s="61">
        <f t="shared" si="1739"/>
        <v>-65000000</v>
      </c>
      <c r="RXM69" s="61">
        <f t="shared" si="1739"/>
        <v>-65000000</v>
      </c>
      <c r="RXN69" s="61">
        <f t="shared" si="1739"/>
        <v>-65000000</v>
      </c>
      <c r="RXO69" s="61">
        <f t="shared" si="1739"/>
        <v>-65000000</v>
      </c>
      <c r="RXP69" s="61">
        <f t="shared" si="1739"/>
        <v>-65000000</v>
      </c>
      <c r="RXQ69" s="61">
        <f t="shared" si="1739"/>
        <v>-65000000</v>
      </c>
      <c r="RXR69" s="61">
        <f t="shared" si="1739"/>
        <v>-65000000</v>
      </c>
      <c r="RXS69" s="61">
        <f t="shared" si="1739"/>
        <v>-65000000</v>
      </c>
      <c r="RXT69" s="61">
        <f t="shared" si="1739"/>
        <v>-65000000</v>
      </c>
      <c r="RXU69" s="61">
        <f t="shared" si="1739"/>
        <v>-65000000</v>
      </c>
      <c r="RXV69" s="61">
        <f t="shared" si="1739"/>
        <v>-65000000</v>
      </c>
      <c r="RXW69" s="61">
        <f t="shared" si="1739"/>
        <v>-65000000</v>
      </c>
      <c r="RXX69" s="61">
        <f t="shared" si="1739"/>
        <v>-65000000</v>
      </c>
      <c r="RXY69" s="61">
        <f t="shared" si="1739"/>
        <v>-65000000</v>
      </c>
      <c r="RXZ69" s="61">
        <f t="shared" si="1739"/>
        <v>-65000000</v>
      </c>
      <c r="RYA69" s="61">
        <f t="shared" si="1739"/>
        <v>-65000000</v>
      </c>
      <c r="RYB69" s="61">
        <f t="shared" si="1739"/>
        <v>-65000000</v>
      </c>
      <c r="RYC69" s="61">
        <f t="shared" si="1739"/>
        <v>-65000000</v>
      </c>
      <c r="RYD69" s="61">
        <f t="shared" si="1739"/>
        <v>-65000000</v>
      </c>
      <c r="RYE69" s="61">
        <f t="shared" si="1739"/>
        <v>-65000000</v>
      </c>
      <c r="RYF69" s="61">
        <f t="shared" si="1739"/>
        <v>-65000000</v>
      </c>
      <c r="RYG69" s="61">
        <f t="shared" si="1739"/>
        <v>-65000000</v>
      </c>
      <c r="RYH69" s="61">
        <f t="shared" si="1739"/>
        <v>-65000000</v>
      </c>
      <c r="RYI69" s="61">
        <f t="shared" si="1739"/>
        <v>-65000000</v>
      </c>
      <c r="RYJ69" s="61">
        <f t="shared" si="1739"/>
        <v>-65000000</v>
      </c>
      <c r="RYK69" s="61">
        <f t="shared" si="1739"/>
        <v>-65000000</v>
      </c>
      <c r="RYL69" s="61">
        <f t="shared" si="1739"/>
        <v>-65000000</v>
      </c>
      <c r="RYM69" s="61">
        <f t="shared" ref="RYM69:SAX69" si="1740">RYM68-$EC$11-RYM11</f>
        <v>-65000000</v>
      </c>
      <c r="RYN69" s="61">
        <f t="shared" si="1740"/>
        <v>-65000000</v>
      </c>
      <c r="RYO69" s="61">
        <f t="shared" si="1740"/>
        <v>-65000000</v>
      </c>
      <c r="RYP69" s="61">
        <f t="shared" si="1740"/>
        <v>-65000000</v>
      </c>
      <c r="RYQ69" s="61">
        <f t="shared" si="1740"/>
        <v>-65000000</v>
      </c>
      <c r="RYR69" s="61">
        <f t="shared" si="1740"/>
        <v>-65000000</v>
      </c>
      <c r="RYS69" s="61">
        <f t="shared" si="1740"/>
        <v>-65000000</v>
      </c>
      <c r="RYT69" s="61">
        <f t="shared" si="1740"/>
        <v>-65000000</v>
      </c>
      <c r="RYU69" s="61">
        <f t="shared" si="1740"/>
        <v>-65000000</v>
      </c>
      <c r="RYV69" s="61">
        <f t="shared" si="1740"/>
        <v>-65000000</v>
      </c>
      <c r="RYW69" s="61">
        <f t="shared" si="1740"/>
        <v>-65000000</v>
      </c>
      <c r="RYX69" s="61">
        <f t="shared" si="1740"/>
        <v>-65000000</v>
      </c>
      <c r="RYY69" s="61">
        <f t="shared" si="1740"/>
        <v>-65000000</v>
      </c>
      <c r="RYZ69" s="61">
        <f t="shared" si="1740"/>
        <v>-65000000</v>
      </c>
      <c r="RZA69" s="61">
        <f t="shared" si="1740"/>
        <v>-65000000</v>
      </c>
      <c r="RZB69" s="61">
        <f t="shared" si="1740"/>
        <v>-65000000</v>
      </c>
      <c r="RZC69" s="61">
        <f t="shared" si="1740"/>
        <v>-65000000</v>
      </c>
      <c r="RZD69" s="61">
        <f t="shared" si="1740"/>
        <v>-65000000</v>
      </c>
      <c r="RZE69" s="61">
        <f t="shared" si="1740"/>
        <v>-65000000</v>
      </c>
      <c r="RZF69" s="61">
        <f t="shared" si="1740"/>
        <v>-65000000</v>
      </c>
      <c r="RZG69" s="61">
        <f t="shared" si="1740"/>
        <v>-65000000</v>
      </c>
      <c r="RZH69" s="61">
        <f t="shared" si="1740"/>
        <v>-65000000</v>
      </c>
      <c r="RZI69" s="61">
        <f t="shared" si="1740"/>
        <v>-65000000</v>
      </c>
      <c r="RZJ69" s="61">
        <f t="shared" si="1740"/>
        <v>-65000000</v>
      </c>
      <c r="RZK69" s="61">
        <f t="shared" si="1740"/>
        <v>-65000000</v>
      </c>
      <c r="RZL69" s="61">
        <f t="shared" si="1740"/>
        <v>-65000000</v>
      </c>
      <c r="RZM69" s="61">
        <f t="shared" si="1740"/>
        <v>-65000000</v>
      </c>
      <c r="RZN69" s="61">
        <f t="shared" si="1740"/>
        <v>-65000000</v>
      </c>
      <c r="RZO69" s="61">
        <f t="shared" si="1740"/>
        <v>-65000000</v>
      </c>
      <c r="RZP69" s="61">
        <f t="shared" si="1740"/>
        <v>-65000000</v>
      </c>
      <c r="RZQ69" s="61">
        <f t="shared" si="1740"/>
        <v>-65000000</v>
      </c>
      <c r="RZR69" s="61">
        <f t="shared" si="1740"/>
        <v>-65000000</v>
      </c>
      <c r="RZS69" s="61">
        <f t="shared" si="1740"/>
        <v>-65000000</v>
      </c>
      <c r="RZT69" s="61">
        <f t="shared" si="1740"/>
        <v>-65000000</v>
      </c>
      <c r="RZU69" s="61">
        <f t="shared" si="1740"/>
        <v>-65000000</v>
      </c>
      <c r="RZV69" s="61">
        <f t="shared" si="1740"/>
        <v>-65000000</v>
      </c>
      <c r="RZW69" s="61">
        <f t="shared" si="1740"/>
        <v>-65000000</v>
      </c>
      <c r="RZX69" s="61">
        <f t="shared" si="1740"/>
        <v>-65000000</v>
      </c>
      <c r="RZY69" s="61">
        <f t="shared" si="1740"/>
        <v>-65000000</v>
      </c>
      <c r="RZZ69" s="61">
        <f t="shared" si="1740"/>
        <v>-65000000</v>
      </c>
      <c r="SAA69" s="61">
        <f t="shared" si="1740"/>
        <v>-65000000</v>
      </c>
      <c r="SAB69" s="61">
        <f t="shared" si="1740"/>
        <v>-65000000</v>
      </c>
      <c r="SAC69" s="61">
        <f t="shared" si="1740"/>
        <v>-65000000</v>
      </c>
      <c r="SAD69" s="61">
        <f t="shared" si="1740"/>
        <v>-65000000</v>
      </c>
      <c r="SAE69" s="61">
        <f t="shared" si="1740"/>
        <v>-65000000</v>
      </c>
      <c r="SAF69" s="61">
        <f t="shared" si="1740"/>
        <v>-65000000</v>
      </c>
      <c r="SAG69" s="61">
        <f t="shared" si="1740"/>
        <v>-65000000</v>
      </c>
      <c r="SAH69" s="61">
        <f t="shared" si="1740"/>
        <v>-65000000</v>
      </c>
      <c r="SAI69" s="61">
        <f t="shared" si="1740"/>
        <v>-65000000</v>
      </c>
      <c r="SAJ69" s="61">
        <f t="shared" si="1740"/>
        <v>-65000000</v>
      </c>
      <c r="SAK69" s="61">
        <f t="shared" si="1740"/>
        <v>-65000000</v>
      </c>
      <c r="SAL69" s="61">
        <f t="shared" si="1740"/>
        <v>-65000000</v>
      </c>
      <c r="SAM69" s="61">
        <f t="shared" si="1740"/>
        <v>-65000000</v>
      </c>
      <c r="SAN69" s="61">
        <f t="shared" si="1740"/>
        <v>-65000000</v>
      </c>
      <c r="SAO69" s="61">
        <f t="shared" si="1740"/>
        <v>-65000000</v>
      </c>
      <c r="SAP69" s="61">
        <f t="shared" si="1740"/>
        <v>-65000000</v>
      </c>
      <c r="SAQ69" s="61">
        <f t="shared" si="1740"/>
        <v>-65000000</v>
      </c>
      <c r="SAR69" s="61">
        <f t="shared" si="1740"/>
        <v>-65000000</v>
      </c>
      <c r="SAS69" s="61">
        <f t="shared" si="1740"/>
        <v>-65000000</v>
      </c>
      <c r="SAT69" s="61">
        <f t="shared" si="1740"/>
        <v>-65000000</v>
      </c>
      <c r="SAU69" s="61">
        <f t="shared" si="1740"/>
        <v>-65000000</v>
      </c>
      <c r="SAV69" s="61">
        <f t="shared" si="1740"/>
        <v>-65000000</v>
      </c>
      <c r="SAW69" s="61">
        <f t="shared" si="1740"/>
        <v>-65000000</v>
      </c>
      <c r="SAX69" s="61">
        <f t="shared" si="1740"/>
        <v>-65000000</v>
      </c>
      <c r="SAY69" s="61">
        <f t="shared" ref="SAY69:SDJ69" si="1741">SAY68-$EC$11-SAY11</f>
        <v>-65000000</v>
      </c>
      <c r="SAZ69" s="61">
        <f t="shared" si="1741"/>
        <v>-65000000</v>
      </c>
      <c r="SBA69" s="61">
        <f t="shared" si="1741"/>
        <v>-65000000</v>
      </c>
      <c r="SBB69" s="61">
        <f t="shared" si="1741"/>
        <v>-65000000</v>
      </c>
      <c r="SBC69" s="61">
        <f t="shared" si="1741"/>
        <v>-65000000</v>
      </c>
      <c r="SBD69" s="61">
        <f t="shared" si="1741"/>
        <v>-65000000</v>
      </c>
      <c r="SBE69" s="61">
        <f t="shared" si="1741"/>
        <v>-65000000</v>
      </c>
      <c r="SBF69" s="61">
        <f t="shared" si="1741"/>
        <v>-65000000</v>
      </c>
      <c r="SBG69" s="61">
        <f t="shared" si="1741"/>
        <v>-65000000</v>
      </c>
      <c r="SBH69" s="61">
        <f t="shared" si="1741"/>
        <v>-65000000</v>
      </c>
      <c r="SBI69" s="61">
        <f t="shared" si="1741"/>
        <v>-65000000</v>
      </c>
      <c r="SBJ69" s="61">
        <f t="shared" si="1741"/>
        <v>-65000000</v>
      </c>
      <c r="SBK69" s="61">
        <f t="shared" si="1741"/>
        <v>-65000000</v>
      </c>
      <c r="SBL69" s="61">
        <f t="shared" si="1741"/>
        <v>-65000000</v>
      </c>
      <c r="SBM69" s="61">
        <f t="shared" si="1741"/>
        <v>-65000000</v>
      </c>
      <c r="SBN69" s="61">
        <f t="shared" si="1741"/>
        <v>-65000000</v>
      </c>
      <c r="SBO69" s="61">
        <f t="shared" si="1741"/>
        <v>-65000000</v>
      </c>
      <c r="SBP69" s="61">
        <f t="shared" si="1741"/>
        <v>-65000000</v>
      </c>
      <c r="SBQ69" s="61">
        <f t="shared" si="1741"/>
        <v>-65000000</v>
      </c>
      <c r="SBR69" s="61">
        <f t="shared" si="1741"/>
        <v>-65000000</v>
      </c>
      <c r="SBS69" s="61">
        <f t="shared" si="1741"/>
        <v>-65000000</v>
      </c>
      <c r="SBT69" s="61">
        <f t="shared" si="1741"/>
        <v>-65000000</v>
      </c>
      <c r="SBU69" s="61">
        <f t="shared" si="1741"/>
        <v>-65000000</v>
      </c>
      <c r="SBV69" s="61">
        <f t="shared" si="1741"/>
        <v>-65000000</v>
      </c>
      <c r="SBW69" s="61">
        <f t="shared" si="1741"/>
        <v>-65000000</v>
      </c>
      <c r="SBX69" s="61">
        <f t="shared" si="1741"/>
        <v>-65000000</v>
      </c>
      <c r="SBY69" s="61">
        <f t="shared" si="1741"/>
        <v>-65000000</v>
      </c>
      <c r="SBZ69" s="61">
        <f t="shared" si="1741"/>
        <v>-65000000</v>
      </c>
      <c r="SCA69" s="61">
        <f t="shared" si="1741"/>
        <v>-65000000</v>
      </c>
      <c r="SCB69" s="61">
        <f t="shared" si="1741"/>
        <v>-65000000</v>
      </c>
      <c r="SCC69" s="61">
        <f t="shared" si="1741"/>
        <v>-65000000</v>
      </c>
      <c r="SCD69" s="61">
        <f t="shared" si="1741"/>
        <v>-65000000</v>
      </c>
      <c r="SCE69" s="61">
        <f t="shared" si="1741"/>
        <v>-65000000</v>
      </c>
      <c r="SCF69" s="61">
        <f t="shared" si="1741"/>
        <v>-65000000</v>
      </c>
      <c r="SCG69" s="61">
        <f t="shared" si="1741"/>
        <v>-65000000</v>
      </c>
      <c r="SCH69" s="61">
        <f t="shared" si="1741"/>
        <v>-65000000</v>
      </c>
      <c r="SCI69" s="61">
        <f t="shared" si="1741"/>
        <v>-65000000</v>
      </c>
      <c r="SCJ69" s="61">
        <f t="shared" si="1741"/>
        <v>-65000000</v>
      </c>
      <c r="SCK69" s="61">
        <f t="shared" si="1741"/>
        <v>-65000000</v>
      </c>
      <c r="SCL69" s="61">
        <f t="shared" si="1741"/>
        <v>-65000000</v>
      </c>
      <c r="SCM69" s="61">
        <f t="shared" si="1741"/>
        <v>-65000000</v>
      </c>
      <c r="SCN69" s="61">
        <f t="shared" si="1741"/>
        <v>-65000000</v>
      </c>
      <c r="SCO69" s="61">
        <f t="shared" si="1741"/>
        <v>-65000000</v>
      </c>
      <c r="SCP69" s="61">
        <f t="shared" si="1741"/>
        <v>-65000000</v>
      </c>
      <c r="SCQ69" s="61">
        <f t="shared" si="1741"/>
        <v>-65000000</v>
      </c>
      <c r="SCR69" s="61">
        <f t="shared" si="1741"/>
        <v>-65000000</v>
      </c>
      <c r="SCS69" s="61">
        <f t="shared" si="1741"/>
        <v>-65000000</v>
      </c>
      <c r="SCT69" s="61">
        <f t="shared" si="1741"/>
        <v>-65000000</v>
      </c>
      <c r="SCU69" s="61">
        <f t="shared" si="1741"/>
        <v>-65000000</v>
      </c>
      <c r="SCV69" s="61">
        <f t="shared" si="1741"/>
        <v>-65000000</v>
      </c>
      <c r="SCW69" s="61">
        <f t="shared" si="1741"/>
        <v>-65000000</v>
      </c>
      <c r="SCX69" s="61">
        <f t="shared" si="1741"/>
        <v>-65000000</v>
      </c>
      <c r="SCY69" s="61">
        <f t="shared" si="1741"/>
        <v>-65000000</v>
      </c>
      <c r="SCZ69" s="61">
        <f t="shared" si="1741"/>
        <v>-65000000</v>
      </c>
      <c r="SDA69" s="61">
        <f t="shared" si="1741"/>
        <v>-65000000</v>
      </c>
      <c r="SDB69" s="61">
        <f t="shared" si="1741"/>
        <v>-65000000</v>
      </c>
      <c r="SDC69" s="61">
        <f t="shared" si="1741"/>
        <v>-65000000</v>
      </c>
      <c r="SDD69" s="61">
        <f t="shared" si="1741"/>
        <v>-65000000</v>
      </c>
      <c r="SDE69" s="61">
        <f t="shared" si="1741"/>
        <v>-65000000</v>
      </c>
      <c r="SDF69" s="61">
        <f t="shared" si="1741"/>
        <v>-65000000</v>
      </c>
      <c r="SDG69" s="61">
        <f t="shared" si="1741"/>
        <v>-65000000</v>
      </c>
      <c r="SDH69" s="61">
        <f t="shared" si="1741"/>
        <v>-65000000</v>
      </c>
      <c r="SDI69" s="61">
        <f t="shared" si="1741"/>
        <v>-65000000</v>
      </c>
      <c r="SDJ69" s="61">
        <f t="shared" si="1741"/>
        <v>-65000000</v>
      </c>
      <c r="SDK69" s="61">
        <f t="shared" ref="SDK69:SFV69" si="1742">SDK68-$EC$11-SDK11</f>
        <v>-65000000</v>
      </c>
      <c r="SDL69" s="61">
        <f t="shared" si="1742"/>
        <v>-65000000</v>
      </c>
      <c r="SDM69" s="61">
        <f t="shared" si="1742"/>
        <v>-65000000</v>
      </c>
      <c r="SDN69" s="61">
        <f t="shared" si="1742"/>
        <v>-65000000</v>
      </c>
      <c r="SDO69" s="61">
        <f t="shared" si="1742"/>
        <v>-65000000</v>
      </c>
      <c r="SDP69" s="61">
        <f t="shared" si="1742"/>
        <v>-65000000</v>
      </c>
      <c r="SDQ69" s="61">
        <f t="shared" si="1742"/>
        <v>-65000000</v>
      </c>
      <c r="SDR69" s="61">
        <f t="shared" si="1742"/>
        <v>-65000000</v>
      </c>
      <c r="SDS69" s="61">
        <f t="shared" si="1742"/>
        <v>-65000000</v>
      </c>
      <c r="SDT69" s="61">
        <f t="shared" si="1742"/>
        <v>-65000000</v>
      </c>
      <c r="SDU69" s="61">
        <f t="shared" si="1742"/>
        <v>-65000000</v>
      </c>
      <c r="SDV69" s="61">
        <f t="shared" si="1742"/>
        <v>-65000000</v>
      </c>
      <c r="SDW69" s="61">
        <f t="shared" si="1742"/>
        <v>-65000000</v>
      </c>
      <c r="SDX69" s="61">
        <f t="shared" si="1742"/>
        <v>-65000000</v>
      </c>
      <c r="SDY69" s="61">
        <f t="shared" si="1742"/>
        <v>-65000000</v>
      </c>
      <c r="SDZ69" s="61">
        <f t="shared" si="1742"/>
        <v>-65000000</v>
      </c>
      <c r="SEA69" s="61">
        <f t="shared" si="1742"/>
        <v>-65000000</v>
      </c>
      <c r="SEB69" s="61">
        <f t="shared" si="1742"/>
        <v>-65000000</v>
      </c>
      <c r="SEC69" s="61">
        <f t="shared" si="1742"/>
        <v>-65000000</v>
      </c>
      <c r="SED69" s="61">
        <f t="shared" si="1742"/>
        <v>-65000000</v>
      </c>
      <c r="SEE69" s="61">
        <f t="shared" si="1742"/>
        <v>-65000000</v>
      </c>
      <c r="SEF69" s="61">
        <f t="shared" si="1742"/>
        <v>-65000000</v>
      </c>
      <c r="SEG69" s="61">
        <f t="shared" si="1742"/>
        <v>-65000000</v>
      </c>
      <c r="SEH69" s="61">
        <f t="shared" si="1742"/>
        <v>-65000000</v>
      </c>
      <c r="SEI69" s="61">
        <f t="shared" si="1742"/>
        <v>-65000000</v>
      </c>
      <c r="SEJ69" s="61">
        <f t="shared" si="1742"/>
        <v>-65000000</v>
      </c>
      <c r="SEK69" s="61">
        <f t="shared" si="1742"/>
        <v>-65000000</v>
      </c>
      <c r="SEL69" s="61">
        <f t="shared" si="1742"/>
        <v>-65000000</v>
      </c>
      <c r="SEM69" s="61">
        <f t="shared" si="1742"/>
        <v>-65000000</v>
      </c>
      <c r="SEN69" s="61">
        <f t="shared" si="1742"/>
        <v>-65000000</v>
      </c>
      <c r="SEO69" s="61">
        <f t="shared" si="1742"/>
        <v>-65000000</v>
      </c>
      <c r="SEP69" s="61">
        <f t="shared" si="1742"/>
        <v>-65000000</v>
      </c>
      <c r="SEQ69" s="61">
        <f t="shared" si="1742"/>
        <v>-65000000</v>
      </c>
      <c r="SER69" s="61">
        <f t="shared" si="1742"/>
        <v>-65000000</v>
      </c>
      <c r="SES69" s="61">
        <f t="shared" si="1742"/>
        <v>-65000000</v>
      </c>
      <c r="SET69" s="61">
        <f t="shared" si="1742"/>
        <v>-65000000</v>
      </c>
      <c r="SEU69" s="61">
        <f t="shared" si="1742"/>
        <v>-65000000</v>
      </c>
      <c r="SEV69" s="61">
        <f t="shared" si="1742"/>
        <v>-65000000</v>
      </c>
      <c r="SEW69" s="61">
        <f t="shared" si="1742"/>
        <v>-65000000</v>
      </c>
      <c r="SEX69" s="61">
        <f t="shared" si="1742"/>
        <v>-65000000</v>
      </c>
      <c r="SEY69" s="61">
        <f t="shared" si="1742"/>
        <v>-65000000</v>
      </c>
      <c r="SEZ69" s="61">
        <f t="shared" si="1742"/>
        <v>-65000000</v>
      </c>
      <c r="SFA69" s="61">
        <f t="shared" si="1742"/>
        <v>-65000000</v>
      </c>
      <c r="SFB69" s="61">
        <f t="shared" si="1742"/>
        <v>-65000000</v>
      </c>
      <c r="SFC69" s="61">
        <f t="shared" si="1742"/>
        <v>-65000000</v>
      </c>
      <c r="SFD69" s="61">
        <f t="shared" si="1742"/>
        <v>-65000000</v>
      </c>
      <c r="SFE69" s="61">
        <f t="shared" si="1742"/>
        <v>-65000000</v>
      </c>
      <c r="SFF69" s="61">
        <f t="shared" si="1742"/>
        <v>-65000000</v>
      </c>
      <c r="SFG69" s="61">
        <f t="shared" si="1742"/>
        <v>-65000000</v>
      </c>
      <c r="SFH69" s="61">
        <f t="shared" si="1742"/>
        <v>-65000000</v>
      </c>
      <c r="SFI69" s="61">
        <f t="shared" si="1742"/>
        <v>-65000000</v>
      </c>
      <c r="SFJ69" s="61">
        <f t="shared" si="1742"/>
        <v>-65000000</v>
      </c>
      <c r="SFK69" s="61">
        <f t="shared" si="1742"/>
        <v>-65000000</v>
      </c>
      <c r="SFL69" s="61">
        <f t="shared" si="1742"/>
        <v>-65000000</v>
      </c>
      <c r="SFM69" s="61">
        <f t="shared" si="1742"/>
        <v>-65000000</v>
      </c>
      <c r="SFN69" s="61">
        <f t="shared" si="1742"/>
        <v>-65000000</v>
      </c>
      <c r="SFO69" s="61">
        <f t="shared" si="1742"/>
        <v>-65000000</v>
      </c>
      <c r="SFP69" s="61">
        <f t="shared" si="1742"/>
        <v>-65000000</v>
      </c>
      <c r="SFQ69" s="61">
        <f t="shared" si="1742"/>
        <v>-65000000</v>
      </c>
      <c r="SFR69" s="61">
        <f t="shared" si="1742"/>
        <v>-65000000</v>
      </c>
      <c r="SFS69" s="61">
        <f t="shared" si="1742"/>
        <v>-65000000</v>
      </c>
      <c r="SFT69" s="61">
        <f t="shared" si="1742"/>
        <v>-65000000</v>
      </c>
      <c r="SFU69" s="61">
        <f t="shared" si="1742"/>
        <v>-65000000</v>
      </c>
      <c r="SFV69" s="61">
        <f t="shared" si="1742"/>
        <v>-65000000</v>
      </c>
      <c r="SFW69" s="61">
        <f t="shared" ref="SFW69:SIH69" si="1743">SFW68-$EC$11-SFW11</f>
        <v>-65000000</v>
      </c>
      <c r="SFX69" s="61">
        <f t="shared" si="1743"/>
        <v>-65000000</v>
      </c>
      <c r="SFY69" s="61">
        <f t="shared" si="1743"/>
        <v>-65000000</v>
      </c>
      <c r="SFZ69" s="61">
        <f t="shared" si="1743"/>
        <v>-65000000</v>
      </c>
      <c r="SGA69" s="61">
        <f t="shared" si="1743"/>
        <v>-65000000</v>
      </c>
      <c r="SGB69" s="61">
        <f t="shared" si="1743"/>
        <v>-65000000</v>
      </c>
      <c r="SGC69" s="61">
        <f t="shared" si="1743"/>
        <v>-65000000</v>
      </c>
      <c r="SGD69" s="61">
        <f t="shared" si="1743"/>
        <v>-65000000</v>
      </c>
      <c r="SGE69" s="61">
        <f t="shared" si="1743"/>
        <v>-65000000</v>
      </c>
      <c r="SGF69" s="61">
        <f t="shared" si="1743"/>
        <v>-65000000</v>
      </c>
      <c r="SGG69" s="61">
        <f t="shared" si="1743"/>
        <v>-65000000</v>
      </c>
      <c r="SGH69" s="61">
        <f t="shared" si="1743"/>
        <v>-65000000</v>
      </c>
      <c r="SGI69" s="61">
        <f t="shared" si="1743"/>
        <v>-65000000</v>
      </c>
      <c r="SGJ69" s="61">
        <f t="shared" si="1743"/>
        <v>-65000000</v>
      </c>
      <c r="SGK69" s="61">
        <f t="shared" si="1743"/>
        <v>-65000000</v>
      </c>
      <c r="SGL69" s="61">
        <f t="shared" si="1743"/>
        <v>-65000000</v>
      </c>
      <c r="SGM69" s="61">
        <f t="shared" si="1743"/>
        <v>-65000000</v>
      </c>
      <c r="SGN69" s="61">
        <f t="shared" si="1743"/>
        <v>-65000000</v>
      </c>
      <c r="SGO69" s="61">
        <f t="shared" si="1743"/>
        <v>-65000000</v>
      </c>
      <c r="SGP69" s="61">
        <f t="shared" si="1743"/>
        <v>-65000000</v>
      </c>
      <c r="SGQ69" s="61">
        <f t="shared" si="1743"/>
        <v>-65000000</v>
      </c>
      <c r="SGR69" s="61">
        <f t="shared" si="1743"/>
        <v>-65000000</v>
      </c>
      <c r="SGS69" s="61">
        <f t="shared" si="1743"/>
        <v>-65000000</v>
      </c>
      <c r="SGT69" s="61">
        <f t="shared" si="1743"/>
        <v>-65000000</v>
      </c>
      <c r="SGU69" s="61">
        <f t="shared" si="1743"/>
        <v>-65000000</v>
      </c>
      <c r="SGV69" s="61">
        <f t="shared" si="1743"/>
        <v>-65000000</v>
      </c>
      <c r="SGW69" s="61">
        <f t="shared" si="1743"/>
        <v>-65000000</v>
      </c>
      <c r="SGX69" s="61">
        <f t="shared" si="1743"/>
        <v>-65000000</v>
      </c>
      <c r="SGY69" s="61">
        <f t="shared" si="1743"/>
        <v>-65000000</v>
      </c>
      <c r="SGZ69" s="61">
        <f t="shared" si="1743"/>
        <v>-65000000</v>
      </c>
      <c r="SHA69" s="61">
        <f t="shared" si="1743"/>
        <v>-65000000</v>
      </c>
      <c r="SHB69" s="61">
        <f t="shared" si="1743"/>
        <v>-65000000</v>
      </c>
      <c r="SHC69" s="61">
        <f t="shared" si="1743"/>
        <v>-65000000</v>
      </c>
      <c r="SHD69" s="61">
        <f t="shared" si="1743"/>
        <v>-65000000</v>
      </c>
      <c r="SHE69" s="61">
        <f t="shared" si="1743"/>
        <v>-65000000</v>
      </c>
      <c r="SHF69" s="61">
        <f t="shared" si="1743"/>
        <v>-65000000</v>
      </c>
      <c r="SHG69" s="61">
        <f t="shared" si="1743"/>
        <v>-65000000</v>
      </c>
      <c r="SHH69" s="61">
        <f t="shared" si="1743"/>
        <v>-65000000</v>
      </c>
      <c r="SHI69" s="61">
        <f t="shared" si="1743"/>
        <v>-65000000</v>
      </c>
      <c r="SHJ69" s="61">
        <f t="shared" si="1743"/>
        <v>-65000000</v>
      </c>
      <c r="SHK69" s="61">
        <f t="shared" si="1743"/>
        <v>-65000000</v>
      </c>
      <c r="SHL69" s="61">
        <f t="shared" si="1743"/>
        <v>-65000000</v>
      </c>
      <c r="SHM69" s="61">
        <f t="shared" si="1743"/>
        <v>-65000000</v>
      </c>
      <c r="SHN69" s="61">
        <f t="shared" si="1743"/>
        <v>-65000000</v>
      </c>
      <c r="SHO69" s="61">
        <f t="shared" si="1743"/>
        <v>-65000000</v>
      </c>
      <c r="SHP69" s="61">
        <f t="shared" si="1743"/>
        <v>-65000000</v>
      </c>
      <c r="SHQ69" s="61">
        <f t="shared" si="1743"/>
        <v>-65000000</v>
      </c>
      <c r="SHR69" s="61">
        <f t="shared" si="1743"/>
        <v>-65000000</v>
      </c>
      <c r="SHS69" s="61">
        <f t="shared" si="1743"/>
        <v>-65000000</v>
      </c>
      <c r="SHT69" s="61">
        <f t="shared" si="1743"/>
        <v>-65000000</v>
      </c>
      <c r="SHU69" s="61">
        <f t="shared" si="1743"/>
        <v>-65000000</v>
      </c>
      <c r="SHV69" s="61">
        <f t="shared" si="1743"/>
        <v>-65000000</v>
      </c>
      <c r="SHW69" s="61">
        <f t="shared" si="1743"/>
        <v>-65000000</v>
      </c>
      <c r="SHX69" s="61">
        <f t="shared" si="1743"/>
        <v>-65000000</v>
      </c>
      <c r="SHY69" s="61">
        <f t="shared" si="1743"/>
        <v>-65000000</v>
      </c>
      <c r="SHZ69" s="61">
        <f t="shared" si="1743"/>
        <v>-65000000</v>
      </c>
      <c r="SIA69" s="61">
        <f t="shared" si="1743"/>
        <v>-65000000</v>
      </c>
      <c r="SIB69" s="61">
        <f t="shared" si="1743"/>
        <v>-65000000</v>
      </c>
      <c r="SIC69" s="61">
        <f t="shared" si="1743"/>
        <v>-65000000</v>
      </c>
      <c r="SID69" s="61">
        <f t="shared" si="1743"/>
        <v>-65000000</v>
      </c>
      <c r="SIE69" s="61">
        <f t="shared" si="1743"/>
        <v>-65000000</v>
      </c>
      <c r="SIF69" s="61">
        <f t="shared" si="1743"/>
        <v>-65000000</v>
      </c>
      <c r="SIG69" s="61">
        <f t="shared" si="1743"/>
        <v>-65000000</v>
      </c>
      <c r="SIH69" s="61">
        <f t="shared" si="1743"/>
        <v>-65000000</v>
      </c>
      <c r="SII69" s="61">
        <f t="shared" ref="SII69:SKT69" si="1744">SII68-$EC$11-SII11</f>
        <v>-65000000</v>
      </c>
      <c r="SIJ69" s="61">
        <f t="shared" si="1744"/>
        <v>-65000000</v>
      </c>
      <c r="SIK69" s="61">
        <f t="shared" si="1744"/>
        <v>-65000000</v>
      </c>
      <c r="SIL69" s="61">
        <f t="shared" si="1744"/>
        <v>-65000000</v>
      </c>
      <c r="SIM69" s="61">
        <f t="shared" si="1744"/>
        <v>-65000000</v>
      </c>
      <c r="SIN69" s="61">
        <f t="shared" si="1744"/>
        <v>-65000000</v>
      </c>
      <c r="SIO69" s="61">
        <f t="shared" si="1744"/>
        <v>-65000000</v>
      </c>
      <c r="SIP69" s="61">
        <f t="shared" si="1744"/>
        <v>-65000000</v>
      </c>
      <c r="SIQ69" s="61">
        <f t="shared" si="1744"/>
        <v>-65000000</v>
      </c>
      <c r="SIR69" s="61">
        <f t="shared" si="1744"/>
        <v>-65000000</v>
      </c>
      <c r="SIS69" s="61">
        <f t="shared" si="1744"/>
        <v>-65000000</v>
      </c>
      <c r="SIT69" s="61">
        <f t="shared" si="1744"/>
        <v>-65000000</v>
      </c>
      <c r="SIU69" s="61">
        <f t="shared" si="1744"/>
        <v>-65000000</v>
      </c>
      <c r="SIV69" s="61">
        <f t="shared" si="1744"/>
        <v>-65000000</v>
      </c>
      <c r="SIW69" s="61">
        <f t="shared" si="1744"/>
        <v>-65000000</v>
      </c>
      <c r="SIX69" s="61">
        <f t="shared" si="1744"/>
        <v>-65000000</v>
      </c>
      <c r="SIY69" s="61">
        <f t="shared" si="1744"/>
        <v>-65000000</v>
      </c>
      <c r="SIZ69" s="61">
        <f t="shared" si="1744"/>
        <v>-65000000</v>
      </c>
      <c r="SJA69" s="61">
        <f t="shared" si="1744"/>
        <v>-65000000</v>
      </c>
      <c r="SJB69" s="61">
        <f t="shared" si="1744"/>
        <v>-65000000</v>
      </c>
      <c r="SJC69" s="61">
        <f t="shared" si="1744"/>
        <v>-65000000</v>
      </c>
      <c r="SJD69" s="61">
        <f t="shared" si="1744"/>
        <v>-65000000</v>
      </c>
      <c r="SJE69" s="61">
        <f t="shared" si="1744"/>
        <v>-65000000</v>
      </c>
      <c r="SJF69" s="61">
        <f t="shared" si="1744"/>
        <v>-65000000</v>
      </c>
      <c r="SJG69" s="61">
        <f t="shared" si="1744"/>
        <v>-65000000</v>
      </c>
      <c r="SJH69" s="61">
        <f t="shared" si="1744"/>
        <v>-65000000</v>
      </c>
      <c r="SJI69" s="61">
        <f t="shared" si="1744"/>
        <v>-65000000</v>
      </c>
      <c r="SJJ69" s="61">
        <f t="shared" si="1744"/>
        <v>-65000000</v>
      </c>
      <c r="SJK69" s="61">
        <f t="shared" si="1744"/>
        <v>-65000000</v>
      </c>
      <c r="SJL69" s="61">
        <f t="shared" si="1744"/>
        <v>-65000000</v>
      </c>
      <c r="SJM69" s="61">
        <f t="shared" si="1744"/>
        <v>-65000000</v>
      </c>
      <c r="SJN69" s="61">
        <f t="shared" si="1744"/>
        <v>-65000000</v>
      </c>
      <c r="SJO69" s="61">
        <f t="shared" si="1744"/>
        <v>-65000000</v>
      </c>
      <c r="SJP69" s="61">
        <f t="shared" si="1744"/>
        <v>-65000000</v>
      </c>
      <c r="SJQ69" s="61">
        <f t="shared" si="1744"/>
        <v>-65000000</v>
      </c>
      <c r="SJR69" s="61">
        <f t="shared" si="1744"/>
        <v>-65000000</v>
      </c>
      <c r="SJS69" s="61">
        <f t="shared" si="1744"/>
        <v>-65000000</v>
      </c>
      <c r="SJT69" s="61">
        <f t="shared" si="1744"/>
        <v>-65000000</v>
      </c>
      <c r="SJU69" s="61">
        <f t="shared" si="1744"/>
        <v>-65000000</v>
      </c>
      <c r="SJV69" s="61">
        <f t="shared" si="1744"/>
        <v>-65000000</v>
      </c>
      <c r="SJW69" s="61">
        <f t="shared" si="1744"/>
        <v>-65000000</v>
      </c>
      <c r="SJX69" s="61">
        <f t="shared" si="1744"/>
        <v>-65000000</v>
      </c>
      <c r="SJY69" s="61">
        <f t="shared" si="1744"/>
        <v>-65000000</v>
      </c>
      <c r="SJZ69" s="61">
        <f t="shared" si="1744"/>
        <v>-65000000</v>
      </c>
      <c r="SKA69" s="61">
        <f t="shared" si="1744"/>
        <v>-65000000</v>
      </c>
      <c r="SKB69" s="61">
        <f t="shared" si="1744"/>
        <v>-65000000</v>
      </c>
      <c r="SKC69" s="61">
        <f t="shared" si="1744"/>
        <v>-65000000</v>
      </c>
      <c r="SKD69" s="61">
        <f t="shared" si="1744"/>
        <v>-65000000</v>
      </c>
      <c r="SKE69" s="61">
        <f t="shared" si="1744"/>
        <v>-65000000</v>
      </c>
      <c r="SKF69" s="61">
        <f t="shared" si="1744"/>
        <v>-65000000</v>
      </c>
      <c r="SKG69" s="61">
        <f t="shared" si="1744"/>
        <v>-65000000</v>
      </c>
      <c r="SKH69" s="61">
        <f t="shared" si="1744"/>
        <v>-65000000</v>
      </c>
      <c r="SKI69" s="61">
        <f t="shared" si="1744"/>
        <v>-65000000</v>
      </c>
      <c r="SKJ69" s="61">
        <f t="shared" si="1744"/>
        <v>-65000000</v>
      </c>
      <c r="SKK69" s="61">
        <f t="shared" si="1744"/>
        <v>-65000000</v>
      </c>
      <c r="SKL69" s="61">
        <f t="shared" si="1744"/>
        <v>-65000000</v>
      </c>
      <c r="SKM69" s="61">
        <f t="shared" si="1744"/>
        <v>-65000000</v>
      </c>
      <c r="SKN69" s="61">
        <f t="shared" si="1744"/>
        <v>-65000000</v>
      </c>
      <c r="SKO69" s="61">
        <f t="shared" si="1744"/>
        <v>-65000000</v>
      </c>
      <c r="SKP69" s="61">
        <f t="shared" si="1744"/>
        <v>-65000000</v>
      </c>
      <c r="SKQ69" s="61">
        <f t="shared" si="1744"/>
        <v>-65000000</v>
      </c>
      <c r="SKR69" s="61">
        <f t="shared" si="1744"/>
        <v>-65000000</v>
      </c>
      <c r="SKS69" s="61">
        <f t="shared" si="1744"/>
        <v>-65000000</v>
      </c>
      <c r="SKT69" s="61">
        <f t="shared" si="1744"/>
        <v>-65000000</v>
      </c>
      <c r="SKU69" s="61">
        <f t="shared" ref="SKU69:SNF69" si="1745">SKU68-$EC$11-SKU11</f>
        <v>-65000000</v>
      </c>
      <c r="SKV69" s="61">
        <f t="shared" si="1745"/>
        <v>-65000000</v>
      </c>
      <c r="SKW69" s="61">
        <f t="shared" si="1745"/>
        <v>-65000000</v>
      </c>
      <c r="SKX69" s="61">
        <f t="shared" si="1745"/>
        <v>-65000000</v>
      </c>
      <c r="SKY69" s="61">
        <f t="shared" si="1745"/>
        <v>-65000000</v>
      </c>
      <c r="SKZ69" s="61">
        <f t="shared" si="1745"/>
        <v>-65000000</v>
      </c>
      <c r="SLA69" s="61">
        <f t="shared" si="1745"/>
        <v>-65000000</v>
      </c>
      <c r="SLB69" s="61">
        <f t="shared" si="1745"/>
        <v>-65000000</v>
      </c>
      <c r="SLC69" s="61">
        <f t="shared" si="1745"/>
        <v>-65000000</v>
      </c>
      <c r="SLD69" s="61">
        <f t="shared" si="1745"/>
        <v>-65000000</v>
      </c>
      <c r="SLE69" s="61">
        <f t="shared" si="1745"/>
        <v>-65000000</v>
      </c>
      <c r="SLF69" s="61">
        <f t="shared" si="1745"/>
        <v>-65000000</v>
      </c>
      <c r="SLG69" s="61">
        <f t="shared" si="1745"/>
        <v>-65000000</v>
      </c>
      <c r="SLH69" s="61">
        <f t="shared" si="1745"/>
        <v>-65000000</v>
      </c>
      <c r="SLI69" s="61">
        <f t="shared" si="1745"/>
        <v>-65000000</v>
      </c>
      <c r="SLJ69" s="61">
        <f t="shared" si="1745"/>
        <v>-65000000</v>
      </c>
      <c r="SLK69" s="61">
        <f t="shared" si="1745"/>
        <v>-65000000</v>
      </c>
      <c r="SLL69" s="61">
        <f t="shared" si="1745"/>
        <v>-65000000</v>
      </c>
      <c r="SLM69" s="61">
        <f t="shared" si="1745"/>
        <v>-65000000</v>
      </c>
      <c r="SLN69" s="61">
        <f t="shared" si="1745"/>
        <v>-65000000</v>
      </c>
      <c r="SLO69" s="61">
        <f t="shared" si="1745"/>
        <v>-65000000</v>
      </c>
      <c r="SLP69" s="61">
        <f t="shared" si="1745"/>
        <v>-65000000</v>
      </c>
      <c r="SLQ69" s="61">
        <f t="shared" si="1745"/>
        <v>-65000000</v>
      </c>
      <c r="SLR69" s="61">
        <f t="shared" si="1745"/>
        <v>-65000000</v>
      </c>
      <c r="SLS69" s="61">
        <f t="shared" si="1745"/>
        <v>-65000000</v>
      </c>
      <c r="SLT69" s="61">
        <f t="shared" si="1745"/>
        <v>-65000000</v>
      </c>
      <c r="SLU69" s="61">
        <f t="shared" si="1745"/>
        <v>-65000000</v>
      </c>
      <c r="SLV69" s="61">
        <f t="shared" si="1745"/>
        <v>-65000000</v>
      </c>
      <c r="SLW69" s="61">
        <f t="shared" si="1745"/>
        <v>-65000000</v>
      </c>
      <c r="SLX69" s="61">
        <f t="shared" si="1745"/>
        <v>-65000000</v>
      </c>
      <c r="SLY69" s="61">
        <f t="shared" si="1745"/>
        <v>-65000000</v>
      </c>
      <c r="SLZ69" s="61">
        <f t="shared" si="1745"/>
        <v>-65000000</v>
      </c>
      <c r="SMA69" s="61">
        <f t="shared" si="1745"/>
        <v>-65000000</v>
      </c>
      <c r="SMB69" s="61">
        <f t="shared" si="1745"/>
        <v>-65000000</v>
      </c>
      <c r="SMC69" s="61">
        <f t="shared" si="1745"/>
        <v>-65000000</v>
      </c>
      <c r="SMD69" s="61">
        <f t="shared" si="1745"/>
        <v>-65000000</v>
      </c>
      <c r="SME69" s="61">
        <f t="shared" si="1745"/>
        <v>-65000000</v>
      </c>
      <c r="SMF69" s="61">
        <f t="shared" si="1745"/>
        <v>-65000000</v>
      </c>
      <c r="SMG69" s="61">
        <f t="shared" si="1745"/>
        <v>-65000000</v>
      </c>
      <c r="SMH69" s="61">
        <f t="shared" si="1745"/>
        <v>-65000000</v>
      </c>
      <c r="SMI69" s="61">
        <f t="shared" si="1745"/>
        <v>-65000000</v>
      </c>
      <c r="SMJ69" s="61">
        <f t="shared" si="1745"/>
        <v>-65000000</v>
      </c>
      <c r="SMK69" s="61">
        <f t="shared" si="1745"/>
        <v>-65000000</v>
      </c>
      <c r="SML69" s="61">
        <f t="shared" si="1745"/>
        <v>-65000000</v>
      </c>
      <c r="SMM69" s="61">
        <f t="shared" si="1745"/>
        <v>-65000000</v>
      </c>
      <c r="SMN69" s="61">
        <f t="shared" si="1745"/>
        <v>-65000000</v>
      </c>
      <c r="SMO69" s="61">
        <f t="shared" si="1745"/>
        <v>-65000000</v>
      </c>
      <c r="SMP69" s="61">
        <f t="shared" si="1745"/>
        <v>-65000000</v>
      </c>
      <c r="SMQ69" s="61">
        <f t="shared" si="1745"/>
        <v>-65000000</v>
      </c>
      <c r="SMR69" s="61">
        <f t="shared" si="1745"/>
        <v>-65000000</v>
      </c>
      <c r="SMS69" s="61">
        <f t="shared" si="1745"/>
        <v>-65000000</v>
      </c>
      <c r="SMT69" s="61">
        <f t="shared" si="1745"/>
        <v>-65000000</v>
      </c>
      <c r="SMU69" s="61">
        <f t="shared" si="1745"/>
        <v>-65000000</v>
      </c>
      <c r="SMV69" s="61">
        <f t="shared" si="1745"/>
        <v>-65000000</v>
      </c>
      <c r="SMW69" s="61">
        <f t="shared" si="1745"/>
        <v>-65000000</v>
      </c>
      <c r="SMX69" s="61">
        <f t="shared" si="1745"/>
        <v>-65000000</v>
      </c>
      <c r="SMY69" s="61">
        <f t="shared" si="1745"/>
        <v>-65000000</v>
      </c>
      <c r="SMZ69" s="61">
        <f t="shared" si="1745"/>
        <v>-65000000</v>
      </c>
      <c r="SNA69" s="61">
        <f t="shared" si="1745"/>
        <v>-65000000</v>
      </c>
      <c r="SNB69" s="61">
        <f t="shared" si="1745"/>
        <v>-65000000</v>
      </c>
      <c r="SNC69" s="61">
        <f t="shared" si="1745"/>
        <v>-65000000</v>
      </c>
      <c r="SND69" s="61">
        <f t="shared" si="1745"/>
        <v>-65000000</v>
      </c>
      <c r="SNE69" s="61">
        <f t="shared" si="1745"/>
        <v>-65000000</v>
      </c>
      <c r="SNF69" s="61">
        <f t="shared" si="1745"/>
        <v>-65000000</v>
      </c>
      <c r="SNG69" s="61">
        <f t="shared" ref="SNG69:SPR69" si="1746">SNG68-$EC$11-SNG11</f>
        <v>-65000000</v>
      </c>
      <c r="SNH69" s="61">
        <f t="shared" si="1746"/>
        <v>-65000000</v>
      </c>
      <c r="SNI69" s="61">
        <f t="shared" si="1746"/>
        <v>-65000000</v>
      </c>
      <c r="SNJ69" s="61">
        <f t="shared" si="1746"/>
        <v>-65000000</v>
      </c>
      <c r="SNK69" s="61">
        <f t="shared" si="1746"/>
        <v>-65000000</v>
      </c>
      <c r="SNL69" s="61">
        <f t="shared" si="1746"/>
        <v>-65000000</v>
      </c>
      <c r="SNM69" s="61">
        <f t="shared" si="1746"/>
        <v>-65000000</v>
      </c>
      <c r="SNN69" s="61">
        <f t="shared" si="1746"/>
        <v>-65000000</v>
      </c>
      <c r="SNO69" s="61">
        <f t="shared" si="1746"/>
        <v>-65000000</v>
      </c>
      <c r="SNP69" s="61">
        <f t="shared" si="1746"/>
        <v>-65000000</v>
      </c>
      <c r="SNQ69" s="61">
        <f t="shared" si="1746"/>
        <v>-65000000</v>
      </c>
      <c r="SNR69" s="61">
        <f t="shared" si="1746"/>
        <v>-65000000</v>
      </c>
      <c r="SNS69" s="61">
        <f t="shared" si="1746"/>
        <v>-65000000</v>
      </c>
      <c r="SNT69" s="61">
        <f t="shared" si="1746"/>
        <v>-65000000</v>
      </c>
      <c r="SNU69" s="61">
        <f t="shared" si="1746"/>
        <v>-65000000</v>
      </c>
      <c r="SNV69" s="61">
        <f t="shared" si="1746"/>
        <v>-65000000</v>
      </c>
      <c r="SNW69" s="61">
        <f t="shared" si="1746"/>
        <v>-65000000</v>
      </c>
      <c r="SNX69" s="61">
        <f t="shared" si="1746"/>
        <v>-65000000</v>
      </c>
      <c r="SNY69" s="61">
        <f t="shared" si="1746"/>
        <v>-65000000</v>
      </c>
      <c r="SNZ69" s="61">
        <f t="shared" si="1746"/>
        <v>-65000000</v>
      </c>
      <c r="SOA69" s="61">
        <f t="shared" si="1746"/>
        <v>-65000000</v>
      </c>
      <c r="SOB69" s="61">
        <f t="shared" si="1746"/>
        <v>-65000000</v>
      </c>
      <c r="SOC69" s="61">
        <f t="shared" si="1746"/>
        <v>-65000000</v>
      </c>
      <c r="SOD69" s="61">
        <f t="shared" si="1746"/>
        <v>-65000000</v>
      </c>
      <c r="SOE69" s="61">
        <f t="shared" si="1746"/>
        <v>-65000000</v>
      </c>
      <c r="SOF69" s="61">
        <f t="shared" si="1746"/>
        <v>-65000000</v>
      </c>
      <c r="SOG69" s="61">
        <f t="shared" si="1746"/>
        <v>-65000000</v>
      </c>
      <c r="SOH69" s="61">
        <f t="shared" si="1746"/>
        <v>-65000000</v>
      </c>
      <c r="SOI69" s="61">
        <f t="shared" si="1746"/>
        <v>-65000000</v>
      </c>
      <c r="SOJ69" s="61">
        <f t="shared" si="1746"/>
        <v>-65000000</v>
      </c>
      <c r="SOK69" s="61">
        <f t="shared" si="1746"/>
        <v>-65000000</v>
      </c>
      <c r="SOL69" s="61">
        <f t="shared" si="1746"/>
        <v>-65000000</v>
      </c>
      <c r="SOM69" s="61">
        <f t="shared" si="1746"/>
        <v>-65000000</v>
      </c>
      <c r="SON69" s="61">
        <f t="shared" si="1746"/>
        <v>-65000000</v>
      </c>
      <c r="SOO69" s="61">
        <f t="shared" si="1746"/>
        <v>-65000000</v>
      </c>
      <c r="SOP69" s="61">
        <f t="shared" si="1746"/>
        <v>-65000000</v>
      </c>
      <c r="SOQ69" s="61">
        <f t="shared" si="1746"/>
        <v>-65000000</v>
      </c>
      <c r="SOR69" s="61">
        <f t="shared" si="1746"/>
        <v>-65000000</v>
      </c>
      <c r="SOS69" s="61">
        <f t="shared" si="1746"/>
        <v>-65000000</v>
      </c>
      <c r="SOT69" s="61">
        <f t="shared" si="1746"/>
        <v>-65000000</v>
      </c>
      <c r="SOU69" s="61">
        <f t="shared" si="1746"/>
        <v>-65000000</v>
      </c>
      <c r="SOV69" s="61">
        <f t="shared" si="1746"/>
        <v>-65000000</v>
      </c>
      <c r="SOW69" s="61">
        <f t="shared" si="1746"/>
        <v>-65000000</v>
      </c>
      <c r="SOX69" s="61">
        <f t="shared" si="1746"/>
        <v>-65000000</v>
      </c>
      <c r="SOY69" s="61">
        <f t="shared" si="1746"/>
        <v>-65000000</v>
      </c>
      <c r="SOZ69" s="61">
        <f t="shared" si="1746"/>
        <v>-65000000</v>
      </c>
      <c r="SPA69" s="61">
        <f t="shared" si="1746"/>
        <v>-65000000</v>
      </c>
      <c r="SPB69" s="61">
        <f t="shared" si="1746"/>
        <v>-65000000</v>
      </c>
      <c r="SPC69" s="61">
        <f t="shared" si="1746"/>
        <v>-65000000</v>
      </c>
      <c r="SPD69" s="61">
        <f t="shared" si="1746"/>
        <v>-65000000</v>
      </c>
      <c r="SPE69" s="61">
        <f t="shared" si="1746"/>
        <v>-65000000</v>
      </c>
      <c r="SPF69" s="61">
        <f t="shared" si="1746"/>
        <v>-65000000</v>
      </c>
      <c r="SPG69" s="61">
        <f t="shared" si="1746"/>
        <v>-65000000</v>
      </c>
      <c r="SPH69" s="61">
        <f t="shared" si="1746"/>
        <v>-65000000</v>
      </c>
      <c r="SPI69" s="61">
        <f t="shared" si="1746"/>
        <v>-65000000</v>
      </c>
      <c r="SPJ69" s="61">
        <f t="shared" si="1746"/>
        <v>-65000000</v>
      </c>
      <c r="SPK69" s="61">
        <f t="shared" si="1746"/>
        <v>-65000000</v>
      </c>
      <c r="SPL69" s="61">
        <f t="shared" si="1746"/>
        <v>-65000000</v>
      </c>
      <c r="SPM69" s="61">
        <f t="shared" si="1746"/>
        <v>-65000000</v>
      </c>
      <c r="SPN69" s="61">
        <f t="shared" si="1746"/>
        <v>-65000000</v>
      </c>
      <c r="SPO69" s="61">
        <f t="shared" si="1746"/>
        <v>-65000000</v>
      </c>
      <c r="SPP69" s="61">
        <f t="shared" si="1746"/>
        <v>-65000000</v>
      </c>
      <c r="SPQ69" s="61">
        <f t="shared" si="1746"/>
        <v>-65000000</v>
      </c>
      <c r="SPR69" s="61">
        <f t="shared" si="1746"/>
        <v>-65000000</v>
      </c>
      <c r="SPS69" s="61">
        <f t="shared" ref="SPS69:SSD69" si="1747">SPS68-$EC$11-SPS11</f>
        <v>-65000000</v>
      </c>
      <c r="SPT69" s="61">
        <f t="shared" si="1747"/>
        <v>-65000000</v>
      </c>
      <c r="SPU69" s="61">
        <f t="shared" si="1747"/>
        <v>-65000000</v>
      </c>
      <c r="SPV69" s="61">
        <f t="shared" si="1747"/>
        <v>-65000000</v>
      </c>
      <c r="SPW69" s="61">
        <f t="shared" si="1747"/>
        <v>-65000000</v>
      </c>
      <c r="SPX69" s="61">
        <f t="shared" si="1747"/>
        <v>-65000000</v>
      </c>
      <c r="SPY69" s="61">
        <f t="shared" si="1747"/>
        <v>-65000000</v>
      </c>
      <c r="SPZ69" s="61">
        <f t="shared" si="1747"/>
        <v>-65000000</v>
      </c>
      <c r="SQA69" s="61">
        <f t="shared" si="1747"/>
        <v>-65000000</v>
      </c>
      <c r="SQB69" s="61">
        <f t="shared" si="1747"/>
        <v>-65000000</v>
      </c>
      <c r="SQC69" s="61">
        <f t="shared" si="1747"/>
        <v>-65000000</v>
      </c>
      <c r="SQD69" s="61">
        <f t="shared" si="1747"/>
        <v>-65000000</v>
      </c>
      <c r="SQE69" s="61">
        <f t="shared" si="1747"/>
        <v>-65000000</v>
      </c>
      <c r="SQF69" s="61">
        <f t="shared" si="1747"/>
        <v>-65000000</v>
      </c>
      <c r="SQG69" s="61">
        <f t="shared" si="1747"/>
        <v>-65000000</v>
      </c>
      <c r="SQH69" s="61">
        <f t="shared" si="1747"/>
        <v>-65000000</v>
      </c>
      <c r="SQI69" s="61">
        <f t="shared" si="1747"/>
        <v>-65000000</v>
      </c>
      <c r="SQJ69" s="61">
        <f t="shared" si="1747"/>
        <v>-65000000</v>
      </c>
      <c r="SQK69" s="61">
        <f t="shared" si="1747"/>
        <v>-65000000</v>
      </c>
      <c r="SQL69" s="61">
        <f t="shared" si="1747"/>
        <v>-65000000</v>
      </c>
      <c r="SQM69" s="61">
        <f t="shared" si="1747"/>
        <v>-65000000</v>
      </c>
      <c r="SQN69" s="61">
        <f t="shared" si="1747"/>
        <v>-65000000</v>
      </c>
      <c r="SQO69" s="61">
        <f t="shared" si="1747"/>
        <v>-65000000</v>
      </c>
      <c r="SQP69" s="61">
        <f t="shared" si="1747"/>
        <v>-65000000</v>
      </c>
      <c r="SQQ69" s="61">
        <f t="shared" si="1747"/>
        <v>-65000000</v>
      </c>
      <c r="SQR69" s="61">
        <f t="shared" si="1747"/>
        <v>-65000000</v>
      </c>
      <c r="SQS69" s="61">
        <f t="shared" si="1747"/>
        <v>-65000000</v>
      </c>
      <c r="SQT69" s="61">
        <f t="shared" si="1747"/>
        <v>-65000000</v>
      </c>
      <c r="SQU69" s="61">
        <f t="shared" si="1747"/>
        <v>-65000000</v>
      </c>
      <c r="SQV69" s="61">
        <f t="shared" si="1747"/>
        <v>-65000000</v>
      </c>
      <c r="SQW69" s="61">
        <f t="shared" si="1747"/>
        <v>-65000000</v>
      </c>
      <c r="SQX69" s="61">
        <f t="shared" si="1747"/>
        <v>-65000000</v>
      </c>
      <c r="SQY69" s="61">
        <f t="shared" si="1747"/>
        <v>-65000000</v>
      </c>
      <c r="SQZ69" s="61">
        <f t="shared" si="1747"/>
        <v>-65000000</v>
      </c>
      <c r="SRA69" s="61">
        <f t="shared" si="1747"/>
        <v>-65000000</v>
      </c>
      <c r="SRB69" s="61">
        <f t="shared" si="1747"/>
        <v>-65000000</v>
      </c>
      <c r="SRC69" s="61">
        <f t="shared" si="1747"/>
        <v>-65000000</v>
      </c>
      <c r="SRD69" s="61">
        <f t="shared" si="1747"/>
        <v>-65000000</v>
      </c>
      <c r="SRE69" s="61">
        <f t="shared" si="1747"/>
        <v>-65000000</v>
      </c>
      <c r="SRF69" s="61">
        <f t="shared" si="1747"/>
        <v>-65000000</v>
      </c>
      <c r="SRG69" s="61">
        <f t="shared" si="1747"/>
        <v>-65000000</v>
      </c>
      <c r="SRH69" s="61">
        <f t="shared" si="1747"/>
        <v>-65000000</v>
      </c>
      <c r="SRI69" s="61">
        <f t="shared" si="1747"/>
        <v>-65000000</v>
      </c>
      <c r="SRJ69" s="61">
        <f t="shared" si="1747"/>
        <v>-65000000</v>
      </c>
      <c r="SRK69" s="61">
        <f t="shared" si="1747"/>
        <v>-65000000</v>
      </c>
      <c r="SRL69" s="61">
        <f t="shared" si="1747"/>
        <v>-65000000</v>
      </c>
      <c r="SRM69" s="61">
        <f t="shared" si="1747"/>
        <v>-65000000</v>
      </c>
      <c r="SRN69" s="61">
        <f t="shared" si="1747"/>
        <v>-65000000</v>
      </c>
      <c r="SRO69" s="61">
        <f t="shared" si="1747"/>
        <v>-65000000</v>
      </c>
      <c r="SRP69" s="61">
        <f t="shared" si="1747"/>
        <v>-65000000</v>
      </c>
      <c r="SRQ69" s="61">
        <f t="shared" si="1747"/>
        <v>-65000000</v>
      </c>
      <c r="SRR69" s="61">
        <f t="shared" si="1747"/>
        <v>-65000000</v>
      </c>
      <c r="SRS69" s="61">
        <f t="shared" si="1747"/>
        <v>-65000000</v>
      </c>
      <c r="SRT69" s="61">
        <f t="shared" si="1747"/>
        <v>-65000000</v>
      </c>
      <c r="SRU69" s="61">
        <f t="shared" si="1747"/>
        <v>-65000000</v>
      </c>
      <c r="SRV69" s="61">
        <f t="shared" si="1747"/>
        <v>-65000000</v>
      </c>
      <c r="SRW69" s="61">
        <f t="shared" si="1747"/>
        <v>-65000000</v>
      </c>
      <c r="SRX69" s="61">
        <f t="shared" si="1747"/>
        <v>-65000000</v>
      </c>
      <c r="SRY69" s="61">
        <f t="shared" si="1747"/>
        <v>-65000000</v>
      </c>
      <c r="SRZ69" s="61">
        <f t="shared" si="1747"/>
        <v>-65000000</v>
      </c>
      <c r="SSA69" s="61">
        <f t="shared" si="1747"/>
        <v>-65000000</v>
      </c>
      <c r="SSB69" s="61">
        <f t="shared" si="1747"/>
        <v>-65000000</v>
      </c>
      <c r="SSC69" s="61">
        <f t="shared" si="1747"/>
        <v>-65000000</v>
      </c>
      <c r="SSD69" s="61">
        <f t="shared" si="1747"/>
        <v>-65000000</v>
      </c>
      <c r="SSE69" s="61">
        <f t="shared" ref="SSE69:SUP69" si="1748">SSE68-$EC$11-SSE11</f>
        <v>-65000000</v>
      </c>
      <c r="SSF69" s="61">
        <f t="shared" si="1748"/>
        <v>-65000000</v>
      </c>
      <c r="SSG69" s="61">
        <f t="shared" si="1748"/>
        <v>-65000000</v>
      </c>
      <c r="SSH69" s="61">
        <f t="shared" si="1748"/>
        <v>-65000000</v>
      </c>
      <c r="SSI69" s="61">
        <f t="shared" si="1748"/>
        <v>-65000000</v>
      </c>
      <c r="SSJ69" s="61">
        <f t="shared" si="1748"/>
        <v>-65000000</v>
      </c>
      <c r="SSK69" s="61">
        <f t="shared" si="1748"/>
        <v>-65000000</v>
      </c>
      <c r="SSL69" s="61">
        <f t="shared" si="1748"/>
        <v>-65000000</v>
      </c>
      <c r="SSM69" s="61">
        <f t="shared" si="1748"/>
        <v>-65000000</v>
      </c>
      <c r="SSN69" s="61">
        <f t="shared" si="1748"/>
        <v>-65000000</v>
      </c>
      <c r="SSO69" s="61">
        <f t="shared" si="1748"/>
        <v>-65000000</v>
      </c>
      <c r="SSP69" s="61">
        <f t="shared" si="1748"/>
        <v>-65000000</v>
      </c>
      <c r="SSQ69" s="61">
        <f t="shared" si="1748"/>
        <v>-65000000</v>
      </c>
      <c r="SSR69" s="61">
        <f t="shared" si="1748"/>
        <v>-65000000</v>
      </c>
      <c r="SSS69" s="61">
        <f t="shared" si="1748"/>
        <v>-65000000</v>
      </c>
      <c r="SST69" s="61">
        <f t="shared" si="1748"/>
        <v>-65000000</v>
      </c>
      <c r="SSU69" s="61">
        <f t="shared" si="1748"/>
        <v>-65000000</v>
      </c>
      <c r="SSV69" s="61">
        <f t="shared" si="1748"/>
        <v>-65000000</v>
      </c>
      <c r="SSW69" s="61">
        <f t="shared" si="1748"/>
        <v>-65000000</v>
      </c>
      <c r="SSX69" s="61">
        <f t="shared" si="1748"/>
        <v>-65000000</v>
      </c>
      <c r="SSY69" s="61">
        <f t="shared" si="1748"/>
        <v>-65000000</v>
      </c>
      <c r="SSZ69" s="61">
        <f t="shared" si="1748"/>
        <v>-65000000</v>
      </c>
      <c r="STA69" s="61">
        <f t="shared" si="1748"/>
        <v>-65000000</v>
      </c>
      <c r="STB69" s="61">
        <f t="shared" si="1748"/>
        <v>-65000000</v>
      </c>
      <c r="STC69" s="61">
        <f t="shared" si="1748"/>
        <v>-65000000</v>
      </c>
      <c r="STD69" s="61">
        <f t="shared" si="1748"/>
        <v>-65000000</v>
      </c>
      <c r="STE69" s="61">
        <f t="shared" si="1748"/>
        <v>-65000000</v>
      </c>
      <c r="STF69" s="61">
        <f t="shared" si="1748"/>
        <v>-65000000</v>
      </c>
      <c r="STG69" s="61">
        <f t="shared" si="1748"/>
        <v>-65000000</v>
      </c>
      <c r="STH69" s="61">
        <f t="shared" si="1748"/>
        <v>-65000000</v>
      </c>
      <c r="STI69" s="61">
        <f t="shared" si="1748"/>
        <v>-65000000</v>
      </c>
      <c r="STJ69" s="61">
        <f t="shared" si="1748"/>
        <v>-65000000</v>
      </c>
      <c r="STK69" s="61">
        <f t="shared" si="1748"/>
        <v>-65000000</v>
      </c>
      <c r="STL69" s="61">
        <f t="shared" si="1748"/>
        <v>-65000000</v>
      </c>
      <c r="STM69" s="61">
        <f t="shared" si="1748"/>
        <v>-65000000</v>
      </c>
      <c r="STN69" s="61">
        <f t="shared" si="1748"/>
        <v>-65000000</v>
      </c>
      <c r="STO69" s="61">
        <f t="shared" si="1748"/>
        <v>-65000000</v>
      </c>
      <c r="STP69" s="61">
        <f t="shared" si="1748"/>
        <v>-65000000</v>
      </c>
      <c r="STQ69" s="61">
        <f t="shared" si="1748"/>
        <v>-65000000</v>
      </c>
      <c r="STR69" s="61">
        <f t="shared" si="1748"/>
        <v>-65000000</v>
      </c>
      <c r="STS69" s="61">
        <f t="shared" si="1748"/>
        <v>-65000000</v>
      </c>
      <c r="STT69" s="61">
        <f t="shared" si="1748"/>
        <v>-65000000</v>
      </c>
      <c r="STU69" s="61">
        <f t="shared" si="1748"/>
        <v>-65000000</v>
      </c>
      <c r="STV69" s="61">
        <f t="shared" si="1748"/>
        <v>-65000000</v>
      </c>
      <c r="STW69" s="61">
        <f t="shared" si="1748"/>
        <v>-65000000</v>
      </c>
      <c r="STX69" s="61">
        <f t="shared" si="1748"/>
        <v>-65000000</v>
      </c>
      <c r="STY69" s="61">
        <f t="shared" si="1748"/>
        <v>-65000000</v>
      </c>
      <c r="STZ69" s="61">
        <f t="shared" si="1748"/>
        <v>-65000000</v>
      </c>
      <c r="SUA69" s="61">
        <f t="shared" si="1748"/>
        <v>-65000000</v>
      </c>
      <c r="SUB69" s="61">
        <f t="shared" si="1748"/>
        <v>-65000000</v>
      </c>
      <c r="SUC69" s="61">
        <f t="shared" si="1748"/>
        <v>-65000000</v>
      </c>
      <c r="SUD69" s="61">
        <f t="shared" si="1748"/>
        <v>-65000000</v>
      </c>
      <c r="SUE69" s="61">
        <f t="shared" si="1748"/>
        <v>-65000000</v>
      </c>
      <c r="SUF69" s="61">
        <f t="shared" si="1748"/>
        <v>-65000000</v>
      </c>
      <c r="SUG69" s="61">
        <f t="shared" si="1748"/>
        <v>-65000000</v>
      </c>
      <c r="SUH69" s="61">
        <f t="shared" si="1748"/>
        <v>-65000000</v>
      </c>
      <c r="SUI69" s="61">
        <f t="shared" si="1748"/>
        <v>-65000000</v>
      </c>
      <c r="SUJ69" s="61">
        <f t="shared" si="1748"/>
        <v>-65000000</v>
      </c>
      <c r="SUK69" s="61">
        <f t="shared" si="1748"/>
        <v>-65000000</v>
      </c>
      <c r="SUL69" s="61">
        <f t="shared" si="1748"/>
        <v>-65000000</v>
      </c>
      <c r="SUM69" s="61">
        <f t="shared" si="1748"/>
        <v>-65000000</v>
      </c>
      <c r="SUN69" s="61">
        <f t="shared" si="1748"/>
        <v>-65000000</v>
      </c>
      <c r="SUO69" s="61">
        <f t="shared" si="1748"/>
        <v>-65000000</v>
      </c>
      <c r="SUP69" s="61">
        <f t="shared" si="1748"/>
        <v>-65000000</v>
      </c>
      <c r="SUQ69" s="61">
        <f t="shared" ref="SUQ69:SXB69" si="1749">SUQ68-$EC$11-SUQ11</f>
        <v>-65000000</v>
      </c>
      <c r="SUR69" s="61">
        <f t="shared" si="1749"/>
        <v>-65000000</v>
      </c>
      <c r="SUS69" s="61">
        <f t="shared" si="1749"/>
        <v>-65000000</v>
      </c>
      <c r="SUT69" s="61">
        <f t="shared" si="1749"/>
        <v>-65000000</v>
      </c>
      <c r="SUU69" s="61">
        <f t="shared" si="1749"/>
        <v>-65000000</v>
      </c>
      <c r="SUV69" s="61">
        <f t="shared" si="1749"/>
        <v>-65000000</v>
      </c>
      <c r="SUW69" s="61">
        <f t="shared" si="1749"/>
        <v>-65000000</v>
      </c>
      <c r="SUX69" s="61">
        <f t="shared" si="1749"/>
        <v>-65000000</v>
      </c>
      <c r="SUY69" s="61">
        <f t="shared" si="1749"/>
        <v>-65000000</v>
      </c>
      <c r="SUZ69" s="61">
        <f t="shared" si="1749"/>
        <v>-65000000</v>
      </c>
      <c r="SVA69" s="61">
        <f t="shared" si="1749"/>
        <v>-65000000</v>
      </c>
      <c r="SVB69" s="61">
        <f t="shared" si="1749"/>
        <v>-65000000</v>
      </c>
      <c r="SVC69" s="61">
        <f t="shared" si="1749"/>
        <v>-65000000</v>
      </c>
      <c r="SVD69" s="61">
        <f t="shared" si="1749"/>
        <v>-65000000</v>
      </c>
      <c r="SVE69" s="61">
        <f t="shared" si="1749"/>
        <v>-65000000</v>
      </c>
      <c r="SVF69" s="61">
        <f t="shared" si="1749"/>
        <v>-65000000</v>
      </c>
      <c r="SVG69" s="61">
        <f t="shared" si="1749"/>
        <v>-65000000</v>
      </c>
      <c r="SVH69" s="61">
        <f t="shared" si="1749"/>
        <v>-65000000</v>
      </c>
      <c r="SVI69" s="61">
        <f t="shared" si="1749"/>
        <v>-65000000</v>
      </c>
      <c r="SVJ69" s="61">
        <f t="shared" si="1749"/>
        <v>-65000000</v>
      </c>
      <c r="SVK69" s="61">
        <f t="shared" si="1749"/>
        <v>-65000000</v>
      </c>
      <c r="SVL69" s="61">
        <f t="shared" si="1749"/>
        <v>-65000000</v>
      </c>
      <c r="SVM69" s="61">
        <f t="shared" si="1749"/>
        <v>-65000000</v>
      </c>
      <c r="SVN69" s="61">
        <f t="shared" si="1749"/>
        <v>-65000000</v>
      </c>
      <c r="SVO69" s="61">
        <f t="shared" si="1749"/>
        <v>-65000000</v>
      </c>
      <c r="SVP69" s="61">
        <f t="shared" si="1749"/>
        <v>-65000000</v>
      </c>
      <c r="SVQ69" s="61">
        <f t="shared" si="1749"/>
        <v>-65000000</v>
      </c>
      <c r="SVR69" s="61">
        <f t="shared" si="1749"/>
        <v>-65000000</v>
      </c>
      <c r="SVS69" s="61">
        <f t="shared" si="1749"/>
        <v>-65000000</v>
      </c>
      <c r="SVT69" s="61">
        <f t="shared" si="1749"/>
        <v>-65000000</v>
      </c>
      <c r="SVU69" s="61">
        <f t="shared" si="1749"/>
        <v>-65000000</v>
      </c>
      <c r="SVV69" s="61">
        <f t="shared" si="1749"/>
        <v>-65000000</v>
      </c>
      <c r="SVW69" s="61">
        <f t="shared" si="1749"/>
        <v>-65000000</v>
      </c>
      <c r="SVX69" s="61">
        <f t="shared" si="1749"/>
        <v>-65000000</v>
      </c>
      <c r="SVY69" s="61">
        <f t="shared" si="1749"/>
        <v>-65000000</v>
      </c>
      <c r="SVZ69" s="61">
        <f t="shared" si="1749"/>
        <v>-65000000</v>
      </c>
      <c r="SWA69" s="61">
        <f t="shared" si="1749"/>
        <v>-65000000</v>
      </c>
      <c r="SWB69" s="61">
        <f t="shared" si="1749"/>
        <v>-65000000</v>
      </c>
      <c r="SWC69" s="61">
        <f t="shared" si="1749"/>
        <v>-65000000</v>
      </c>
      <c r="SWD69" s="61">
        <f t="shared" si="1749"/>
        <v>-65000000</v>
      </c>
      <c r="SWE69" s="61">
        <f t="shared" si="1749"/>
        <v>-65000000</v>
      </c>
      <c r="SWF69" s="61">
        <f t="shared" si="1749"/>
        <v>-65000000</v>
      </c>
      <c r="SWG69" s="61">
        <f t="shared" si="1749"/>
        <v>-65000000</v>
      </c>
      <c r="SWH69" s="61">
        <f t="shared" si="1749"/>
        <v>-65000000</v>
      </c>
      <c r="SWI69" s="61">
        <f t="shared" si="1749"/>
        <v>-65000000</v>
      </c>
      <c r="SWJ69" s="61">
        <f t="shared" si="1749"/>
        <v>-65000000</v>
      </c>
      <c r="SWK69" s="61">
        <f t="shared" si="1749"/>
        <v>-65000000</v>
      </c>
      <c r="SWL69" s="61">
        <f t="shared" si="1749"/>
        <v>-65000000</v>
      </c>
      <c r="SWM69" s="61">
        <f t="shared" si="1749"/>
        <v>-65000000</v>
      </c>
      <c r="SWN69" s="61">
        <f t="shared" si="1749"/>
        <v>-65000000</v>
      </c>
      <c r="SWO69" s="61">
        <f t="shared" si="1749"/>
        <v>-65000000</v>
      </c>
      <c r="SWP69" s="61">
        <f t="shared" si="1749"/>
        <v>-65000000</v>
      </c>
      <c r="SWQ69" s="61">
        <f t="shared" si="1749"/>
        <v>-65000000</v>
      </c>
      <c r="SWR69" s="61">
        <f t="shared" si="1749"/>
        <v>-65000000</v>
      </c>
      <c r="SWS69" s="61">
        <f t="shared" si="1749"/>
        <v>-65000000</v>
      </c>
      <c r="SWT69" s="61">
        <f t="shared" si="1749"/>
        <v>-65000000</v>
      </c>
      <c r="SWU69" s="61">
        <f t="shared" si="1749"/>
        <v>-65000000</v>
      </c>
      <c r="SWV69" s="61">
        <f t="shared" si="1749"/>
        <v>-65000000</v>
      </c>
      <c r="SWW69" s="61">
        <f t="shared" si="1749"/>
        <v>-65000000</v>
      </c>
      <c r="SWX69" s="61">
        <f t="shared" si="1749"/>
        <v>-65000000</v>
      </c>
      <c r="SWY69" s="61">
        <f t="shared" si="1749"/>
        <v>-65000000</v>
      </c>
      <c r="SWZ69" s="61">
        <f t="shared" si="1749"/>
        <v>-65000000</v>
      </c>
      <c r="SXA69" s="61">
        <f t="shared" si="1749"/>
        <v>-65000000</v>
      </c>
      <c r="SXB69" s="61">
        <f t="shared" si="1749"/>
        <v>-65000000</v>
      </c>
      <c r="SXC69" s="61">
        <f t="shared" ref="SXC69:SZN69" si="1750">SXC68-$EC$11-SXC11</f>
        <v>-65000000</v>
      </c>
      <c r="SXD69" s="61">
        <f t="shared" si="1750"/>
        <v>-65000000</v>
      </c>
      <c r="SXE69" s="61">
        <f t="shared" si="1750"/>
        <v>-65000000</v>
      </c>
      <c r="SXF69" s="61">
        <f t="shared" si="1750"/>
        <v>-65000000</v>
      </c>
      <c r="SXG69" s="61">
        <f t="shared" si="1750"/>
        <v>-65000000</v>
      </c>
      <c r="SXH69" s="61">
        <f t="shared" si="1750"/>
        <v>-65000000</v>
      </c>
      <c r="SXI69" s="61">
        <f t="shared" si="1750"/>
        <v>-65000000</v>
      </c>
      <c r="SXJ69" s="61">
        <f t="shared" si="1750"/>
        <v>-65000000</v>
      </c>
      <c r="SXK69" s="61">
        <f t="shared" si="1750"/>
        <v>-65000000</v>
      </c>
      <c r="SXL69" s="61">
        <f t="shared" si="1750"/>
        <v>-65000000</v>
      </c>
      <c r="SXM69" s="61">
        <f t="shared" si="1750"/>
        <v>-65000000</v>
      </c>
      <c r="SXN69" s="61">
        <f t="shared" si="1750"/>
        <v>-65000000</v>
      </c>
      <c r="SXO69" s="61">
        <f t="shared" si="1750"/>
        <v>-65000000</v>
      </c>
      <c r="SXP69" s="61">
        <f t="shared" si="1750"/>
        <v>-65000000</v>
      </c>
      <c r="SXQ69" s="61">
        <f t="shared" si="1750"/>
        <v>-65000000</v>
      </c>
      <c r="SXR69" s="61">
        <f t="shared" si="1750"/>
        <v>-65000000</v>
      </c>
      <c r="SXS69" s="61">
        <f t="shared" si="1750"/>
        <v>-65000000</v>
      </c>
      <c r="SXT69" s="61">
        <f t="shared" si="1750"/>
        <v>-65000000</v>
      </c>
      <c r="SXU69" s="61">
        <f t="shared" si="1750"/>
        <v>-65000000</v>
      </c>
      <c r="SXV69" s="61">
        <f t="shared" si="1750"/>
        <v>-65000000</v>
      </c>
      <c r="SXW69" s="61">
        <f t="shared" si="1750"/>
        <v>-65000000</v>
      </c>
      <c r="SXX69" s="61">
        <f t="shared" si="1750"/>
        <v>-65000000</v>
      </c>
      <c r="SXY69" s="61">
        <f t="shared" si="1750"/>
        <v>-65000000</v>
      </c>
      <c r="SXZ69" s="61">
        <f t="shared" si="1750"/>
        <v>-65000000</v>
      </c>
      <c r="SYA69" s="61">
        <f t="shared" si="1750"/>
        <v>-65000000</v>
      </c>
      <c r="SYB69" s="61">
        <f t="shared" si="1750"/>
        <v>-65000000</v>
      </c>
      <c r="SYC69" s="61">
        <f t="shared" si="1750"/>
        <v>-65000000</v>
      </c>
      <c r="SYD69" s="61">
        <f t="shared" si="1750"/>
        <v>-65000000</v>
      </c>
      <c r="SYE69" s="61">
        <f t="shared" si="1750"/>
        <v>-65000000</v>
      </c>
      <c r="SYF69" s="61">
        <f t="shared" si="1750"/>
        <v>-65000000</v>
      </c>
      <c r="SYG69" s="61">
        <f t="shared" si="1750"/>
        <v>-65000000</v>
      </c>
      <c r="SYH69" s="61">
        <f t="shared" si="1750"/>
        <v>-65000000</v>
      </c>
      <c r="SYI69" s="61">
        <f t="shared" si="1750"/>
        <v>-65000000</v>
      </c>
      <c r="SYJ69" s="61">
        <f t="shared" si="1750"/>
        <v>-65000000</v>
      </c>
      <c r="SYK69" s="61">
        <f t="shared" si="1750"/>
        <v>-65000000</v>
      </c>
      <c r="SYL69" s="61">
        <f t="shared" si="1750"/>
        <v>-65000000</v>
      </c>
      <c r="SYM69" s="61">
        <f t="shared" si="1750"/>
        <v>-65000000</v>
      </c>
      <c r="SYN69" s="61">
        <f t="shared" si="1750"/>
        <v>-65000000</v>
      </c>
      <c r="SYO69" s="61">
        <f t="shared" si="1750"/>
        <v>-65000000</v>
      </c>
      <c r="SYP69" s="61">
        <f t="shared" si="1750"/>
        <v>-65000000</v>
      </c>
      <c r="SYQ69" s="61">
        <f t="shared" si="1750"/>
        <v>-65000000</v>
      </c>
      <c r="SYR69" s="61">
        <f t="shared" si="1750"/>
        <v>-65000000</v>
      </c>
      <c r="SYS69" s="61">
        <f t="shared" si="1750"/>
        <v>-65000000</v>
      </c>
      <c r="SYT69" s="61">
        <f t="shared" si="1750"/>
        <v>-65000000</v>
      </c>
      <c r="SYU69" s="61">
        <f t="shared" si="1750"/>
        <v>-65000000</v>
      </c>
      <c r="SYV69" s="61">
        <f t="shared" si="1750"/>
        <v>-65000000</v>
      </c>
      <c r="SYW69" s="61">
        <f t="shared" si="1750"/>
        <v>-65000000</v>
      </c>
      <c r="SYX69" s="61">
        <f t="shared" si="1750"/>
        <v>-65000000</v>
      </c>
      <c r="SYY69" s="61">
        <f t="shared" si="1750"/>
        <v>-65000000</v>
      </c>
      <c r="SYZ69" s="61">
        <f t="shared" si="1750"/>
        <v>-65000000</v>
      </c>
      <c r="SZA69" s="61">
        <f t="shared" si="1750"/>
        <v>-65000000</v>
      </c>
      <c r="SZB69" s="61">
        <f t="shared" si="1750"/>
        <v>-65000000</v>
      </c>
      <c r="SZC69" s="61">
        <f t="shared" si="1750"/>
        <v>-65000000</v>
      </c>
      <c r="SZD69" s="61">
        <f t="shared" si="1750"/>
        <v>-65000000</v>
      </c>
      <c r="SZE69" s="61">
        <f t="shared" si="1750"/>
        <v>-65000000</v>
      </c>
      <c r="SZF69" s="61">
        <f t="shared" si="1750"/>
        <v>-65000000</v>
      </c>
      <c r="SZG69" s="61">
        <f t="shared" si="1750"/>
        <v>-65000000</v>
      </c>
      <c r="SZH69" s="61">
        <f t="shared" si="1750"/>
        <v>-65000000</v>
      </c>
      <c r="SZI69" s="61">
        <f t="shared" si="1750"/>
        <v>-65000000</v>
      </c>
      <c r="SZJ69" s="61">
        <f t="shared" si="1750"/>
        <v>-65000000</v>
      </c>
      <c r="SZK69" s="61">
        <f t="shared" si="1750"/>
        <v>-65000000</v>
      </c>
      <c r="SZL69" s="61">
        <f t="shared" si="1750"/>
        <v>-65000000</v>
      </c>
      <c r="SZM69" s="61">
        <f t="shared" si="1750"/>
        <v>-65000000</v>
      </c>
      <c r="SZN69" s="61">
        <f t="shared" si="1750"/>
        <v>-65000000</v>
      </c>
      <c r="SZO69" s="61">
        <f t="shared" ref="SZO69:TBZ69" si="1751">SZO68-$EC$11-SZO11</f>
        <v>-65000000</v>
      </c>
      <c r="SZP69" s="61">
        <f t="shared" si="1751"/>
        <v>-65000000</v>
      </c>
      <c r="SZQ69" s="61">
        <f t="shared" si="1751"/>
        <v>-65000000</v>
      </c>
      <c r="SZR69" s="61">
        <f t="shared" si="1751"/>
        <v>-65000000</v>
      </c>
      <c r="SZS69" s="61">
        <f t="shared" si="1751"/>
        <v>-65000000</v>
      </c>
      <c r="SZT69" s="61">
        <f t="shared" si="1751"/>
        <v>-65000000</v>
      </c>
      <c r="SZU69" s="61">
        <f t="shared" si="1751"/>
        <v>-65000000</v>
      </c>
      <c r="SZV69" s="61">
        <f t="shared" si="1751"/>
        <v>-65000000</v>
      </c>
      <c r="SZW69" s="61">
        <f t="shared" si="1751"/>
        <v>-65000000</v>
      </c>
      <c r="SZX69" s="61">
        <f t="shared" si="1751"/>
        <v>-65000000</v>
      </c>
      <c r="SZY69" s="61">
        <f t="shared" si="1751"/>
        <v>-65000000</v>
      </c>
      <c r="SZZ69" s="61">
        <f t="shared" si="1751"/>
        <v>-65000000</v>
      </c>
      <c r="TAA69" s="61">
        <f t="shared" si="1751"/>
        <v>-65000000</v>
      </c>
      <c r="TAB69" s="61">
        <f t="shared" si="1751"/>
        <v>-65000000</v>
      </c>
      <c r="TAC69" s="61">
        <f t="shared" si="1751"/>
        <v>-65000000</v>
      </c>
      <c r="TAD69" s="61">
        <f t="shared" si="1751"/>
        <v>-65000000</v>
      </c>
      <c r="TAE69" s="61">
        <f t="shared" si="1751"/>
        <v>-65000000</v>
      </c>
      <c r="TAF69" s="61">
        <f t="shared" si="1751"/>
        <v>-65000000</v>
      </c>
      <c r="TAG69" s="61">
        <f t="shared" si="1751"/>
        <v>-65000000</v>
      </c>
      <c r="TAH69" s="61">
        <f t="shared" si="1751"/>
        <v>-65000000</v>
      </c>
      <c r="TAI69" s="61">
        <f t="shared" si="1751"/>
        <v>-65000000</v>
      </c>
      <c r="TAJ69" s="61">
        <f t="shared" si="1751"/>
        <v>-65000000</v>
      </c>
      <c r="TAK69" s="61">
        <f t="shared" si="1751"/>
        <v>-65000000</v>
      </c>
      <c r="TAL69" s="61">
        <f t="shared" si="1751"/>
        <v>-65000000</v>
      </c>
      <c r="TAM69" s="61">
        <f t="shared" si="1751"/>
        <v>-65000000</v>
      </c>
      <c r="TAN69" s="61">
        <f t="shared" si="1751"/>
        <v>-65000000</v>
      </c>
      <c r="TAO69" s="61">
        <f t="shared" si="1751"/>
        <v>-65000000</v>
      </c>
      <c r="TAP69" s="61">
        <f t="shared" si="1751"/>
        <v>-65000000</v>
      </c>
      <c r="TAQ69" s="61">
        <f t="shared" si="1751"/>
        <v>-65000000</v>
      </c>
      <c r="TAR69" s="61">
        <f t="shared" si="1751"/>
        <v>-65000000</v>
      </c>
      <c r="TAS69" s="61">
        <f t="shared" si="1751"/>
        <v>-65000000</v>
      </c>
      <c r="TAT69" s="61">
        <f t="shared" si="1751"/>
        <v>-65000000</v>
      </c>
      <c r="TAU69" s="61">
        <f t="shared" si="1751"/>
        <v>-65000000</v>
      </c>
      <c r="TAV69" s="61">
        <f t="shared" si="1751"/>
        <v>-65000000</v>
      </c>
      <c r="TAW69" s="61">
        <f t="shared" si="1751"/>
        <v>-65000000</v>
      </c>
      <c r="TAX69" s="61">
        <f t="shared" si="1751"/>
        <v>-65000000</v>
      </c>
      <c r="TAY69" s="61">
        <f t="shared" si="1751"/>
        <v>-65000000</v>
      </c>
      <c r="TAZ69" s="61">
        <f t="shared" si="1751"/>
        <v>-65000000</v>
      </c>
      <c r="TBA69" s="61">
        <f t="shared" si="1751"/>
        <v>-65000000</v>
      </c>
      <c r="TBB69" s="61">
        <f t="shared" si="1751"/>
        <v>-65000000</v>
      </c>
      <c r="TBC69" s="61">
        <f t="shared" si="1751"/>
        <v>-65000000</v>
      </c>
      <c r="TBD69" s="61">
        <f t="shared" si="1751"/>
        <v>-65000000</v>
      </c>
      <c r="TBE69" s="61">
        <f t="shared" si="1751"/>
        <v>-65000000</v>
      </c>
      <c r="TBF69" s="61">
        <f t="shared" si="1751"/>
        <v>-65000000</v>
      </c>
      <c r="TBG69" s="61">
        <f t="shared" si="1751"/>
        <v>-65000000</v>
      </c>
      <c r="TBH69" s="61">
        <f t="shared" si="1751"/>
        <v>-65000000</v>
      </c>
      <c r="TBI69" s="61">
        <f t="shared" si="1751"/>
        <v>-65000000</v>
      </c>
      <c r="TBJ69" s="61">
        <f t="shared" si="1751"/>
        <v>-65000000</v>
      </c>
      <c r="TBK69" s="61">
        <f t="shared" si="1751"/>
        <v>-65000000</v>
      </c>
      <c r="TBL69" s="61">
        <f t="shared" si="1751"/>
        <v>-65000000</v>
      </c>
      <c r="TBM69" s="61">
        <f t="shared" si="1751"/>
        <v>-65000000</v>
      </c>
      <c r="TBN69" s="61">
        <f t="shared" si="1751"/>
        <v>-65000000</v>
      </c>
      <c r="TBO69" s="61">
        <f t="shared" si="1751"/>
        <v>-65000000</v>
      </c>
      <c r="TBP69" s="61">
        <f t="shared" si="1751"/>
        <v>-65000000</v>
      </c>
      <c r="TBQ69" s="61">
        <f t="shared" si="1751"/>
        <v>-65000000</v>
      </c>
      <c r="TBR69" s="61">
        <f t="shared" si="1751"/>
        <v>-65000000</v>
      </c>
      <c r="TBS69" s="61">
        <f t="shared" si="1751"/>
        <v>-65000000</v>
      </c>
      <c r="TBT69" s="61">
        <f t="shared" si="1751"/>
        <v>-65000000</v>
      </c>
      <c r="TBU69" s="61">
        <f t="shared" si="1751"/>
        <v>-65000000</v>
      </c>
      <c r="TBV69" s="61">
        <f t="shared" si="1751"/>
        <v>-65000000</v>
      </c>
      <c r="TBW69" s="61">
        <f t="shared" si="1751"/>
        <v>-65000000</v>
      </c>
      <c r="TBX69" s="61">
        <f t="shared" si="1751"/>
        <v>-65000000</v>
      </c>
      <c r="TBY69" s="61">
        <f t="shared" si="1751"/>
        <v>-65000000</v>
      </c>
      <c r="TBZ69" s="61">
        <f t="shared" si="1751"/>
        <v>-65000000</v>
      </c>
      <c r="TCA69" s="61">
        <f t="shared" ref="TCA69:TEL69" si="1752">TCA68-$EC$11-TCA11</f>
        <v>-65000000</v>
      </c>
      <c r="TCB69" s="61">
        <f t="shared" si="1752"/>
        <v>-65000000</v>
      </c>
      <c r="TCC69" s="61">
        <f t="shared" si="1752"/>
        <v>-65000000</v>
      </c>
      <c r="TCD69" s="61">
        <f t="shared" si="1752"/>
        <v>-65000000</v>
      </c>
      <c r="TCE69" s="61">
        <f t="shared" si="1752"/>
        <v>-65000000</v>
      </c>
      <c r="TCF69" s="61">
        <f t="shared" si="1752"/>
        <v>-65000000</v>
      </c>
      <c r="TCG69" s="61">
        <f t="shared" si="1752"/>
        <v>-65000000</v>
      </c>
      <c r="TCH69" s="61">
        <f t="shared" si="1752"/>
        <v>-65000000</v>
      </c>
      <c r="TCI69" s="61">
        <f t="shared" si="1752"/>
        <v>-65000000</v>
      </c>
      <c r="TCJ69" s="61">
        <f t="shared" si="1752"/>
        <v>-65000000</v>
      </c>
      <c r="TCK69" s="61">
        <f t="shared" si="1752"/>
        <v>-65000000</v>
      </c>
      <c r="TCL69" s="61">
        <f t="shared" si="1752"/>
        <v>-65000000</v>
      </c>
      <c r="TCM69" s="61">
        <f t="shared" si="1752"/>
        <v>-65000000</v>
      </c>
      <c r="TCN69" s="61">
        <f t="shared" si="1752"/>
        <v>-65000000</v>
      </c>
      <c r="TCO69" s="61">
        <f t="shared" si="1752"/>
        <v>-65000000</v>
      </c>
      <c r="TCP69" s="61">
        <f t="shared" si="1752"/>
        <v>-65000000</v>
      </c>
      <c r="TCQ69" s="61">
        <f t="shared" si="1752"/>
        <v>-65000000</v>
      </c>
      <c r="TCR69" s="61">
        <f t="shared" si="1752"/>
        <v>-65000000</v>
      </c>
      <c r="TCS69" s="61">
        <f t="shared" si="1752"/>
        <v>-65000000</v>
      </c>
      <c r="TCT69" s="61">
        <f t="shared" si="1752"/>
        <v>-65000000</v>
      </c>
      <c r="TCU69" s="61">
        <f t="shared" si="1752"/>
        <v>-65000000</v>
      </c>
      <c r="TCV69" s="61">
        <f t="shared" si="1752"/>
        <v>-65000000</v>
      </c>
      <c r="TCW69" s="61">
        <f t="shared" si="1752"/>
        <v>-65000000</v>
      </c>
      <c r="TCX69" s="61">
        <f t="shared" si="1752"/>
        <v>-65000000</v>
      </c>
      <c r="TCY69" s="61">
        <f t="shared" si="1752"/>
        <v>-65000000</v>
      </c>
      <c r="TCZ69" s="61">
        <f t="shared" si="1752"/>
        <v>-65000000</v>
      </c>
      <c r="TDA69" s="61">
        <f t="shared" si="1752"/>
        <v>-65000000</v>
      </c>
      <c r="TDB69" s="61">
        <f t="shared" si="1752"/>
        <v>-65000000</v>
      </c>
      <c r="TDC69" s="61">
        <f t="shared" si="1752"/>
        <v>-65000000</v>
      </c>
      <c r="TDD69" s="61">
        <f t="shared" si="1752"/>
        <v>-65000000</v>
      </c>
      <c r="TDE69" s="61">
        <f t="shared" si="1752"/>
        <v>-65000000</v>
      </c>
      <c r="TDF69" s="61">
        <f t="shared" si="1752"/>
        <v>-65000000</v>
      </c>
      <c r="TDG69" s="61">
        <f t="shared" si="1752"/>
        <v>-65000000</v>
      </c>
      <c r="TDH69" s="61">
        <f t="shared" si="1752"/>
        <v>-65000000</v>
      </c>
      <c r="TDI69" s="61">
        <f t="shared" si="1752"/>
        <v>-65000000</v>
      </c>
      <c r="TDJ69" s="61">
        <f t="shared" si="1752"/>
        <v>-65000000</v>
      </c>
      <c r="TDK69" s="61">
        <f t="shared" si="1752"/>
        <v>-65000000</v>
      </c>
      <c r="TDL69" s="61">
        <f t="shared" si="1752"/>
        <v>-65000000</v>
      </c>
      <c r="TDM69" s="61">
        <f t="shared" si="1752"/>
        <v>-65000000</v>
      </c>
      <c r="TDN69" s="61">
        <f t="shared" si="1752"/>
        <v>-65000000</v>
      </c>
      <c r="TDO69" s="61">
        <f t="shared" si="1752"/>
        <v>-65000000</v>
      </c>
      <c r="TDP69" s="61">
        <f t="shared" si="1752"/>
        <v>-65000000</v>
      </c>
      <c r="TDQ69" s="61">
        <f t="shared" si="1752"/>
        <v>-65000000</v>
      </c>
      <c r="TDR69" s="61">
        <f t="shared" si="1752"/>
        <v>-65000000</v>
      </c>
      <c r="TDS69" s="61">
        <f t="shared" si="1752"/>
        <v>-65000000</v>
      </c>
      <c r="TDT69" s="61">
        <f t="shared" si="1752"/>
        <v>-65000000</v>
      </c>
      <c r="TDU69" s="61">
        <f t="shared" si="1752"/>
        <v>-65000000</v>
      </c>
      <c r="TDV69" s="61">
        <f t="shared" si="1752"/>
        <v>-65000000</v>
      </c>
      <c r="TDW69" s="61">
        <f t="shared" si="1752"/>
        <v>-65000000</v>
      </c>
      <c r="TDX69" s="61">
        <f t="shared" si="1752"/>
        <v>-65000000</v>
      </c>
      <c r="TDY69" s="61">
        <f t="shared" si="1752"/>
        <v>-65000000</v>
      </c>
      <c r="TDZ69" s="61">
        <f t="shared" si="1752"/>
        <v>-65000000</v>
      </c>
      <c r="TEA69" s="61">
        <f t="shared" si="1752"/>
        <v>-65000000</v>
      </c>
      <c r="TEB69" s="61">
        <f t="shared" si="1752"/>
        <v>-65000000</v>
      </c>
      <c r="TEC69" s="61">
        <f t="shared" si="1752"/>
        <v>-65000000</v>
      </c>
      <c r="TED69" s="61">
        <f t="shared" si="1752"/>
        <v>-65000000</v>
      </c>
      <c r="TEE69" s="61">
        <f t="shared" si="1752"/>
        <v>-65000000</v>
      </c>
      <c r="TEF69" s="61">
        <f t="shared" si="1752"/>
        <v>-65000000</v>
      </c>
      <c r="TEG69" s="61">
        <f t="shared" si="1752"/>
        <v>-65000000</v>
      </c>
      <c r="TEH69" s="61">
        <f t="shared" si="1752"/>
        <v>-65000000</v>
      </c>
      <c r="TEI69" s="61">
        <f t="shared" si="1752"/>
        <v>-65000000</v>
      </c>
      <c r="TEJ69" s="61">
        <f t="shared" si="1752"/>
        <v>-65000000</v>
      </c>
      <c r="TEK69" s="61">
        <f t="shared" si="1752"/>
        <v>-65000000</v>
      </c>
      <c r="TEL69" s="61">
        <f t="shared" si="1752"/>
        <v>-65000000</v>
      </c>
      <c r="TEM69" s="61">
        <f t="shared" ref="TEM69:TGX69" si="1753">TEM68-$EC$11-TEM11</f>
        <v>-65000000</v>
      </c>
      <c r="TEN69" s="61">
        <f t="shared" si="1753"/>
        <v>-65000000</v>
      </c>
      <c r="TEO69" s="61">
        <f t="shared" si="1753"/>
        <v>-65000000</v>
      </c>
      <c r="TEP69" s="61">
        <f t="shared" si="1753"/>
        <v>-65000000</v>
      </c>
      <c r="TEQ69" s="61">
        <f t="shared" si="1753"/>
        <v>-65000000</v>
      </c>
      <c r="TER69" s="61">
        <f t="shared" si="1753"/>
        <v>-65000000</v>
      </c>
      <c r="TES69" s="61">
        <f t="shared" si="1753"/>
        <v>-65000000</v>
      </c>
      <c r="TET69" s="61">
        <f t="shared" si="1753"/>
        <v>-65000000</v>
      </c>
      <c r="TEU69" s="61">
        <f t="shared" si="1753"/>
        <v>-65000000</v>
      </c>
      <c r="TEV69" s="61">
        <f t="shared" si="1753"/>
        <v>-65000000</v>
      </c>
      <c r="TEW69" s="61">
        <f t="shared" si="1753"/>
        <v>-65000000</v>
      </c>
      <c r="TEX69" s="61">
        <f t="shared" si="1753"/>
        <v>-65000000</v>
      </c>
      <c r="TEY69" s="61">
        <f t="shared" si="1753"/>
        <v>-65000000</v>
      </c>
      <c r="TEZ69" s="61">
        <f t="shared" si="1753"/>
        <v>-65000000</v>
      </c>
      <c r="TFA69" s="61">
        <f t="shared" si="1753"/>
        <v>-65000000</v>
      </c>
      <c r="TFB69" s="61">
        <f t="shared" si="1753"/>
        <v>-65000000</v>
      </c>
      <c r="TFC69" s="61">
        <f t="shared" si="1753"/>
        <v>-65000000</v>
      </c>
      <c r="TFD69" s="61">
        <f t="shared" si="1753"/>
        <v>-65000000</v>
      </c>
      <c r="TFE69" s="61">
        <f t="shared" si="1753"/>
        <v>-65000000</v>
      </c>
      <c r="TFF69" s="61">
        <f t="shared" si="1753"/>
        <v>-65000000</v>
      </c>
      <c r="TFG69" s="61">
        <f t="shared" si="1753"/>
        <v>-65000000</v>
      </c>
      <c r="TFH69" s="61">
        <f t="shared" si="1753"/>
        <v>-65000000</v>
      </c>
      <c r="TFI69" s="61">
        <f t="shared" si="1753"/>
        <v>-65000000</v>
      </c>
      <c r="TFJ69" s="61">
        <f t="shared" si="1753"/>
        <v>-65000000</v>
      </c>
      <c r="TFK69" s="61">
        <f t="shared" si="1753"/>
        <v>-65000000</v>
      </c>
      <c r="TFL69" s="61">
        <f t="shared" si="1753"/>
        <v>-65000000</v>
      </c>
      <c r="TFM69" s="61">
        <f t="shared" si="1753"/>
        <v>-65000000</v>
      </c>
      <c r="TFN69" s="61">
        <f t="shared" si="1753"/>
        <v>-65000000</v>
      </c>
      <c r="TFO69" s="61">
        <f t="shared" si="1753"/>
        <v>-65000000</v>
      </c>
      <c r="TFP69" s="61">
        <f t="shared" si="1753"/>
        <v>-65000000</v>
      </c>
      <c r="TFQ69" s="61">
        <f t="shared" si="1753"/>
        <v>-65000000</v>
      </c>
      <c r="TFR69" s="61">
        <f t="shared" si="1753"/>
        <v>-65000000</v>
      </c>
      <c r="TFS69" s="61">
        <f t="shared" si="1753"/>
        <v>-65000000</v>
      </c>
      <c r="TFT69" s="61">
        <f t="shared" si="1753"/>
        <v>-65000000</v>
      </c>
      <c r="TFU69" s="61">
        <f t="shared" si="1753"/>
        <v>-65000000</v>
      </c>
      <c r="TFV69" s="61">
        <f t="shared" si="1753"/>
        <v>-65000000</v>
      </c>
      <c r="TFW69" s="61">
        <f t="shared" si="1753"/>
        <v>-65000000</v>
      </c>
      <c r="TFX69" s="61">
        <f t="shared" si="1753"/>
        <v>-65000000</v>
      </c>
      <c r="TFY69" s="61">
        <f t="shared" si="1753"/>
        <v>-65000000</v>
      </c>
      <c r="TFZ69" s="61">
        <f t="shared" si="1753"/>
        <v>-65000000</v>
      </c>
      <c r="TGA69" s="61">
        <f t="shared" si="1753"/>
        <v>-65000000</v>
      </c>
      <c r="TGB69" s="61">
        <f t="shared" si="1753"/>
        <v>-65000000</v>
      </c>
      <c r="TGC69" s="61">
        <f t="shared" si="1753"/>
        <v>-65000000</v>
      </c>
      <c r="TGD69" s="61">
        <f t="shared" si="1753"/>
        <v>-65000000</v>
      </c>
      <c r="TGE69" s="61">
        <f t="shared" si="1753"/>
        <v>-65000000</v>
      </c>
      <c r="TGF69" s="61">
        <f t="shared" si="1753"/>
        <v>-65000000</v>
      </c>
      <c r="TGG69" s="61">
        <f t="shared" si="1753"/>
        <v>-65000000</v>
      </c>
      <c r="TGH69" s="61">
        <f t="shared" si="1753"/>
        <v>-65000000</v>
      </c>
      <c r="TGI69" s="61">
        <f t="shared" si="1753"/>
        <v>-65000000</v>
      </c>
      <c r="TGJ69" s="61">
        <f t="shared" si="1753"/>
        <v>-65000000</v>
      </c>
      <c r="TGK69" s="61">
        <f t="shared" si="1753"/>
        <v>-65000000</v>
      </c>
      <c r="TGL69" s="61">
        <f t="shared" si="1753"/>
        <v>-65000000</v>
      </c>
      <c r="TGM69" s="61">
        <f t="shared" si="1753"/>
        <v>-65000000</v>
      </c>
      <c r="TGN69" s="61">
        <f t="shared" si="1753"/>
        <v>-65000000</v>
      </c>
      <c r="TGO69" s="61">
        <f t="shared" si="1753"/>
        <v>-65000000</v>
      </c>
      <c r="TGP69" s="61">
        <f t="shared" si="1753"/>
        <v>-65000000</v>
      </c>
      <c r="TGQ69" s="61">
        <f t="shared" si="1753"/>
        <v>-65000000</v>
      </c>
      <c r="TGR69" s="61">
        <f t="shared" si="1753"/>
        <v>-65000000</v>
      </c>
      <c r="TGS69" s="61">
        <f t="shared" si="1753"/>
        <v>-65000000</v>
      </c>
      <c r="TGT69" s="61">
        <f t="shared" si="1753"/>
        <v>-65000000</v>
      </c>
      <c r="TGU69" s="61">
        <f t="shared" si="1753"/>
        <v>-65000000</v>
      </c>
      <c r="TGV69" s="61">
        <f t="shared" si="1753"/>
        <v>-65000000</v>
      </c>
      <c r="TGW69" s="61">
        <f t="shared" si="1753"/>
        <v>-65000000</v>
      </c>
      <c r="TGX69" s="61">
        <f t="shared" si="1753"/>
        <v>-65000000</v>
      </c>
      <c r="TGY69" s="61">
        <f t="shared" ref="TGY69:TJJ69" si="1754">TGY68-$EC$11-TGY11</f>
        <v>-65000000</v>
      </c>
      <c r="TGZ69" s="61">
        <f t="shared" si="1754"/>
        <v>-65000000</v>
      </c>
      <c r="THA69" s="61">
        <f t="shared" si="1754"/>
        <v>-65000000</v>
      </c>
      <c r="THB69" s="61">
        <f t="shared" si="1754"/>
        <v>-65000000</v>
      </c>
      <c r="THC69" s="61">
        <f t="shared" si="1754"/>
        <v>-65000000</v>
      </c>
      <c r="THD69" s="61">
        <f t="shared" si="1754"/>
        <v>-65000000</v>
      </c>
      <c r="THE69" s="61">
        <f t="shared" si="1754"/>
        <v>-65000000</v>
      </c>
      <c r="THF69" s="61">
        <f t="shared" si="1754"/>
        <v>-65000000</v>
      </c>
      <c r="THG69" s="61">
        <f t="shared" si="1754"/>
        <v>-65000000</v>
      </c>
      <c r="THH69" s="61">
        <f t="shared" si="1754"/>
        <v>-65000000</v>
      </c>
      <c r="THI69" s="61">
        <f t="shared" si="1754"/>
        <v>-65000000</v>
      </c>
      <c r="THJ69" s="61">
        <f t="shared" si="1754"/>
        <v>-65000000</v>
      </c>
      <c r="THK69" s="61">
        <f t="shared" si="1754"/>
        <v>-65000000</v>
      </c>
      <c r="THL69" s="61">
        <f t="shared" si="1754"/>
        <v>-65000000</v>
      </c>
      <c r="THM69" s="61">
        <f t="shared" si="1754"/>
        <v>-65000000</v>
      </c>
      <c r="THN69" s="61">
        <f t="shared" si="1754"/>
        <v>-65000000</v>
      </c>
      <c r="THO69" s="61">
        <f t="shared" si="1754"/>
        <v>-65000000</v>
      </c>
      <c r="THP69" s="61">
        <f t="shared" si="1754"/>
        <v>-65000000</v>
      </c>
      <c r="THQ69" s="61">
        <f t="shared" si="1754"/>
        <v>-65000000</v>
      </c>
      <c r="THR69" s="61">
        <f t="shared" si="1754"/>
        <v>-65000000</v>
      </c>
      <c r="THS69" s="61">
        <f t="shared" si="1754"/>
        <v>-65000000</v>
      </c>
      <c r="THT69" s="61">
        <f t="shared" si="1754"/>
        <v>-65000000</v>
      </c>
      <c r="THU69" s="61">
        <f t="shared" si="1754"/>
        <v>-65000000</v>
      </c>
      <c r="THV69" s="61">
        <f t="shared" si="1754"/>
        <v>-65000000</v>
      </c>
      <c r="THW69" s="61">
        <f t="shared" si="1754"/>
        <v>-65000000</v>
      </c>
      <c r="THX69" s="61">
        <f t="shared" si="1754"/>
        <v>-65000000</v>
      </c>
      <c r="THY69" s="61">
        <f t="shared" si="1754"/>
        <v>-65000000</v>
      </c>
      <c r="THZ69" s="61">
        <f t="shared" si="1754"/>
        <v>-65000000</v>
      </c>
      <c r="TIA69" s="61">
        <f t="shared" si="1754"/>
        <v>-65000000</v>
      </c>
      <c r="TIB69" s="61">
        <f t="shared" si="1754"/>
        <v>-65000000</v>
      </c>
      <c r="TIC69" s="61">
        <f t="shared" si="1754"/>
        <v>-65000000</v>
      </c>
      <c r="TID69" s="61">
        <f t="shared" si="1754"/>
        <v>-65000000</v>
      </c>
      <c r="TIE69" s="61">
        <f t="shared" si="1754"/>
        <v>-65000000</v>
      </c>
      <c r="TIF69" s="61">
        <f t="shared" si="1754"/>
        <v>-65000000</v>
      </c>
      <c r="TIG69" s="61">
        <f t="shared" si="1754"/>
        <v>-65000000</v>
      </c>
      <c r="TIH69" s="61">
        <f t="shared" si="1754"/>
        <v>-65000000</v>
      </c>
      <c r="TII69" s="61">
        <f t="shared" si="1754"/>
        <v>-65000000</v>
      </c>
      <c r="TIJ69" s="61">
        <f t="shared" si="1754"/>
        <v>-65000000</v>
      </c>
      <c r="TIK69" s="61">
        <f t="shared" si="1754"/>
        <v>-65000000</v>
      </c>
      <c r="TIL69" s="61">
        <f t="shared" si="1754"/>
        <v>-65000000</v>
      </c>
      <c r="TIM69" s="61">
        <f t="shared" si="1754"/>
        <v>-65000000</v>
      </c>
      <c r="TIN69" s="61">
        <f t="shared" si="1754"/>
        <v>-65000000</v>
      </c>
      <c r="TIO69" s="61">
        <f t="shared" si="1754"/>
        <v>-65000000</v>
      </c>
      <c r="TIP69" s="61">
        <f t="shared" si="1754"/>
        <v>-65000000</v>
      </c>
      <c r="TIQ69" s="61">
        <f t="shared" si="1754"/>
        <v>-65000000</v>
      </c>
      <c r="TIR69" s="61">
        <f t="shared" si="1754"/>
        <v>-65000000</v>
      </c>
      <c r="TIS69" s="61">
        <f t="shared" si="1754"/>
        <v>-65000000</v>
      </c>
      <c r="TIT69" s="61">
        <f t="shared" si="1754"/>
        <v>-65000000</v>
      </c>
      <c r="TIU69" s="61">
        <f t="shared" si="1754"/>
        <v>-65000000</v>
      </c>
      <c r="TIV69" s="61">
        <f t="shared" si="1754"/>
        <v>-65000000</v>
      </c>
      <c r="TIW69" s="61">
        <f t="shared" si="1754"/>
        <v>-65000000</v>
      </c>
      <c r="TIX69" s="61">
        <f t="shared" si="1754"/>
        <v>-65000000</v>
      </c>
      <c r="TIY69" s="61">
        <f t="shared" si="1754"/>
        <v>-65000000</v>
      </c>
      <c r="TIZ69" s="61">
        <f t="shared" si="1754"/>
        <v>-65000000</v>
      </c>
      <c r="TJA69" s="61">
        <f t="shared" si="1754"/>
        <v>-65000000</v>
      </c>
      <c r="TJB69" s="61">
        <f t="shared" si="1754"/>
        <v>-65000000</v>
      </c>
      <c r="TJC69" s="61">
        <f t="shared" si="1754"/>
        <v>-65000000</v>
      </c>
      <c r="TJD69" s="61">
        <f t="shared" si="1754"/>
        <v>-65000000</v>
      </c>
      <c r="TJE69" s="61">
        <f t="shared" si="1754"/>
        <v>-65000000</v>
      </c>
      <c r="TJF69" s="61">
        <f t="shared" si="1754"/>
        <v>-65000000</v>
      </c>
      <c r="TJG69" s="61">
        <f t="shared" si="1754"/>
        <v>-65000000</v>
      </c>
      <c r="TJH69" s="61">
        <f t="shared" si="1754"/>
        <v>-65000000</v>
      </c>
      <c r="TJI69" s="61">
        <f t="shared" si="1754"/>
        <v>-65000000</v>
      </c>
      <c r="TJJ69" s="61">
        <f t="shared" si="1754"/>
        <v>-65000000</v>
      </c>
      <c r="TJK69" s="61">
        <f t="shared" ref="TJK69:TLV69" si="1755">TJK68-$EC$11-TJK11</f>
        <v>-65000000</v>
      </c>
      <c r="TJL69" s="61">
        <f t="shared" si="1755"/>
        <v>-65000000</v>
      </c>
      <c r="TJM69" s="61">
        <f t="shared" si="1755"/>
        <v>-65000000</v>
      </c>
      <c r="TJN69" s="61">
        <f t="shared" si="1755"/>
        <v>-65000000</v>
      </c>
      <c r="TJO69" s="61">
        <f t="shared" si="1755"/>
        <v>-65000000</v>
      </c>
      <c r="TJP69" s="61">
        <f t="shared" si="1755"/>
        <v>-65000000</v>
      </c>
      <c r="TJQ69" s="61">
        <f t="shared" si="1755"/>
        <v>-65000000</v>
      </c>
      <c r="TJR69" s="61">
        <f t="shared" si="1755"/>
        <v>-65000000</v>
      </c>
      <c r="TJS69" s="61">
        <f t="shared" si="1755"/>
        <v>-65000000</v>
      </c>
      <c r="TJT69" s="61">
        <f t="shared" si="1755"/>
        <v>-65000000</v>
      </c>
      <c r="TJU69" s="61">
        <f t="shared" si="1755"/>
        <v>-65000000</v>
      </c>
      <c r="TJV69" s="61">
        <f t="shared" si="1755"/>
        <v>-65000000</v>
      </c>
      <c r="TJW69" s="61">
        <f t="shared" si="1755"/>
        <v>-65000000</v>
      </c>
      <c r="TJX69" s="61">
        <f t="shared" si="1755"/>
        <v>-65000000</v>
      </c>
      <c r="TJY69" s="61">
        <f t="shared" si="1755"/>
        <v>-65000000</v>
      </c>
      <c r="TJZ69" s="61">
        <f t="shared" si="1755"/>
        <v>-65000000</v>
      </c>
      <c r="TKA69" s="61">
        <f t="shared" si="1755"/>
        <v>-65000000</v>
      </c>
      <c r="TKB69" s="61">
        <f t="shared" si="1755"/>
        <v>-65000000</v>
      </c>
      <c r="TKC69" s="61">
        <f t="shared" si="1755"/>
        <v>-65000000</v>
      </c>
      <c r="TKD69" s="61">
        <f t="shared" si="1755"/>
        <v>-65000000</v>
      </c>
      <c r="TKE69" s="61">
        <f t="shared" si="1755"/>
        <v>-65000000</v>
      </c>
      <c r="TKF69" s="61">
        <f t="shared" si="1755"/>
        <v>-65000000</v>
      </c>
      <c r="TKG69" s="61">
        <f t="shared" si="1755"/>
        <v>-65000000</v>
      </c>
      <c r="TKH69" s="61">
        <f t="shared" si="1755"/>
        <v>-65000000</v>
      </c>
      <c r="TKI69" s="61">
        <f t="shared" si="1755"/>
        <v>-65000000</v>
      </c>
      <c r="TKJ69" s="61">
        <f t="shared" si="1755"/>
        <v>-65000000</v>
      </c>
      <c r="TKK69" s="61">
        <f t="shared" si="1755"/>
        <v>-65000000</v>
      </c>
      <c r="TKL69" s="61">
        <f t="shared" si="1755"/>
        <v>-65000000</v>
      </c>
      <c r="TKM69" s="61">
        <f t="shared" si="1755"/>
        <v>-65000000</v>
      </c>
      <c r="TKN69" s="61">
        <f t="shared" si="1755"/>
        <v>-65000000</v>
      </c>
      <c r="TKO69" s="61">
        <f t="shared" si="1755"/>
        <v>-65000000</v>
      </c>
      <c r="TKP69" s="61">
        <f t="shared" si="1755"/>
        <v>-65000000</v>
      </c>
      <c r="TKQ69" s="61">
        <f t="shared" si="1755"/>
        <v>-65000000</v>
      </c>
      <c r="TKR69" s="61">
        <f t="shared" si="1755"/>
        <v>-65000000</v>
      </c>
      <c r="TKS69" s="61">
        <f t="shared" si="1755"/>
        <v>-65000000</v>
      </c>
      <c r="TKT69" s="61">
        <f t="shared" si="1755"/>
        <v>-65000000</v>
      </c>
      <c r="TKU69" s="61">
        <f t="shared" si="1755"/>
        <v>-65000000</v>
      </c>
      <c r="TKV69" s="61">
        <f t="shared" si="1755"/>
        <v>-65000000</v>
      </c>
      <c r="TKW69" s="61">
        <f t="shared" si="1755"/>
        <v>-65000000</v>
      </c>
      <c r="TKX69" s="61">
        <f t="shared" si="1755"/>
        <v>-65000000</v>
      </c>
      <c r="TKY69" s="61">
        <f t="shared" si="1755"/>
        <v>-65000000</v>
      </c>
      <c r="TKZ69" s="61">
        <f t="shared" si="1755"/>
        <v>-65000000</v>
      </c>
      <c r="TLA69" s="61">
        <f t="shared" si="1755"/>
        <v>-65000000</v>
      </c>
      <c r="TLB69" s="61">
        <f t="shared" si="1755"/>
        <v>-65000000</v>
      </c>
      <c r="TLC69" s="61">
        <f t="shared" si="1755"/>
        <v>-65000000</v>
      </c>
      <c r="TLD69" s="61">
        <f t="shared" si="1755"/>
        <v>-65000000</v>
      </c>
      <c r="TLE69" s="61">
        <f t="shared" si="1755"/>
        <v>-65000000</v>
      </c>
      <c r="TLF69" s="61">
        <f t="shared" si="1755"/>
        <v>-65000000</v>
      </c>
      <c r="TLG69" s="61">
        <f t="shared" si="1755"/>
        <v>-65000000</v>
      </c>
      <c r="TLH69" s="61">
        <f t="shared" si="1755"/>
        <v>-65000000</v>
      </c>
      <c r="TLI69" s="61">
        <f t="shared" si="1755"/>
        <v>-65000000</v>
      </c>
      <c r="TLJ69" s="61">
        <f t="shared" si="1755"/>
        <v>-65000000</v>
      </c>
      <c r="TLK69" s="61">
        <f t="shared" si="1755"/>
        <v>-65000000</v>
      </c>
      <c r="TLL69" s="61">
        <f t="shared" si="1755"/>
        <v>-65000000</v>
      </c>
      <c r="TLM69" s="61">
        <f t="shared" si="1755"/>
        <v>-65000000</v>
      </c>
      <c r="TLN69" s="61">
        <f t="shared" si="1755"/>
        <v>-65000000</v>
      </c>
      <c r="TLO69" s="61">
        <f t="shared" si="1755"/>
        <v>-65000000</v>
      </c>
      <c r="TLP69" s="61">
        <f t="shared" si="1755"/>
        <v>-65000000</v>
      </c>
      <c r="TLQ69" s="61">
        <f t="shared" si="1755"/>
        <v>-65000000</v>
      </c>
      <c r="TLR69" s="61">
        <f t="shared" si="1755"/>
        <v>-65000000</v>
      </c>
      <c r="TLS69" s="61">
        <f t="shared" si="1755"/>
        <v>-65000000</v>
      </c>
      <c r="TLT69" s="61">
        <f t="shared" si="1755"/>
        <v>-65000000</v>
      </c>
      <c r="TLU69" s="61">
        <f t="shared" si="1755"/>
        <v>-65000000</v>
      </c>
      <c r="TLV69" s="61">
        <f t="shared" si="1755"/>
        <v>-65000000</v>
      </c>
      <c r="TLW69" s="61">
        <f t="shared" ref="TLW69:TOH69" si="1756">TLW68-$EC$11-TLW11</f>
        <v>-65000000</v>
      </c>
      <c r="TLX69" s="61">
        <f t="shared" si="1756"/>
        <v>-65000000</v>
      </c>
      <c r="TLY69" s="61">
        <f t="shared" si="1756"/>
        <v>-65000000</v>
      </c>
      <c r="TLZ69" s="61">
        <f t="shared" si="1756"/>
        <v>-65000000</v>
      </c>
      <c r="TMA69" s="61">
        <f t="shared" si="1756"/>
        <v>-65000000</v>
      </c>
      <c r="TMB69" s="61">
        <f t="shared" si="1756"/>
        <v>-65000000</v>
      </c>
      <c r="TMC69" s="61">
        <f t="shared" si="1756"/>
        <v>-65000000</v>
      </c>
      <c r="TMD69" s="61">
        <f t="shared" si="1756"/>
        <v>-65000000</v>
      </c>
      <c r="TME69" s="61">
        <f t="shared" si="1756"/>
        <v>-65000000</v>
      </c>
      <c r="TMF69" s="61">
        <f t="shared" si="1756"/>
        <v>-65000000</v>
      </c>
      <c r="TMG69" s="61">
        <f t="shared" si="1756"/>
        <v>-65000000</v>
      </c>
      <c r="TMH69" s="61">
        <f t="shared" si="1756"/>
        <v>-65000000</v>
      </c>
      <c r="TMI69" s="61">
        <f t="shared" si="1756"/>
        <v>-65000000</v>
      </c>
      <c r="TMJ69" s="61">
        <f t="shared" si="1756"/>
        <v>-65000000</v>
      </c>
      <c r="TMK69" s="61">
        <f t="shared" si="1756"/>
        <v>-65000000</v>
      </c>
      <c r="TML69" s="61">
        <f t="shared" si="1756"/>
        <v>-65000000</v>
      </c>
      <c r="TMM69" s="61">
        <f t="shared" si="1756"/>
        <v>-65000000</v>
      </c>
      <c r="TMN69" s="61">
        <f t="shared" si="1756"/>
        <v>-65000000</v>
      </c>
      <c r="TMO69" s="61">
        <f t="shared" si="1756"/>
        <v>-65000000</v>
      </c>
      <c r="TMP69" s="61">
        <f t="shared" si="1756"/>
        <v>-65000000</v>
      </c>
      <c r="TMQ69" s="61">
        <f t="shared" si="1756"/>
        <v>-65000000</v>
      </c>
      <c r="TMR69" s="61">
        <f t="shared" si="1756"/>
        <v>-65000000</v>
      </c>
      <c r="TMS69" s="61">
        <f t="shared" si="1756"/>
        <v>-65000000</v>
      </c>
      <c r="TMT69" s="61">
        <f t="shared" si="1756"/>
        <v>-65000000</v>
      </c>
      <c r="TMU69" s="61">
        <f t="shared" si="1756"/>
        <v>-65000000</v>
      </c>
      <c r="TMV69" s="61">
        <f t="shared" si="1756"/>
        <v>-65000000</v>
      </c>
      <c r="TMW69" s="61">
        <f t="shared" si="1756"/>
        <v>-65000000</v>
      </c>
      <c r="TMX69" s="61">
        <f t="shared" si="1756"/>
        <v>-65000000</v>
      </c>
      <c r="TMY69" s="61">
        <f t="shared" si="1756"/>
        <v>-65000000</v>
      </c>
      <c r="TMZ69" s="61">
        <f t="shared" si="1756"/>
        <v>-65000000</v>
      </c>
      <c r="TNA69" s="61">
        <f t="shared" si="1756"/>
        <v>-65000000</v>
      </c>
      <c r="TNB69" s="61">
        <f t="shared" si="1756"/>
        <v>-65000000</v>
      </c>
      <c r="TNC69" s="61">
        <f t="shared" si="1756"/>
        <v>-65000000</v>
      </c>
      <c r="TND69" s="61">
        <f t="shared" si="1756"/>
        <v>-65000000</v>
      </c>
      <c r="TNE69" s="61">
        <f t="shared" si="1756"/>
        <v>-65000000</v>
      </c>
      <c r="TNF69" s="61">
        <f t="shared" si="1756"/>
        <v>-65000000</v>
      </c>
      <c r="TNG69" s="61">
        <f t="shared" si="1756"/>
        <v>-65000000</v>
      </c>
      <c r="TNH69" s="61">
        <f t="shared" si="1756"/>
        <v>-65000000</v>
      </c>
      <c r="TNI69" s="61">
        <f t="shared" si="1756"/>
        <v>-65000000</v>
      </c>
      <c r="TNJ69" s="61">
        <f t="shared" si="1756"/>
        <v>-65000000</v>
      </c>
      <c r="TNK69" s="61">
        <f t="shared" si="1756"/>
        <v>-65000000</v>
      </c>
      <c r="TNL69" s="61">
        <f t="shared" si="1756"/>
        <v>-65000000</v>
      </c>
      <c r="TNM69" s="61">
        <f t="shared" si="1756"/>
        <v>-65000000</v>
      </c>
      <c r="TNN69" s="61">
        <f t="shared" si="1756"/>
        <v>-65000000</v>
      </c>
      <c r="TNO69" s="61">
        <f t="shared" si="1756"/>
        <v>-65000000</v>
      </c>
      <c r="TNP69" s="61">
        <f t="shared" si="1756"/>
        <v>-65000000</v>
      </c>
      <c r="TNQ69" s="61">
        <f t="shared" si="1756"/>
        <v>-65000000</v>
      </c>
      <c r="TNR69" s="61">
        <f t="shared" si="1756"/>
        <v>-65000000</v>
      </c>
      <c r="TNS69" s="61">
        <f t="shared" si="1756"/>
        <v>-65000000</v>
      </c>
      <c r="TNT69" s="61">
        <f t="shared" si="1756"/>
        <v>-65000000</v>
      </c>
      <c r="TNU69" s="61">
        <f t="shared" si="1756"/>
        <v>-65000000</v>
      </c>
      <c r="TNV69" s="61">
        <f t="shared" si="1756"/>
        <v>-65000000</v>
      </c>
      <c r="TNW69" s="61">
        <f t="shared" si="1756"/>
        <v>-65000000</v>
      </c>
      <c r="TNX69" s="61">
        <f t="shared" si="1756"/>
        <v>-65000000</v>
      </c>
      <c r="TNY69" s="61">
        <f t="shared" si="1756"/>
        <v>-65000000</v>
      </c>
      <c r="TNZ69" s="61">
        <f t="shared" si="1756"/>
        <v>-65000000</v>
      </c>
      <c r="TOA69" s="61">
        <f t="shared" si="1756"/>
        <v>-65000000</v>
      </c>
      <c r="TOB69" s="61">
        <f t="shared" si="1756"/>
        <v>-65000000</v>
      </c>
      <c r="TOC69" s="61">
        <f t="shared" si="1756"/>
        <v>-65000000</v>
      </c>
      <c r="TOD69" s="61">
        <f t="shared" si="1756"/>
        <v>-65000000</v>
      </c>
      <c r="TOE69" s="61">
        <f t="shared" si="1756"/>
        <v>-65000000</v>
      </c>
      <c r="TOF69" s="61">
        <f t="shared" si="1756"/>
        <v>-65000000</v>
      </c>
      <c r="TOG69" s="61">
        <f t="shared" si="1756"/>
        <v>-65000000</v>
      </c>
      <c r="TOH69" s="61">
        <f t="shared" si="1756"/>
        <v>-65000000</v>
      </c>
      <c r="TOI69" s="61">
        <f t="shared" ref="TOI69:TQT69" si="1757">TOI68-$EC$11-TOI11</f>
        <v>-65000000</v>
      </c>
      <c r="TOJ69" s="61">
        <f t="shared" si="1757"/>
        <v>-65000000</v>
      </c>
      <c r="TOK69" s="61">
        <f t="shared" si="1757"/>
        <v>-65000000</v>
      </c>
      <c r="TOL69" s="61">
        <f t="shared" si="1757"/>
        <v>-65000000</v>
      </c>
      <c r="TOM69" s="61">
        <f t="shared" si="1757"/>
        <v>-65000000</v>
      </c>
      <c r="TON69" s="61">
        <f t="shared" si="1757"/>
        <v>-65000000</v>
      </c>
      <c r="TOO69" s="61">
        <f t="shared" si="1757"/>
        <v>-65000000</v>
      </c>
      <c r="TOP69" s="61">
        <f t="shared" si="1757"/>
        <v>-65000000</v>
      </c>
      <c r="TOQ69" s="61">
        <f t="shared" si="1757"/>
        <v>-65000000</v>
      </c>
      <c r="TOR69" s="61">
        <f t="shared" si="1757"/>
        <v>-65000000</v>
      </c>
      <c r="TOS69" s="61">
        <f t="shared" si="1757"/>
        <v>-65000000</v>
      </c>
      <c r="TOT69" s="61">
        <f t="shared" si="1757"/>
        <v>-65000000</v>
      </c>
      <c r="TOU69" s="61">
        <f t="shared" si="1757"/>
        <v>-65000000</v>
      </c>
      <c r="TOV69" s="61">
        <f t="shared" si="1757"/>
        <v>-65000000</v>
      </c>
      <c r="TOW69" s="61">
        <f t="shared" si="1757"/>
        <v>-65000000</v>
      </c>
      <c r="TOX69" s="61">
        <f t="shared" si="1757"/>
        <v>-65000000</v>
      </c>
      <c r="TOY69" s="61">
        <f t="shared" si="1757"/>
        <v>-65000000</v>
      </c>
      <c r="TOZ69" s="61">
        <f t="shared" si="1757"/>
        <v>-65000000</v>
      </c>
      <c r="TPA69" s="61">
        <f t="shared" si="1757"/>
        <v>-65000000</v>
      </c>
      <c r="TPB69" s="61">
        <f t="shared" si="1757"/>
        <v>-65000000</v>
      </c>
      <c r="TPC69" s="61">
        <f t="shared" si="1757"/>
        <v>-65000000</v>
      </c>
      <c r="TPD69" s="61">
        <f t="shared" si="1757"/>
        <v>-65000000</v>
      </c>
      <c r="TPE69" s="61">
        <f t="shared" si="1757"/>
        <v>-65000000</v>
      </c>
      <c r="TPF69" s="61">
        <f t="shared" si="1757"/>
        <v>-65000000</v>
      </c>
      <c r="TPG69" s="61">
        <f t="shared" si="1757"/>
        <v>-65000000</v>
      </c>
      <c r="TPH69" s="61">
        <f t="shared" si="1757"/>
        <v>-65000000</v>
      </c>
      <c r="TPI69" s="61">
        <f t="shared" si="1757"/>
        <v>-65000000</v>
      </c>
      <c r="TPJ69" s="61">
        <f t="shared" si="1757"/>
        <v>-65000000</v>
      </c>
      <c r="TPK69" s="61">
        <f t="shared" si="1757"/>
        <v>-65000000</v>
      </c>
      <c r="TPL69" s="61">
        <f t="shared" si="1757"/>
        <v>-65000000</v>
      </c>
      <c r="TPM69" s="61">
        <f t="shared" si="1757"/>
        <v>-65000000</v>
      </c>
      <c r="TPN69" s="61">
        <f t="shared" si="1757"/>
        <v>-65000000</v>
      </c>
      <c r="TPO69" s="61">
        <f t="shared" si="1757"/>
        <v>-65000000</v>
      </c>
      <c r="TPP69" s="61">
        <f t="shared" si="1757"/>
        <v>-65000000</v>
      </c>
      <c r="TPQ69" s="61">
        <f t="shared" si="1757"/>
        <v>-65000000</v>
      </c>
      <c r="TPR69" s="61">
        <f t="shared" si="1757"/>
        <v>-65000000</v>
      </c>
      <c r="TPS69" s="61">
        <f t="shared" si="1757"/>
        <v>-65000000</v>
      </c>
      <c r="TPT69" s="61">
        <f t="shared" si="1757"/>
        <v>-65000000</v>
      </c>
      <c r="TPU69" s="61">
        <f t="shared" si="1757"/>
        <v>-65000000</v>
      </c>
      <c r="TPV69" s="61">
        <f t="shared" si="1757"/>
        <v>-65000000</v>
      </c>
      <c r="TPW69" s="61">
        <f t="shared" si="1757"/>
        <v>-65000000</v>
      </c>
      <c r="TPX69" s="61">
        <f t="shared" si="1757"/>
        <v>-65000000</v>
      </c>
      <c r="TPY69" s="61">
        <f t="shared" si="1757"/>
        <v>-65000000</v>
      </c>
      <c r="TPZ69" s="61">
        <f t="shared" si="1757"/>
        <v>-65000000</v>
      </c>
      <c r="TQA69" s="61">
        <f t="shared" si="1757"/>
        <v>-65000000</v>
      </c>
      <c r="TQB69" s="61">
        <f t="shared" si="1757"/>
        <v>-65000000</v>
      </c>
      <c r="TQC69" s="61">
        <f t="shared" si="1757"/>
        <v>-65000000</v>
      </c>
      <c r="TQD69" s="61">
        <f t="shared" si="1757"/>
        <v>-65000000</v>
      </c>
      <c r="TQE69" s="61">
        <f t="shared" si="1757"/>
        <v>-65000000</v>
      </c>
      <c r="TQF69" s="61">
        <f t="shared" si="1757"/>
        <v>-65000000</v>
      </c>
      <c r="TQG69" s="61">
        <f t="shared" si="1757"/>
        <v>-65000000</v>
      </c>
      <c r="TQH69" s="61">
        <f t="shared" si="1757"/>
        <v>-65000000</v>
      </c>
      <c r="TQI69" s="61">
        <f t="shared" si="1757"/>
        <v>-65000000</v>
      </c>
      <c r="TQJ69" s="61">
        <f t="shared" si="1757"/>
        <v>-65000000</v>
      </c>
      <c r="TQK69" s="61">
        <f t="shared" si="1757"/>
        <v>-65000000</v>
      </c>
      <c r="TQL69" s="61">
        <f t="shared" si="1757"/>
        <v>-65000000</v>
      </c>
      <c r="TQM69" s="61">
        <f t="shared" si="1757"/>
        <v>-65000000</v>
      </c>
      <c r="TQN69" s="61">
        <f t="shared" si="1757"/>
        <v>-65000000</v>
      </c>
      <c r="TQO69" s="61">
        <f t="shared" si="1757"/>
        <v>-65000000</v>
      </c>
      <c r="TQP69" s="61">
        <f t="shared" si="1757"/>
        <v>-65000000</v>
      </c>
      <c r="TQQ69" s="61">
        <f t="shared" si="1757"/>
        <v>-65000000</v>
      </c>
      <c r="TQR69" s="61">
        <f t="shared" si="1757"/>
        <v>-65000000</v>
      </c>
      <c r="TQS69" s="61">
        <f t="shared" si="1757"/>
        <v>-65000000</v>
      </c>
      <c r="TQT69" s="61">
        <f t="shared" si="1757"/>
        <v>-65000000</v>
      </c>
      <c r="TQU69" s="61">
        <f t="shared" ref="TQU69:TTF69" si="1758">TQU68-$EC$11-TQU11</f>
        <v>-65000000</v>
      </c>
      <c r="TQV69" s="61">
        <f t="shared" si="1758"/>
        <v>-65000000</v>
      </c>
      <c r="TQW69" s="61">
        <f t="shared" si="1758"/>
        <v>-65000000</v>
      </c>
      <c r="TQX69" s="61">
        <f t="shared" si="1758"/>
        <v>-65000000</v>
      </c>
      <c r="TQY69" s="61">
        <f t="shared" si="1758"/>
        <v>-65000000</v>
      </c>
      <c r="TQZ69" s="61">
        <f t="shared" si="1758"/>
        <v>-65000000</v>
      </c>
      <c r="TRA69" s="61">
        <f t="shared" si="1758"/>
        <v>-65000000</v>
      </c>
      <c r="TRB69" s="61">
        <f t="shared" si="1758"/>
        <v>-65000000</v>
      </c>
      <c r="TRC69" s="61">
        <f t="shared" si="1758"/>
        <v>-65000000</v>
      </c>
      <c r="TRD69" s="61">
        <f t="shared" si="1758"/>
        <v>-65000000</v>
      </c>
      <c r="TRE69" s="61">
        <f t="shared" si="1758"/>
        <v>-65000000</v>
      </c>
      <c r="TRF69" s="61">
        <f t="shared" si="1758"/>
        <v>-65000000</v>
      </c>
      <c r="TRG69" s="61">
        <f t="shared" si="1758"/>
        <v>-65000000</v>
      </c>
      <c r="TRH69" s="61">
        <f t="shared" si="1758"/>
        <v>-65000000</v>
      </c>
      <c r="TRI69" s="61">
        <f t="shared" si="1758"/>
        <v>-65000000</v>
      </c>
      <c r="TRJ69" s="61">
        <f t="shared" si="1758"/>
        <v>-65000000</v>
      </c>
      <c r="TRK69" s="61">
        <f t="shared" si="1758"/>
        <v>-65000000</v>
      </c>
      <c r="TRL69" s="61">
        <f t="shared" si="1758"/>
        <v>-65000000</v>
      </c>
      <c r="TRM69" s="61">
        <f t="shared" si="1758"/>
        <v>-65000000</v>
      </c>
      <c r="TRN69" s="61">
        <f t="shared" si="1758"/>
        <v>-65000000</v>
      </c>
      <c r="TRO69" s="61">
        <f t="shared" si="1758"/>
        <v>-65000000</v>
      </c>
      <c r="TRP69" s="61">
        <f t="shared" si="1758"/>
        <v>-65000000</v>
      </c>
      <c r="TRQ69" s="61">
        <f t="shared" si="1758"/>
        <v>-65000000</v>
      </c>
      <c r="TRR69" s="61">
        <f t="shared" si="1758"/>
        <v>-65000000</v>
      </c>
      <c r="TRS69" s="61">
        <f t="shared" si="1758"/>
        <v>-65000000</v>
      </c>
      <c r="TRT69" s="61">
        <f t="shared" si="1758"/>
        <v>-65000000</v>
      </c>
      <c r="TRU69" s="61">
        <f t="shared" si="1758"/>
        <v>-65000000</v>
      </c>
      <c r="TRV69" s="61">
        <f t="shared" si="1758"/>
        <v>-65000000</v>
      </c>
      <c r="TRW69" s="61">
        <f t="shared" si="1758"/>
        <v>-65000000</v>
      </c>
      <c r="TRX69" s="61">
        <f t="shared" si="1758"/>
        <v>-65000000</v>
      </c>
      <c r="TRY69" s="61">
        <f t="shared" si="1758"/>
        <v>-65000000</v>
      </c>
      <c r="TRZ69" s="61">
        <f t="shared" si="1758"/>
        <v>-65000000</v>
      </c>
      <c r="TSA69" s="61">
        <f t="shared" si="1758"/>
        <v>-65000000</v>
      </c>
      <c r="TSB69" s="61">
        <f t="shared" si="1758"/>
        <v>-65000000</v>
      </c>
      <c r="TSC69" s="61">
        <f t="shared" si="1758"/>
        <v>-65000000</v>
      </c>
      <c r="TSD69" s="61">
        <f t="shared" si="1758"/>
        <v>-65000000</v>
      </c>
      <c r="TSE69" s="61">
        <f t="shared" si="1758"/>
        <v>-65000000</v>
      </c>
      <c r="TSF69" s="61">
        <f t="shared" si="1758"/>
        <v>-65000000</v>
      </c>
      <c r="TSG69" s="61">
        <f t="shared" si="1758"/>
        <v>-65000000</v>
      </c>
      <c r="TSH69" s="61">
        <f t="shared" si="1758"/>
        <v>-65000000</v>
      </c>
      <c r="TSI69" s="61">
        <f t="shared" si="1758"/>
        <v>-65000000</v>
      </c>
      <c r="TSJ69" s="61">
        <f t="shared" si="1758"/>
        <v>-65000000</v>
      </c>
      <c r="TSK69" s="61">
        <f t="shared" si="1758"/>
        <v>-65000000</v>
      </c>
      <c r="TSL69" s="61">
        <f t="shared" si="1758"/>
        <v>-65000000</v>
      </c>
      <c r="TSM69" s="61">
        <f t="shared" si="1758"/>
        <v>-65000000</v>
      </c>
      <c r="TSN69" s="61">
        <f t="shared" si="1758"/>
        <v>-65000000</v>
      </c>
      <c r="TSO69" s="61">
        <f t="shared" si="1758"/>
        <v>-65000000</v>
      </c>
      <c r="TSP69" s="61">
        <f t="shared" si="1758"/>
        <v>-65000000</v>
      </c>
      <c r="TSQ69" s="61">
        <f t="shared" si="1758"/>
        <v>-65000000</v>
      </c>
      <c r="TSR69" s="61">
        <f t="shared" si="1758"/>
        <v>-65000000</v>
      </c>
      <c r="TSS69" s="61">
        <f t="shared" si="1758"/>
        <v>-65000000</v>
      </c>
      <c r="TST69" s="61">
        <f t="shared" si="1758"/>
        <v>-65000000</v>
      </c>
      <c r="TSU69" s="61">
        <f t="shared" si="1758"/>
        <v>-65000000</v>
      </c>
      <c r="TSV69" s="61">
        <f t="shared" si="1758"/>
        <v>-65000000</v>
      </c>
      <c r="TSW69" s="61">
        <f t="shared" si="1758"/>
        <v>-65000000</v>
      </c>
      <c r="TSX69" s="61">
        <f t="shared" si="1758"/>
        <v>-65000000</v>
      </c>
      <c r="TSY69" s="61">
        <f t="shared" si="1758"/>
        <v>-65000000</v>
      </c>
      <c r="TSZ69" s="61">
        <f t="shared" si="1758"/>
        <v>-65000000</v>
      </c>
      <c r="TTA69" s="61">
        <f t="shared" si="1758"/>
        <v>-65000000</v>
      </c>
      <c r="TTB69" s="61">
        <f t="shared" si="1758"/>
        <v>-65000000</v>
      </c>
      <c r="TTC69" s="61">
        <f t="shared" si="1758"/>
        <v>-65000000</v>
      </c>
      <c r="TTD69" s="61">
        <f t="shared" si="1758"/>
        <v>-65000000</v>
      </c>
      <c r="TTE69" s="61">
        <f t="shared" si="1758"/>
        <v>-65000000</v>
      </c>
      <c r="TTF69" s="61">
        <f t="shared" si="1758"/>
        <v>-65000000</v>
      </c>
      <c r="TTG69" s="61">
        <f t="shared" ref="TTG69:TVR69" si="1759">TTG68-$EC$11-TTG11</f>
        <v>-65000000</v>
      </c>
      <c r="TTH69" s="61">
        <f t="shared" si="1759"/>
        <v>-65000000</v>
      </c>
      <c r="TTI69" s="61">
        <f t="shared" si="1759"/>
        <v>-65000000</v>
      </c>
      <c r="TTJ69" s="61">
        <f t="shared" si="1759"/>
        <v>-65000000</v>
      </c>
      <c r="TTK69" s="61">
        <f t="shared" si="1759"/>
        <v>-65000000</v>
      </c>
      <c r="TTL69" s="61">
        <f t="shared" si="1759"/>
        <v>-65000000</v>
      </c>
      <c r="TTM69" s="61">
        <f t="shared" si="1759"/>
        <v>-65000000</v>
      </c>
      <c r="TTN69" s="61">
        <f t="shared" si="1759"/>
        <v>-65000000</v>
      </c>
      <c r="TTO69" s="61">
        <f t="shared" si="1759"/>
        <v>-65000000</v>
      </c>
      <c r="TTP69" s="61">
        <f t="shared" si="1759"/>
        <v>-65000000</v>
      </c>
      <c r="TTQ69" s="61">
        <f t="shared" si="1759"/>
        <v>-65000000</v>
      </c>
      <c r="TTR69" s="61">
        <f t="shared" si="1759"/>
        <v>-65000000</v>
      </c>
      <c r="TTS69" s="61">
        <f t="shared" si="1759"/>
        <v>-65000000</v>
      </c>
      <c r="TTT69" s="61">
        <f t="shared" si="1759"/>
        <v>-65000000</v>
      </c>
      <c r="TTU69" s="61">
        <f t="shared" si="1759"/>
        <v>-65000000</v>
      </c>
      <c r="TTV69" s="61">
        <f t="shared" si="1759"/>
        <v>-65000000</v>
      </c>
      <c r="TTW69" s="61">
        <f t="shared" si="1759"/>
        <v>-65000000</v>
      </c>
      <c r="TTX69" s="61">
        <f t="shared" si="1759"/>
        <v>-65000000</v>
      </c>
      <c r="TTY69" s="61">
        <f t="shared" si="1759"/>
        <v>-65000000</v>
      </c>
      <c r="TTZ69" s="61">
        <f t="shared" si="1759"/>
        <v>-65000000</v>
      </c>
      <c r="TUA69" s="61">
        <f t="shared" si="1759"/>
        <v>-65000000</v>
      </c>
      <c r="TUB69" s="61">
        <f t="shared" si="1759"/>
        <v>-65000000</v>
      </c>
      <c r="TUC69" s="61">
        <f t="shared" si="1759"/>
        <v>-65000000</v>
      </c>
      <c r="TUD69" s="61">
        <f t="shared" si="1759"/>
        <v>-65000000</v>
      </c>
      <c r="TUE69" s="61">
        <f t="shared" si="1759"/>
        <v>-65000000</v>
      </c>
      <c r="TUF69" s="61">
        <f t="shared" si="1759"/>
        <v>-65000000</v>
      </c>
      <c r="TUG69" s="61">
        <f t="shared" si="1759"/>
        <v>-65000000</v>
      </c>
      <c r="TUH69" s="61">
        <f t="shared" si="1759"/>
        <v>-65000000</v>
      </c>
      <c r="TUI69" s="61">
        <f t="shared" si="1759"/>
        <v>-65000000</v>
      </c>
      <c r="TUJ69" s="61">
        <f t="shared" si="1759"/>
        <v>-65000000</v>
      </c>
      <c r="TUK69" s="61">
        <f t="shared" si="1759"/>
        <v>-65000000</v>
      </c>
      <c r="TUL69" s="61">
        <f t="shared" si="1759"/>
        <v>-65000000</v>
      </c>
      <c r="TUM69" s="61">
        <f t="shared" si="1759"/>
        <v>-65000000</v>
      </c>
      <c r="TUN69" s="61">
        <f t="shared" si="1759"/>
        <v>-65000000</v>
      </c>
      <c r="TUO69" s="61">
        <f t="shared" si="1759"/>
        <v>-65000000</v>
      </c>
      <c r="TUP69" s="61">
        <f t="shared" si="1759"/>
        <v>-65000000</v>
      </c>
      <c r="TUQ69" s="61">
        <f t="shared" si="1759"/>
        <v>-65000000</v>
      </c>
      <c r="TUR69" s="61">
        <f t="shared" si="1759"/>
        <v>-65000000</v>
      </c>
      <c r="TUS69" s="61">
        <f t="shared" si="1759"/>
        <v>-65000000</v>
      </c>
      <c r="TUT69" s="61">
        <f t="shared" si="1759"/>
        <v>-65000000</v>
      </c>
      <c r="TUU69" s="61">
        <f t="shared" si="1759"/>
        <v>-65000000</v>
      </c>
      <c r="TUV69" s="61">
        <f t="shared" si="1759"/>
        <v>-65000000</v>
      </c>
      <c r="TUW69" s="61">
        <f t="shared" si="1759"/>
        <v>-65000000</v>
      </c>
      <c r="TUX69" s="61">
        <f t="shared" si="1759"/>
        <v>-65000000</v>
      </c>
      <c r="TUY69" s="61">
        <f t="shared" si="1759"/>
        <v>-65000000</v>
      </c>
      <c r="TUZ69" s="61">
        <f t="shared" si="1759"/>
        <v>-65000000</v>
      </c>
      <c r="TVA69" s="61">
        <f t="shared" si="1759"/>
        <v>-65000000</v>
      </c>
      <c r="TVB69" s="61">
        <f t="shared" si="1759"/>
        <v>-65000000</v>
      </c>
      <c r="TVC69" s="61">
        <f t="shared" si="1759"/>
        <v>-65000000</v>
      </c>
      <c r="TVD69" s="61">
        <f t="shared" si="1759"/>
        <v>-65000000</v>
      </c>
      <c r="TVE69" s="61">
        <f t="shared" si="1759"/>
        <v>-65000000</v>
      </c>
      <c r="TVF69" s="61">
        <f t="shared" si="1759"/>
        <v>-65000000</v>
      </c>
      <c r="TVG69" s="61">
        <f t="shared" si="1759"/>
        <v>-65000000</v>
      </c>
      <c r="TVH69" s="61">
        <f t="shared" si="1759"/>
        <v>-65000000</v>
      </c>
      <c r="TVI69" s="61">
        <f t="shared" si="1759"/>
        <v>-65000000</v>
      </c>
      <c r="TVJ69" s="61">
        <f t="shared" si="1759"/>
        <v>-65000000</v>
      </c>
      <c r="TVK69" s="61">
        <f t="shared" si="1759"/>
        <v>-65000000</v>
      </c>
      <c r="TVL69" s="61">
        <f t="shared" si="1759"/>
        <v>-65000000</v>
      </c>
      <c r="TVM69" s="61">
        <f t="shared" si="1759"/>
        <v>-65000000</v>
      </c>
      <c r="TVN69" s="61">
        <f t="shared" si="1759"/>
        <v>-65000000</v>
      </c>
      <c r="TVO69" s="61">
        <f t="shared" si="1759"/>
        <v>-65000000</v>
      </c>
      <c r="TVP69" s="61">
        <f t="shared" si="1759"/>
        <v>-65000000</v>
      </c>
      <c r="TVQ69" s="61">
        <f t="shared" si="1759"/>
        <v>-65000000</v>
      </c>
      <c r="TVR69" s="61">
        <f t="shared" si="1759"/>
        <v>-65000000</v>
      </c>
      <c r="TVS69" s="61">
        <f t="shared" ref="TVS69:TYD69" si="1760">TVS68-$EC$11-TVS11</f>
        <v>-65000000</v>
      </c>
      <c r="TVT69" s="61">
        <f t="shared" si="1760"/>
        <v>-65000000</v>
      </c>
      <c r="TVU69" s="61">
        <f t="shared" si="1760"/>
        <v>-65000000</v>
      </c>
      <c r="TVV69" s="61">
        <f t="shared" si="1760"/>
        <v>-65000000</v>
      </c>
      <c r="TVW69" s="61">
        <f t="shared" si="1760"/>
        <v>-65000000</v>
      </c>
      <c r="TVX69" s="61">
        <f t="shared" si="1760"/>
        <v>-65000000</v>
      </c>
      <c r="TVY69" s="61">
        <f t="shared" si="1760"/>
        <v>-65000000</v>
      </c>
      <c r="TVZ69" s="61">
        <f t="shared" si="1760"/>
        <v>-65000000</v>
      </c>
      <c r="TWA69" s="61">
        <f t="shared" si="1760"/>
        <v>-65000000</v>
      </c>
      <c r="TWB69" s="61">
        <f t="shared" si="1760"/>
        <v>-65000000</v>
      </c>
      <c r="TWC69" s="61">
        <f t="shared" si="1760"/>
        <v>-65000000</v>
      </c>
      <c r="TWD69" s="61">
        <f t="shared" si="1760"/>
        <v>-65000000</v>
      </c>
      <c r="TWE69" s="61">
        <f t="shared" si="1760"/>
        <v>-65000000</v>
      </c>
      <c r="TWF69" s="61">
        <f t="shared" si="1760"/>
        <v>-65000000</v>
      </c>
      <c r="TWG69" s="61">
        <f t="shared" si="1760"/>
        <v>-65000000</v>
      </c>
      <c r="TWH69" s="61">
        <f t="shared" si="1760"/>
        <v>-65000000</v>
      </c>
      <c r="TWI69" s="61">
        <f t="shared" si="1760"/>
        <v>-65000000</v>
      </c>
      <c r="TWJ69" s="61">
        <f t="shared" si="1760"/>
        <v>-65000000</v>
      </c>
      <c r="TWK69" s="61">
        <f t="shared" si="1760"/>
        <v>-65000000</v>
      </c>
      <c r="TWL69" s="61">
        <f t="shared" si="1760"/>
        <v>-65000000</v>
      </c>
      <c r="TWM69" s="61">
        <f t="shared" si="1760"/>
        <v>-65000000</v>
      </c>
      <c r="TWN69" s="61">
        <f t="shared" si="1760"/>
        <v>-65000000</v>
      </c>
      <c r="TWO69" s="61">
        <f t="shared" si="1760"/>
        <v>-65000000</v>
      </c>
      <c r="TWP69" s="61">
        <f t="shared" si="1760"/>
        <v>-65000000</v>
      </c>
      <c r="TWQ69" s="61">
        <f t="shared" si="1760"/>
        <v>-65000000</v>
      </c>
      <c r="TWR69" s="61">
        <f t="shared" si="1760"/>
        <v>-65000000</v>
      </c>
      <c r="TWS69" s="61">
        <f t="shared" si="1760"/>
        <v>-65000000</v>
      </c>
      <c r="TWT69" s="61">
        <f t="shared" si="1760"/>
        <v>-65000000</v>
      </c>
      <c r="TWU69" s="61">
        <f t="shared" si="1760"/>
        <v>-65000000</v>
      </c>
      <c r="TWV69" s="61">
        <f t="shared" si="1760"/>
        <v>-65000000</v>
      </c>
      <c r="TWW69" s="61">
        <f t="shared" si="1760"/>
        <v>-65000000</v>
      </c>
      <c r="TWX69" s="61">
        <f t="shared" si="1760"/>
        <v>-65000000</v>
      </c>
      <c r="TWY69" s="61">
        <f t="shared" si="1760"/>
        <v>-65000000</v>
      </c>
      <c r="TWZ69" s="61">
        <f t="shared" si="1760"/>
        <v>-65000000</v>
      </c>
      <c r="TXA69" s="61">
        <f t="shared" si="1760"/>
        <v>-65000000</v>
      </c>
      <c r="TXB69" s="61">
        <f t="shared" si="1760"/>
        <v>-65000000</v>
      </c>
      <c r="TXC69" s="61">
        <f t="shared" si="1760"/>
        <v>-65000000</v>
      </c>
      <c r="TXD69" s="61">
        <f t="shared" si="1760"/>
        <v>-65000000</v>
      </c>
      <c r="TXE69" s="61">
        <f t="shared" si="1760"/>
        <v>-65000000</v>
      </c>
      <c r="TXF69" s="61">
        <f t="shared" si="1760"/>
        <v>-65000000</v>
      </c>
      <c r="TXG69" s="61">
        <f t="shared" si="1760"/>
        <v>-65000000</v>
      </c>
      <c r="TXH69" s="61">
        <f t="shared" si="1760"/>
        <v>-65000000</v>
      </c>
      <c r="TXI69" s="61">
        <f t="shared" si="1760"/>
        <v>-65000000</v>
      </c>
      <c r="TXJ69" s="61">
        <f t="shared" si="1760"/>
        <v>-65000000</v>
      </c>
      <c r="TXK69" s="61">
        <f t="shared" si="1760"/>
        <v>-65000000</v>
      </c>
      <c r="TXL69" s="61">
        <f t="shared" si="1760"/>
        <v>-65000000</v>
      </c>
      <c r="TXM69" s="61">
        <f t="shared" si="1760"/>
        <v>-65000000</v>
      </c>
      <c r="TXN69" s="61">
        <f t="shared" si="1760"/>
        <v>-65000000</v>
      </c>
      <c r="TXO69" s="61">
        <f t="shared" si="1760"/>
        <v>-65000000</v>
      </c>
      <c r="TXP69" s="61">
        <f t="shared" si="1760"/>
        <v>-65000000</v>
      </c>
      <c r="TXQ69" s="61">
        <f t="shared" si="1760"/>
        <v>-65000000</v>
      </c>
      <c r="TXR69" s="61">
        <f t="shared" si="1760"/>
        <v>-65000000</v>
      </c>
      <c r="TXS69" s="61">
        <f t="shared" si="1760"/>
        <v>-65000000</v>
      </c>
      <c r="TXT69" s="61">
        <f t="shared" si="1760"/>
        <v>-65000000</v>
      </c>
      <c r="TXU69" s="61">
        <f t="shared" si="1760"/>
        <v>-65000000</v>
      </c>
      <c r="TXV69" s="61">
        <f t="shared" si="1760"/>
        <v>-65000000</v>
      </c>
      <c r="TXW69" s="61">
        <f t="shared" si="1760"/>
        <v>-65000000</v>
      </c>
      <c r="TXX69" s="61">
        <f t="shared" si="1760"/>
        <v>-65000000</v>
      </c>
      <c r="TXY69" s="61">
        <f t="shared" si="1760"/>
        <v>-65000000</v>
      </c>
      <c r="TXZ69" s="61">
        <f t="shared" si="1760"/>
        <v>-65000000</v>
      </c>
      <c r="TYA69" s="61">
        <f t="shared" si="1760"/>
        <v>-65000000</v>
      </c>
      <c r="TYB69" s="61">
        <f t="shared" si="1760"/>
        <v>-65000000</v>
      </c>
      <c r="TYC69" s="61">
        <f t="shared" si="1760"/>
        <v>-65000000</v>
      </c>
      <c r="TYD69" s="61">
        <f t="shared" si="1760"/>
        <v>-65000000</v>
      </c>
      <c r="TYE69" s="61">
        <f t="shared" ref="TYE69:UAP69" si="1761">TYE68-$EC$11-TYE11</f>
        <v>-65000000</v>
      </c>
      <c r="TYF69" s="61">
        <f t="shared" si="1761"/>
        <v>-65000000</v>
      </c>
      <c r="TYG69" s="61">
        <f t="shared" si="1761"/>
        <v>-65000000</v>
      </c>
      <c r="TYH69" s="61">
        <f t="shared" si="1761"/>
        <v>-65000000</v>
      </c>
      <c r="TYI69" s="61">
        <f t="shared" si="1761"/>
        <v>-65000000</v>
      </c>
      <c r="TYJ69" s="61">
        <f t="shared" si="1761"/>
        <v>-65000000</v>
      </c>
      <c r="TYK69" s="61">
        <f t="shared" si="1761"/>
        <v>-65000000</v>
      </c>
      <c r="TYL69" s="61">
        <f t="shared" si="1761"/>
        <v>-65000000</v>
      </c>
      <c r="TYM69" s="61">
        <f t="shared" si="1761"/>
        <v>-65000000</v>
      </c>
      <c r="TYN69" s="61">
        <f t="shared" si="1761"/>
        <v>-65000000</v>
      </c>
      <c r="TYO69" s="61">
        <f t="shared" si="1761"/>
        <v>-65000000</v>
      </c>
      <c r="TYP69" s="61">
        <f t="shared" si="1761"/>
        <v>-65000000</v>
      </c>
      <c r="TYQ69" s="61">
        <f t="shared" si="1761"/>
        <v>-65000000</v>
      </c>
      <c r="TYR69" s="61">
        <f t="shared" si="1761"/>
        <v>-65000000</v>
      </c>
      <c r="TYS69" s="61">
        <f t="shared" si="1761"/>
        <v>-65000000</v>
      </c>
      <c r="TYT69" s="61">
        <f t="shared" si="1761"/>
        <v>-65000000</v>
      </c>
      <c r="TYU69" s="61">
        <f t="shared" si="1761"/>
        <v>-65000000</v>
      </c>
      <c r="TYV69" s="61">
        <f t="shared" si="1761"/>
        <v>-65000000</v>
      </c>
      <c r="TYW69" s="61">
        <f t="shared" si="1761"/>
        <v>-65000000</v>
      </c>
      <c r="TYX69" s="61">
        <f t="shared" si="1761"/>
        <v>-65000000</v>
      </c>
      <c r="TYY69" s="61">
        <f t="shared" si="1761"/>
        <v>-65000000</v>
      </c>
      <c r="TYZ69" s="61">
        <f t="shared" si="1761"/>
        <v>-65000000</v>
      </c>
      <c r="TZA69" s="61">
        <f t="shared" si="1761"/>
        <v>-65000000</v>
      </c>
      <c r="TZB69" s="61">
        <f t="shared" si="1761"/>
        <v>-65000000</v>
      </c>
      <c r="TZC69" s="61">
        <f t="shared" si="1761"/>
        <v>-65000000</v>
      </c>
      <c r="TZD69" s="61">
        <f t="shared" si="1761"/>
        <v>-65000000</v>
      </c>
      <c r="TZE69" s="61">
        <f t="shared" si="1761"/>
        <v>-65000000</v>
      </c>
      <c r="TZF69" s="61">
        <f t="shared" si="1761"/>
        <v>-65000000</v>
      </c>
      <c r="TZG69" s="61">
        <f t="shared" si="1761"/>
        <v>-65000000</v>
      </c>
      <c r="TZH69" s="61">
        <f t="shared" si="1761"/>
        <v>-65000000</v>
      </c>
      <c r="TZI69" s="61">
        <f t="shared" si="1761"/>
        <v>-65000000</v>
      </c>
      <c r="TZJ69" s="61">
        <f t="shared" si="1761"/>
        <v>-65000000</v>
      </c>
      <c r="TZK69" s="61">
        <f t="shared" si="1761"/>
        <v>-65000000</v>
      </c>
      <c r="TZL69" s="61">
        <f t="shared" si="1761"/>
        <v>-65000000</v>
      </c>
      <c r="TZM69" s="61">
        <f t="shared" si="1761"/>
        <v>-65000000</v>
      </c>
      <c r="TZN69" s="61">
        <f t="shared" si="1761"/>
        <v>-65000000</v>
      </c>
      <c r="TZO69" s="61">
        <f t="shared" si="1761"/>
        <v>-65000000</v>
      </c>
      <c r="TZP69" s="61">
        <f t="shared" si="1761"/>
        <v>-65000000</v>
      </c>
      <c r="TZQ69" s="61">
        <f t="shared" si="1761"/>
        <v>-65000000</v>
      </c>
      <c r="TZR69" s="61">
        <f t="shared" si="1761"/>
        <v>-65000000</v>
      </c>
      <c r="TZS69" s="61">
        <f t="shared" si="1761"/>
        <v>-65000000</v>
      </c>
      <c r="TZT69" s="61">
        <f t="shared" si="1761"/>
        <v>-65000000</v>
      </c>
      <c r="TZU69" s="61">
        <f t="shared" si="1761"/>
        <v>-65000000</v>
      </c>
      <c r="TZV69" s="61">
        <f t="shared" si="1761"/>
        <v>-65000000</v>
      </c>
      <c r="TZW69" s="61">
        <f t="shared" si="1761"/>
        <v>-65000000</v>
      </c>
      <c r="TZX69" s="61">
        <f t="shared" si="1761"/>
        <v>-65000000</v>
      </c>
      <c r="TZY69" s="61">
        <f t="shared" si="1761"/>
        <v>-65000000</v>
      </c>
      <c r="TZZ69" s="61">
        <f t="shared" si="1761"/>
        <v>-65000000</v>
      </c>
      <c r="UAA69" s="61">
        <f t="shared" si="1761"/>
        <v>-65000000</v>
      </c>
      <c r="UAB69" s="61">
        <f t="shared" si="1761"/>
        <v>-65000000</v>
      </c>
      <c r="UAC69" s="61">
        <f t="shared" si="1761"/>
        <v>-65000000</v>
      </c>
      <c r="UAD69" s="61">
        <f t="shared" si="1761"/>
        <v>-65000000</v>
      </c>
      <c r="UAE69" s="61">
        <f t="shared" si="1761"/>
        <v>-65000000</v>
      </c>
      <c r="UAF69" s="61">
        <f t="shared" si="1761"/>
        <v>-65000000</v>
      </c>
      <c r="UAG69" s="61">
        <f t="shared" si="1761"/>
        <v>-65000000</v>
      </c>
      <c r="UAH69" s="61">
        <f t="shared" si="1761"/>
        <v>-65000000</v>
      </c>
      <c r="UAI69" s="61">
        <f t="shared" si="1761"/>
        <v>-65000000</v>
      </c>
      <c r="UAJ69" s="61">
        <f t="shared" si="1761"/>
        <v>-65000000</v>
      </c>
      <c r="UAK69" s="61">
        <f t="shared" si="1761"/>
        <v>-65000000</v>
      </c>
      <c r="UAL69" s="61">
        <f t="shared" si="1761"/>
        <v>-65000000</v>
      </c>
      <c r="UAM69" s="61">
        <f t="shared" si="1761"/>
        <v>-65000000</v>
      </c>
      <c r="UAN69" s="61">
        <f t="shared" si="1761"/>
        <v>-65000000</v>
      </c>
      <c r="UAO69" s="61">
        <f t="shared" si="1761"/>
        <v>-65000000</v>
      </c>
      <c r="UAP69" s="61">
        <f t="shared" si="1761"/>
        <v>-65000000</v>
      </c>
      <c r="UAQ69" s="61">
        <f t="shared" ref="UAQ69:UDB69" si="1762">UAQ68-$EC$11-UAQ11</f>
        <v>-65000000</v>
      </c>
      <c r="UAR69" s="61">
        <f t="shared" si="1762"/>
        <v>-65000000</v>
      </c>
      <c r="UAS69" s="61">
        <f t="shared" si="1762"/>
        <v>-65000000</v>
      </c>
      <c r="UAT69" s="61">
        <f t="shared" si="1762"/>
        <v>-65000000</v>
      </c>
      <c r="UAU69" s="61">
        <f t="shared" si="1762"/>
        <v>-65000000</v>
      </c>
      <c r="UAV69" s="61">
        <f t="shared" si="1762"/>
        <v>-65000000</v>
      </c>
      <c r="UAW69" s="61">
        <f t="shared" si="1762"/>
        <v>-65000000</v>
      </c>
      <c r="UAX69" s="61">
        <f t="shared" si="1762"/>
        <v>-65000000</v>
      </c>
      <c r="UAY69" s="61">
        <f t="shared" si="1762"/>
        <v>-65000000</v>
      </c>
      <c r="UAZ69" s="61">
        <f t="shared" si="1762"/>
        <v>-65000000</v>
      </c>
      <c r="UBA69" s="61">
        <f t="shared" si="1762"/>
        <v>-65000000</v>
      </c>
      <c r="UBB69" s="61">
        <f t="shared" si="1762"/>
        <v>-65000000</v>
      </c>
      <c r="UBC69" s="61">
        <f t="shared" si="1762"/>
        <v>-65000000</v>
      </c>
      <c r="UBD69" s="61">
        <f t="shared" si="1762"/>
        <v>-65000000</v>
      </c>
      <c r="UBE69" s="61">
        <f t="shared" si="1762"/>
        <v>-65000000</v>
      </c>
      <c r="UBF69" s="61">
        <f t="shared" si="1762"/>
        <v>-65000000</v>
      </c>
      <c r="UBG69" s="61">
        <f t="shared" si="1762"/>
        <v>-65000000</v>
      </c>
      <c r="UBH69" s="61">
        <f t="shared" si="1762"/>
        <v>-65000000</v>
      </c>
      <c r="UBI69" s="61">
        <f t="shared" si="1762"/>
        <v>-65000000</v>
      </c>
      <c r="UBJ69" s="61">
        <f t="shared" si="1762"/>
        <v>-65000000</v>
      </c>
      <c r="UBK69" s="61">
        <f t="shared" si="1762"/>
        <v>-65000000</v>
      </c>
      <c r="UBL69" s="61">
        <f t="shared" si="1762"/>
        <v>-65000000</v>
      </c>
      <c r="UBM69" s="61">
        <f t="shared" si="1762"/>
        <v>-65000000</v>
      </c>
      <c r="UBN69" s="61">
        <f t="shared" si="1762"/>
        <v>-65000000</v>
      </c>
      <c r="UBO69" s="61">
        <f t="shared" si="1762"/>
        <v>-65000000</v>
      </c>
      <c r="UBP69" s="61">
        <f t="shared" si="1762"/>
        <v>-65000000</v>
      </c>
      <c r="UBQ69" s="61">
        <f t="shared" si="1762"/>
        <v>-65000000</v>
      </c>
      <c r="UBR69" s="61">
        <f t="shared" si="1762"/>
        <v>-65000000</v>
      </c>
      <c r="UBS69" s="61">
        <f t="shared" si="1762"/>
        <v>-65000000</v>
      </c>
      <c r="UBT69" s="61">
        <f t="shared" si="1762"/>
        <v>-65000000</v>
      </c>
      <c r="UBU69" s="61">
        <f t="shared" si="1762"/>
        <v>-65000000</v>
      </c>
      <c r="UBV69" s="61">
        <f t="shared" si="1762"/>
        <v>-65000000</v>
      </c>
      <c r="UBW69" s="61">
        <f t="shared" si="1762"/>
        <v>-65000000</v>
      </c>
      <c r="UBX69" s="61">
        <f t="shared" si="1762"/>
        <v>-65000000</v>
      </c>
      <c r="UBY69" s="61">
        <f t="shared" si="1762"/>
        <v>-65000000</v>
      </c>
      <c r="UBZ69" s="61">
        <f t="shared" si="1762"/>
        <v>-65000000</v>
      </c>
      <c r="UCA69" s="61">
        <f t="shared" si="1762"/>
        <v>-65000000</v>
      </c>
      <c r="UCB69" s="61">
        <f t="shared" si="1762"/>
        <v>-65000000</v>
      </c>
      <c r="UCC69" s="61">
        <f t="shared" si="1762"/>
        <v>-65000000</v>
      </c>
      <c r="UCD69" s="61">
        <f t="shared" si="1762"/>
        <v>-65000000</v>
      </c>
      <c r="UCE69" s="61">
        <f t="shared" si="1762"/>
        <v>-65000000</v>
      </c>
      <c r="UCF69" s="61">
        <f t="shared" si="1762"/>
        <v>-65000000</v>
      </c>
      <c r="UCG69" s="61">
        <f t="shared" si="1762"/>
        <v>-65000000</v>
      </c>
      <c r="UCH69" s="61">
        <f t="shared" si="1762"/>
        <v>-65000000</v>
      </c>
      <c r="UCI69" s="61">
        <f t="shared" si="1762"/>
        <v>-65000000</v>
      </c>
      <c r="UCJ69" s="61">
        <f t="shared" si="1762"/>
        <v>-65000000</v>
      </c>
      <c r="UCK69" s="61">
        <f t="shared" si="1762"/>
        <v>-65000000</v>
      </c>
      <c r="UCL69" s="61">
        <f t="shared" si="1762"/>
        <v>-65000000</v>
      </c>
      <c r="UCM69" s="61">
        <f t="shared" si="1762"/>
        <v>-65000000</v>
      </c>
      <c r="UCN69" s="61">
        <f t="shared" si="1762"/>
        <v>-65000000</v>
      </c>
      <c r="UCO69" s="61">
        <f t="shared" si="1762"/>
        <v>-65000000</v>
      </c>
      <c r="UCP69" s="61">
        <f t="shared" si="1762"/>
        <v>-65000000</v>
      </c>
      <c r="UCQ69" s="61">
        <f t="shared" si="1762"/>
        <v>-65000000</v>
      </c>
      <c r="UCR69" s="61">
        <f t="shared" si="1762"/>
        <v>-65000000</v>
      </c>
      <c r="UCS69" s="61">
        <f t="shared" si="1762"/>
        <v>-65000000</v>
      </c>
      <c r="UCT69" s="61">
        <f t="shared" si="1762"/>
        <v>-65000000</v>
      </c>
      <c r="UCU69" s="61">
        <f t="shared" si="1762"/>
        <v>-65000000</v>
      </c>
      <c r="UCV69" s="61">
        <f t="shared" si="1762"/>
        <v>-65000000</v>
      </c>
      <c r="UCW69" s="61">
        <f t="shared" si="1762"/>
        <v>-65000000</v>
      </c>
      <c r="UCX69" s="61">
        <f t="shared" si="1762"/>
        <v>-65000000</v>
      </c>
      <c r="UCY69" s="61">
        <f t="shared" si="1762"/>
        <v>-65000000</v>
      </c>
      <c r="UCZ69" s="61">
        <f t="shared" si="1762"/>
        <v>-65000000</v>
      </c>
      <c r="UDA69" s="61">
        <f t="shared" si="1762"/>
        <v>-65000000</v>
      </c>
      <c r="UDB69" s="61">
        <f t="shared" si="1762"/>
        <v>-65000000</v>
      </c>
      <c r="UDC69" s="61">
        <f t="shared" ref="UDC69:UFN69" si="1763">UDC68-$EC$11-UDC11</f>
        <v>-65000000</v>
      </c>
      <c r="UDD69" s="61">
        <f t="shared" si="1763"/>
        <v>-65000000</v>
      </c>
      <c r="UDE69" s="61">
        <f t="shared" si="1763"/>
        <v>-65000000</v>
      </c>
      <c r="UDF69" s="61">
        <f t="shared" si="1763"/>
        <v>-65000000</v>
      </c>
      <c r="UDG69" s="61">
        <f t="shared" si="1763"/>
        <v>-65000000</v>
      </c>
      <c r="UDH69" s="61">
        <f t="shared" si="1763"/>
        <v>-65000000</v>
      </c>
      <c r="UDI69" s="61">
        <f t="shared" si="1763"/>
        <v>-65000000</v>
      </c>
      <c r="UDJ69" s="61">
        <f t="shared" si="1763"/>
        <v>-65000000</v>
      </c>
      <c r="UDK69" s="61">
        <f t="shared" si="1763"/>
        <v>-65000000</v>
      </c>
      <c r="UDL69" s="61">
        <f t="shared" si="1763"/>
        <v>-65000000</v>
      </c>
      <c r="UDM69" s="61">
        <f t="shared" si="1763"/>
        <v>-65000000</v>
      </c>
      <c r="UDN69" s="61">
        <f t="shared" si="1763"/>
        <v>-65000000</v>
      </c>
      <c r="UDO69" s="61">
        <f t="shared" si="1763"/>
        <v>-65000000</v>
      </c>
      <c r="UDP69" s="61">
        <f t="shared" si="1763"/>
        <v>-65000000</v>
      </c>
      <c r="UDQ69" s="61">
        <f t="shared" si="1763"/>
        <v>-65000000</v>
      </c>
      <c r="UDR69" s="61">
        <f t="shared" si="1763"/>
        <v>-65000000</v>
      </c>
      <c r="UDS69" s="61">
        <f t="shared" si="1763"/>
        <v>-65000000</v>
      </c>
      <c r="UDT69" s="61">
        <f t="shared" si="1763"/>
        <v>-65000000</v>
      </c>
      <c r="UDU69" s="61">
        <f t="shared" si="1763"/>
        <v>-65000000</v>
      </c>
      <c r="UDV69" s="61">
        <f t="shared" si="1763"/>
        <v>-65000000</v>
      </c>
      <c r="UDW69" s="61">
        <f t="shared" si="1763"/>
        <v>-65000000</v>
      </c>
      <c r="UDX69" s="61">
        <f t="shared" si="1763"/>
        <v>-65000000</v>
      </c>
      <c r="UDY69" s="61">
        <f t="shared" si="1763"/>
        <v>-65000000</v>
      </c>
      <c r="UDZ69" s="61">
        <f t="shared" si="1763"/>
        <v>-65000000</v>
      </c>
      <c r="UEA69" s="61">
        <f t="shared" si="1763"/>
        <v>-65000000</v>
      </c>
      <c r="UEB69" s="61">
        <f t="shared" si="1763"/>
        <v>-65000000</v>
      </c>
      <c r="UEC69" s="61">
        <f t="shared" si="1763"/>
        <v>-65000000</v>
      </c>
      <c r="UED69" s="61">
        <f t="shared" si="1763"/>
        <v>-65000000</v>
      </c>
      <c r="UEE69" s="61">
        <f t="shared" si="1763"/>
        <v>-65000000</v>
      </c>
      <c r="UEF69" s="61">
        <f t="shared" si="1763"/>
        <v>-65000000</v>
      </c>
      <c r="UEG69" s="61">
        <f t="shared" si="1763"/>
        <v>-65000000</v>
      </c>
      <c r="UEH69" s="61">
        <f t="shared" si="1763"/>
        <v>-65000000</v>
      </c>
      <c r="UEI69" s="61">
        <f t="shared" si="1763"/>
        <v>-65000000</v>
      </c>
      <c r="UEJ69" s="61">
        <f t="shared" si="1763"/>
        <v>-65000000</v>
      </c>
      <c r="UEK69" s="61">
        <f t="shared" si="1763"/>
        <v>-65000000</v>
      </c>
      <c r="UEL69" s="61">
        <f t="shared" si="1763"/>
        <v>-65000000</v>
      </c>
      <c r="UEM69" s="61">
        <f t="shared" si="1763"/>
        <v>-65000000</v>
      </c>
      <c r="UEN69" s="61">
        <f t="shared" si="1763"/>
        <v>-65000000</v>
      </c>
      <c r="UEO69" s="61">
        <f t="shared" si="1763"/>
        <v>-65000000</v>
      </c>
      <c r="UEP69" s="61">
        <f t="shared" si="1763"/>
        <v>-65000000</v>
      </c>
      <c r="UEQ69" s="61">
        <f t="shared" si="1763"/>
        <v>-65000000</v>
      </c>
      <c r="UER69" s="61">
        <f t="shared" si="1763"/>
        <v>-65000000</v>
      </c>
      <c r="UES69" s="61">
        <f t="shared" si="1763"/>
        <v>-65000000</v>
      </c>
      <c r="UET69" s="61">
        <f t="shared" si="1763"/>
        <v>-65000000</v>
      </c>
      <c r="UEU69" s="61">
        <f t="shared" si="1763"/>
        <v>-65000000</v>
      </c>
      <c r="UEV69" s="61">
        <f t="shared" si="1763"/>
        <v>-65000000</v>
      </c>
      <c r="UEW69" s="61">
        <f t="shared" si="1763"/>
        <v>-65000000</v>
      </c>
      <c r="UEX69" s="61">
        <f t="shared" si="1763"/>
        <v>-65000000</v>
      </c>
      <c r="UEY69" s="61">
        <f t="shared" si="1763"/>
        <v>-65000000</v>
      </c>
      <c r="UEZ69" s="61">
        <f t="shared" si="1763"/>
        <v>-65000000</v>
      </c>
      <c r="UFA69" s="61">
        <f t="shared" si="1763"/>
        <v>-65000000</v>
      </c>
      <c r="UFB69" s="61">
        <f t="shared" si="1763"/>
        <v>-65000000</v>
      </c>
      <c r="UFC69" s="61">
        <f t="shared" si="1763"/>
        <v>-65000000</v>
      </c>
      <c r="UFD69" s="61">
        <f t="shared" si="1763"/>
        <v>-65000000</v>
      </c>
      <c r="UFE69" s="61">
        <f t="shared" si="1763"/>
        <v>-65000000</v>
      </c>
      <c r="UFF69" s="61">
        <f t="shared" si="1763"/>
        <v>-65000000</v>
      </c>
      <c r="UFG69" s="61">
        <f t="shared" si="1763"/>
        <v>-65000000</v>
      </c>
      <c r="UFH69" s="61">
        <f t="shared" si="1763"/>
        <v>-65000000</v>
      </c>
      <c r="UFI69" s="61">
        <f t="shared" si="1763"/>
        <v>-65000000</v>
      </c>
      <c r="UFJ69" s="61">
        <f t="shared" si="1763"/>
        <v>-65000000</v>
      </c>
      <c r="UFK69" s="61">
        <f t="shared" si="1763"/>
        <v>-65000000</v>
      </c>
      <c r="UFL69" s="61">
        <f t="shared" si="1763"/>
        <v>-65000000</v>
      </c>
      <c r="UFM69" s="61">
        <f t="shared" si="1763"/>
        <v>-65000000</v>
      </c>
      <c r="UFN69" s="61">
        <f t="shared" si="1763"/>
        <v>-65000000</v>
      </c>
      <c r="UFO69" s="61">
        <f t="shared" ref="UFO69:UHZ69" si="1764">UFO68-$EC$11-UFO11</f>
        <v>-65000000</v>
      </c>
      <c r="UFP69" s="61">
        <f t="shared" si="1764"/>
        <v>-65000000</v>
      </c>
      <c r="UFQ69" s="61">
        <f t="shared" si="1764"/>
        <v>-65000000</v>
      </c>
      <c r="UFR69" s="61">
        <f t="shared" si="1764"/>
        <v>-65000000</v>
      </c>
      <c r="UFS69" s="61">
        <f t="shared" si="1764"/>
        <v>-65000000</v>
      </c>
      <c r="UFT69" s="61">
        <f t="shared" si="1764"/>
        <v>-65000000</v>
      </c>
      <c r="UFU69" s="61">
        <f t="shared" si="1764"/>
        <v>-65000000</v>
      </c>
      <c r="UFV69" s="61">
        <f t="shared" si="1764"/>
        <v>-65000000</v>
      </c>
      <c r="UFW69" s="61">
        <f t="shared" si="1764"/>
        <v>-65000000</v>
      </c>
      <c r="UFX69" s="61">
        <f t="shared" si="1764"/>
        <v>-65000000</v>
      </c>
      <c r="UFY69" s="61">
        <f t="shared" si="1764"/>
        <v>-65000000</v>
      </c>
      <c r="UFZ69" s="61">
        <f t="shared" si="1764"/>
        <v>-65000000</v>
      </c>
      <c r="UGA69" s="61">
        <f t="shared" si="1764"/>
        <v>-65000000</v>
      </c>
      <c r="UGB69" s="61">
        <f t="shared" si="1764"/>
        <v>-65000000</v>
      </c>
      <c r="UGC69" s="61">
        <f t="shared" si="1764"/>
        <v>-65000000</v>
      </c>
      <c r="UGD69" s="61">
        <f t="shared" si="1764"/>
        <v>-65000000</v>
      </c>
      <c r="UGE69" s="61">
        <f t="shared" si="1764"/>
        <v>-65000000</v>
      </c>
      <c r="UGF69" s="61">
        <f t="shared" si="1764"/>
        <v>-65000000</v>
      </c>
      <c r="UGG69" s="61">
        <f t="shared" si="1764"/>
        <v>-65000000</v>
      </c>
      <c r="UGH69" s="61">
        <f t="shared" si="1764"/>
        <v>-65000000</v>
      </c>
      <c r="UGI69" s="61">
        <f t="shared" si="1764"/>
        <v>-65000000</v>
      </c>
      <c r="UGJ69" s="61">
        <f t="shared" si="1764"/>
        <v>-65000000</v>
      </c>
      <c r="UGK69" s="61">
        <f t="shared" si="1764"/>
        <v>-65000000</v>
      </c>
      <c r="UGL69" s="61">
        <f t="shared" si="1764"/>
        <v>-65000000</v>
      </c>
      <c r="UGM69" s="61">
        <f t="shared" si="1764"/>
        <v>-65000000</v>
      </c>
      <c r="UGN69" s="61">
        <f t="shared" si="1764"/>
        <v>-65000000</v>
      </c>
      <c r="UGO69" s="61">
        <f t="shared" si="1764"/>
        <v>-65000000</v>
      </c>
      <c r="UGP69" s="61">
        <f t="shared" si="1764"/>
        <v>-65000000</v>
      </c>
      <c r="UGQ69" s="61">
        <f t="shared" si="1764"/>
        <v>-65000000</v>
      </c>
      <c r="UGR69" s="61">
        <f t="shared" si="1764"/>
        <v>-65000000</v>
      </c>
      <c r="UGS69" s="61">
        <f t="shared" si="1764"/>
        <v>-65000000</v>
      </c>
      <c r="UGT69" s="61">
        <f t="shared" si="1764"/>
        <v>-65000000</v>
      </c>
      <c r="UGU69" s="61">
        <f t="shared" si="1764"/>
        <v>-65000000</v>
      </c>
      <c r="UGV69" s="61">
        <f t="shared" si="1764"/>
        <v>-65000000</v>
      </c>
      <c r="UGW69" s="61">
        <f t="shared" si="1764"/>
        <v>-65000000</v>
      </c>
      <c r="UGX69" s="61">
        <f t="shared" si="1764"/>
        <v>-65000000</v>
      </c>
      <c r="UGY69" s="61">
        <f t="shared" si="1764"/>
        <v>-65000000</v>
      </c>
      <c r="UGZ69" s="61">
        <f t="shared" si="1764"/>
        <v>-65000000</v>
      </c>
      <c r="UHA69" s="61">
        <f t="shared" si="1764"/>
        <v>-65000000</v>
      </c>
      <c r="UHB69" s="61">
        <f t="shared" si="1764"/>
        <v>-65000000</v>
      </c>
      <c r="UHC69" s="61">
        <f t="shared" si="1764"/>
        <v>-65000000</v>
      </c>
      <c r="UHD69" s="61">
        <f t="shared" si="1764"/>
        <v>-65000000</v>
      </c>
      <c r="UHE69" s="61">
        <f t="shared" si="1764"/>
        <v>-65000000</v>
      </c>
      <c r="UHF69" s="61">
        <f t="shared" si="1764"/>
        <v>-65000000</v>
      </c>
      <c r="UHG69" s="61">
        <f t="shared" si="1764"/>
        <v>-65000000</v>
      </c>
      <c r="UHH69" s="61">
        <f t="shared" si="1764"/>
        <v>-65000000</v>
      </c>
      <c r="UHI69" s="61">
        <f t="shared" si="1764"/>
        <v>-65000000</v>
      </c>
      <c r="UHJ69" s="61">
        <f t="shared" si="1764"/>
        <v>-65000000</v>
      </c>
      <c r="UHK69" s="61">
        <f t="shared" si="1764"/>
        <v>-65000000</v>
      </c>
      <c r="UHL69" s="61">
        <f t="shared" si="1764"/>
        <v>-65000000</v>
      </c>
      <c r="UHM69" s="61">
        <f t="shared" si="1764"/>
        <v>-65000000</v>
      </c>
      <c r="UHN69" s="61">
        <f t="shared" si="1764"/>
        <v>-65000000</v>
      </c>
      <c r="UHO69" s="61">
        <f t="shared" si="1764"/>
        <v>-65000000</v>
      </c>
      <c r="UHP69" s="61">
        <f t="shared" si="1764"/>
        <v>-65000000</v>
      </c>
      <c r="UHQ69" s="61">
        <f t="shared" si="1764"/>
        <v>-65000000</v>
      </c>
      <c r="UHR69" s="61">
        <f t="shared" si="1764"/>
        <v>-65000000</v>
      </c>
      <c r="UHS69" s="61">
        <f t="shared" si="1764"/>
        <v>-65000000</v>
      </c>
      <c r="UHT69" s="61">
        <f t="shared" si="1764"/>
        <v>-65000000</v>
      </c>
      <c r="UHU69" s="61">
        <f t="shared" si="1764"/>
        <v>-65000000</v>
      </c>
      <c r="UHV69" s="61">
        <f t="shared" si="1764"/>
        <v>-65000000</v>
      </c>
      <c r="UHW69" s="61">
        <f t="shared" si="1764"/>
        <v>-65000000</v>
      </c>
      <c r="UHX69" s="61">
        <f t="shared" si="1764"/>
        <v>-65000000</v>
      </c>
      <c r="UHY69" s="61">
        <f t="shared" si="1764"/>
        <v>-65000000</v>
      </c>
      <c r="UHZ69" s="61">
        <f t="shared" si="1764"/>
        <v>-65000000</v>
      </c>
      <c r="UIA69" s="61">
        <f t="shared" ref="UIA69:UKL69" si="1765">UIA68-$EC$11-UIA11</f>
        <v>-65000000</v>
      </c>
      <c r="UIB69" s="61">
        <f t="shared" si="1765"/>
        <v>-65000000</v>
      </c>
      <c r="UIC69" s="61">
        <f t="shared" si="1765"/>
        <v>-65000000</v>
      </c>
      <c r="UID69" s="61">
        <f t="shared" si="1765"/>
        <v>-65000000</v>
      </c>
      <c r="UIE69" s="61">
        <f t="shared" si="1765"/>
        <v>-65000000</v>
      </c>
      <c r="UIF69" s="61">
        <f t="shared" si="1765"/>
        <v>-65000000</v>
      </c>
      <c r="UIG69" s="61">
        <f t="shared" si="1765"/>
        <v>-65000000</v>
      </c>
      <c r="UIH69" s="61">
        <f t="shared" si="1765"/>
        <v>-65000000</v>
      </c>
      <c r="UII69" s="61">
        <f t="shared" si="1765"/>
        <v>-65000000</v>
      </c>
      <c r="UIJ69" s="61">
        <f t="shared" si="1765"/>
        <v>-65000000</v>
      </c>
      <c r="UIK69" s="61">
        <f t="shared" si="1765"/>
        <v>-65000000</v>
      </c>
      <c r="UIL69" s="61">
        <f t="shared" si="1765"/>
        <v>-65000000</v>
      </c>
      <c r="UIM69" s="61">
        <f t="shared" si="1765"/>
        <v>-65000000</v>
      </c>
      <c r="UIN69" s="61">
        <f t="shared" si="1765"/>
        <v>-65000000</v>
      </c>
      <c r="UIO69" s="61">
        <f t="shared" si="1765"/>
        <v>-65000000</v>
      </c>
      <c r="UIP69" s="61">
        <f t="shared" si="1765"/>
        <v>-65000000</v>
      </c>
      <c r="UIQ69" s="61">
        <f t="shared" si="1765"/>
        <v>-65000000</v>
      </c>
      <c r="UIR69" s="61">
        <f t="shared" si="1765"/>
        <v>-65000000</v>
      </c>
      <c r="UIS69" s="61">
        <f t="shared" si="1765"/>
        <v>-65000000</v>
      </c>
      <c r="UIT69" s="61">
        <f t="shared" si="1765"/>
        <v>-65000000</v>
      </c>
      <c r="UIU69" s="61">
        <f t="shared" si="1765"/>
        <v>-65000000</v>
      </c>
      <c r="UIV69" s="61">
        <f t="shared" si="1765"/>
        <v>-65000000</v>
      </c>
      <c r="UIW69" s="61">
        <f t="shared" si="1765"/>
        <v>-65000000</v>
      </c>
      <c r="UIX69" s="61">
        <f t="shared" si="1765"/>
        <v>-65000000</v>
      </c>
      <c r="UIY69" s="61">
        <f t="shared" si="1765"/>
        <v>-65000000</v>
      </c>
      <c r="UIZ69" s="61">
        <f t="shared" si="1765"/>
        <v>-65000000</v>
      </c>
      <c r="UJA69" s="61">
        <f t="shared" si="1765"/>
        <v>-65000000</v>
      </c>
      <c r="UJB69" s="61">
        <f t="shared" si="1765"/>
        <v>-65000000</v>
      </c>
      <c r="UJC69" s="61">
        <f t="shared" si="1765"/>
        <v>-65000000</v>
      </c>
      <c r="UJD69" s="61">
        <f t="shared" si="1765"/>
        <v>-65000000</v>
      </c>
      <c r="UJE69" s="61">
        <f t="shared" si="1765"/>
        <v>-65000000</v>
      </c>
      <c r="UJF69" s="61">
        <f t="shared" si="1765"/>
        <v>-65000000</v>
      </c>
      <c r="UJG69" s="61">
        <f t="shared" si="1765"/>
        <v>-65000000</v>
      </c>
      <c r="UJH69" s="61">
        <f t="shared" si="1765"/>
        <v>-65000000</v>
      </c>
      <c r="UJI69" s="61">
        <f t="shared" si="1765"/>
        <v>-65000000</v>
      </c>
      <c r="UJJ69" s="61">
        <f t="shared" si="1765"/>
        <v>-65000000</v>
      </c>
      <c r="UJK69" s="61">
        <f t="shared" si="1765"/>
        <v>-65000000</v>
      </c>
      <c r="UJL69" s="61">
        <f t="shared" si="1765"/>
        <v>-65000000</v>
      </c>
      <c r="UJM69" s="61">
        <f t="shared" si="1765"/>
        <v>-65000000</v>
      </c>
      <c r="UJN69" s="61">
        <f t="shared" si="1765"/>
        <v>-65000000</v>
      </c>
      <c r="UJO69" s="61">
        <f t="shared" si="1765"/>
        <v>-65000000</v>
      </c>
      <c r="UJP69" s="61">
        <f t="shared" si="1765"/>
        <v>-65000000</v>
      </c>
      <c r="UJQ69" s="61">
        <f t="shared" si="1765"/>
        <v>-65000000</v>
      </c>
      <c r="UJR69" s="61">
        <f t="shared" si="1765"/>
        <v>-65000000</v>
      </c>
      <c r="UJS69" s="61">
        <f t="shared" si="1765"/>
        <v>-65000000</v>
      </c>
      <c r="UJT69" s="61">
        <f t="shared" si="1765"/>
        <v>-65000000</v>
      </c>
      <c r="UJU69" s="61">
        <f t="shared" si="1765"/>
        <v>-65000000</v>
      </c>
      <c r="UJV69" s="61">
        <f t="shared" si="1765"/>
        <v>-65000000</v>
      </c>
      <c r="UJW69" s="61">
        <f t="shared" si="1765"/>
        <v>-65000000</v>
      </c>
      <c r="UJX69" s="61">
        <f t="shared" si="1765"/>
        <v>-65000000</v>
      </c>
      <c r="UJY69" s="61">
        <f t="shared" si="1765"/>
        <v>-65000000</v>
      </c>
      <c r="UJZ69" s="61">
        <f t="shared" si="1765"/>
        <v>-65000000</v>
      </c>
      <c r="UKA69" s="61">
        <f t="shared" si="1765"/>
        <v>-65000000</v>
      </c>
      <c r="UKB69" s="61">
        <f t="shared" si="1765"/>
        <v>-65000000</v>
      </c>
      <c r="UKC69" s="61">
        <f t="shared" si="1765"/>
        <v>-65000000</v>
      </c>
      <c r="UKD69" s="61">
        <f t="shared" si="1765"/>
        <v>-65000000</v>
      </c>
      <c r="UKE69" s="61">
        <f t="shared" si="1765"/>
        <v>-65000000</v>
      </c>
      <c r="UKF69" s="61">
        <f t="shared" si="1765"/>
        <v>-65000000</v>
      </c>
      <c r="UKG69" s="61">
        <f t="shared" si="1765"/>
        <v>-65000000</v>
      </c>
      <c r="UKH69" s="61">
        <f t="shared" si="1765"/>
        <v>-65000000</v>
      </c>
      <c r="UKI69" s="61">
        <f t="shared" si="1765"/>
        <v>-65000000</v>
      </c>
      <c r="UKJ69" s="61">
        <f t="shared" si="1765"/>
        <v>-65000000</v>
      </c>
      <c r="UKK69" s="61">
        <f t="shared" si="1765"/>
        <v>-65000000</v>
      </c>
      <c r="UKL69" s="61">
        <f t="shared" si="1765"/>
        <v>-65000000</v>
      </c>
      <c r="UKM69" s="61">
        <f t="shared" ref="UKM69:UMX69" si="1766">UKM68-$EC$11-UKM11</f>
        <v>-65000000</v>
      </c>
      <c r="UKN69" s="61">
        <f t="shared" si="1766"/>
        <v>-65000000</v>
      </c>
      <c r="UKO69" s="61">
        <f t="shared" si="1766"/>
        <v>-65000000</v>
      </c>
      <c r="UKP69" s="61">
        <f t="shared" si="1766"/>
        <v>-65000000</v>
      </c>
      <c r="UKQ69" s="61">
        <f t="shared" si="1766"/>
        <v>-65000000</v>
      </c>
      <c r="UKR69" s="61">
        <f t="shared" si="1766"/>
        <v>-65000000</v>
      </c>
      <c r="UKS69" s="61">
        <f t="shared" si="1766"/>
        <v>-65000000</v>
      </c>
      <c r="UKT69" s="61">
        <f t="shared" si="1766"/>
        <v>-65000000</v>
      </c>
      <c r="UKU69" s="61">
        <f t="shared" si="1766"/>
        <v>-65000000</v>
      </c>
      <c r="UKV69" s="61">
        <f t="shared" si="1766"/>
        <v>-65000000</v>
      </c>
      <c r="UKW69" s="61">
        <f t="shared" si="1766"/>
        <v>-65000000</v>
      </c>
      <c r="UKX69" s="61">
        <f t="shared" si="1766"/>
        <v>-65000000</v>
      </c>
      <c r="UKY69" s="61">
        <f t="shared" si="1766"/>
        <v>-65000000</v>
      </c>
      <c r="UKZ69" s="61">
        <f t="shared" si="1766"/>
        <v>-65000000</v>
      </c>
      <c r="ULA69" s="61">
        <f t="shared" si="1766"/>
        <v>-65000000</v>
      </c>
      <c r="ULB69" s="61">
        <f t="shared" si="1766"/>
        <v>-65000000</v>
      </c>
      <c r="ULC69" s="61">
        <f t="shared" si="1766"/>
        <v>-65000000</v>
      </c>
      <c r="ULD69" s="61">
        <f t="shared" si="1766"/>
        <v>-65000000</v>
      </c>
      <c r="ULE69" s="61">
        <f t="shared" si="1766"/>
        <v>-65000000</v>
      </c>
      <c r="ULF69" s="61">
        <f t="shared" si="1766"/>
        <v>-65000000</v>
      </c>
      <c r="ULG69" s="61">
        <f t="shared" si="1766"/>
        <v>-65000000</v>
      </c>
      <c r="ULH69" s="61">
        <f t="shared" si="1766"/>
        <v>-65000000</v>
      </c>
      <c r="ULI69" s="61">
        <f t="shared" si="1766"/>
        <v>-65000000</v>
      </c>
      <c r="ULJ69" s="61">
        <f t="shared" si="1766"/>
        <v>-65000000</v>
      </c>
      <c r="ULK69" s="61">
        <f t="shared" si="1766"/>
        <v>-65000000</v>
      </c>
      <c r="ULL69" s="61">
        <f t="shared" si="1766"/>
        <v>-65000000</v>
      </c>
      <c r="ULM69" s="61">
        <f t="shared" si="1766"/>
        <v>-65000000</v>
      </c>
      <c r="ULN69" s="61">
        <f t="shared" si="1766"/>
        <v>-65000000</v>
      </c>
      <c r="ULO69" s="61">
        <f t="shared" si="1766"/>
        <v>-65000000</v>
      </c>
      <c r="ULP69" s="61">
        <f t="shared" si="1766"/>
        <v>-65000000</v>
      </c>
      <c r="ULQ69" s="61">
        <f t="shared" si="1766"/>
        <v>-65000000</v>
      </c>
      <c r="ULR69" s="61">
        <f t="shared" si="1766"/>
        <v>-65000000</v>
      </c>
      <c r="ULS69" s="61">
        <f t="shared" si="1766"/>
        <v>-65000000</v>
      </c>
      <c r="ULT69" s="61">
        <f t="shared" si="1766"/>
        <v>-65000000</v>
      </c>
      <c r="ULU69" s="61">
        <f t="shared" si="1766"/>
        <v>-65000000</v>
      </c>
      <c r="ULV69" s="61">
        <f t="shared" si="1766"/>
        <v>-65000000</v>
      </c>
      <c r="ULW69" s="61">
        <f t="shared" si="1766"/>
        <v>-65000000</v>
      </c>
      <c r="ULX69" s="61">
        <f t="shared" si="1766"/>
        <v>-65000000</v>
      </c>
      <c r="ULY69" s="61">
        <f t="shared" si="1766"/>
        <v>-65000000</v>
      </c>
      <c r="ULZ69" s="61">
        <f t="shared" si="1766"/>
        <v>-65000000</v>
      </c>
      <c r="UMA69" s="61">
        <f t="shared" si="1766"/>
        <v>-65000000</v>
      </c>
      <c r="UMB69" s="61">
        <f t="shared" si="1766"/>
        <v>-65000000</v>
      </c>
      <c r="UMC69" s="61">
        <f t="shared" si="1766"/>
        <v>-65000000</v>
      </c>
      <c r="UMD69" s="61">
        <f t="shared" si="1766"/>
        <v>-65000000</v>
      </c>
      <c r="UME69" s="61">
        <f t="shared" si="1766"/>
        <v>-65000000</v>
      </c>
      <c r="UMF69" s="61">
        <f t="shared" si="1766"/>
        <v>-65000000</v>
      </c>
      <c r="UMG69" s="61">
        <f t="shared" si="1766"/>
        <v>-65000000</v>
      </c>
      <c r="UMH69" s="61">
        <f t="shared" si="1766"/>
        <v>-65000000</v>
      </c>
      <c r="UMI69" s="61">
        <f t="shared" si="1766"/>
        <v>-65000000</v>
      </c>
      <c r="UMJ69" s="61">
        <f t="shared" si="1766"/>
        <v>-65000000</v>
      </c>
      <c r="UMK69" s="61">
        <f t="shared" si="1766"/>
        <v>-65000000</v>
      </c>
      <c r="UML69" s="61">
        <f t="shared" si="1766"/>
        <v>-65000000</v>
      </c>
      <c r="UMM69" s="61">
        <f t="shared" si="1766"/>
        <v>-65000000</v>
      </c>
      <c r="UMN69" s="61">
        <f t="shared" si="1766"/>
        <v>-65000000</v>
      </c>
      <c r="UMO69" s="61">
        <f t="shared" si="1766"/>
        <v>-65000000</v>
      </c>
      <c r="UMP69" s="61">
        <f t="shared" si="1766"/>
        <v>-65000000</v>
      </c>
      <c r="UMQ69" s="61">
        <f t="shared" si="1766"/>
        <v>-65000000</v>
      </c>
      <c r="UMR69" s="61">
        <f t="shared" si="1766"/>
        <v>-65000000</v>
      </c>
      <c r="UMS69" s="61">
        <f t="shared" si="1766"/>
        <v>-65000000</v>
      </c>
      <c r="UMT69" s="61">
        <f t="shared" si="1766"/>
        <v>-65000000</v>
      </c>
      <c r="UMU69" s="61">
        <f t="shared" si="1766"/>
        <v>-65000000</v>
      </c>
      <c r="UMV69" s="61">
        <f t="shared" si="1766"/>
        <v>-65000000</v>
      </c>
      <c r="UMW69" s="61">
        <f t="shared" si="1766"/>
        <v>-65000000</v>
      </c>
      <c r="UMX69" s="61">
        <f t="shared" si="1766"/>
        <v>-65000000</v>
      </c>
      <c r="UMY69" s="61">
        <f t="shared" ref="UMY69:UPJ69" si="1767">UMY68-$EC$11-UMY11</f>
        <v>-65000000</v>
      </c>
      <c r="UMZ69" s="61">
        <f t="shared" si="1767"/>
        <v>-65000000</v>
      </c>
      <c r="UNA69" s="61">
        <f t="shared" si="1767"/>
        <v>-65000000</v>
      </c>
      <c r="UNB69" s="61">
        <f t="shared" si="1767"/>
        <v>-65000000</v>
      </c>
      <c r="UNC69" s="61">
        <f t="shared" si="1767"/>
        <v>-65000000</v>
      </c>
      <c r="UND69" s="61">
        <f t="shared" si="1767"/>
        <v>-65000000</v>
      </c>
      <c r="UNE69" s="61">
        <f t="shared" si="1767"/>
        <v>-65000000</v>
      </c>
      <c r="UNF69" s="61">
        <f t="shared" si="1767"/>
        <v>-65000000</v>
      </c>
      <c r="UNG69" s="61">
        <f t="shared" si="1767"/>
        <v>-65000000</v>
      </c>
      <c r="UNH69" s="61">
        <f t="shared" si="1767"/>
        <v>-65000000</v>
      </c>
      <c r="UNI69" s="61">
        <f t="shared" si="1767"/>
        <v>-65000000</v>
      </c>
      <c r="UNJ69" s="61">
        <f t="shared" si="1767"/>
        <v>-65000000</v>
      </c>
      <c r="UNK69" s="61">
        <f t="shared" si="1767"/>
        <v>-65000000</v>
      </c>
      <c r="UNL69" s="61">
        <f t="shared" si="1767"/>
        <v>-65000000</v>
      </c>
      <c r="UNM69" s="61">
        <f t="shared" si="1767"/>
        <v>-65000000</v>
      </c>
      <c r="UNN69" s="61">
        <f t="shared" si="1767"/>
        <v>-65000000</v>
      </c>
      <c r="UNO69" s="61">
        <f t="shared" si="1767"/>
        <v>-65000000</v>
      </c>
      <c r="UNP69" s="61">
        <f t="shared" si="1767"/>
        <v>-65000000</v>
      </c>
      <c r="UNQ69" s="61">
        <f t="shared" si="1767"/>
        <v>-65000000</v>
      </c>
      <c r="UNR69" s="61">
        <f t="shared" si="1767"/>
        <v>-65000000</v>
      </c>
      <c r="UNS69" s="61">
        <f t="shared" si="1767"/>
        <v>-65000000</v>
      </c>
      <c r="UNT69" s="61">
        <f t="shared" si="1767"/>
        <v>-65000000</v>
      </c>
      <c r="UNU69" s="61">
        <f t="shared" si="1767"/>
        <v>-65000000</v>
      </c>
      <c r="UNV69" s="61">
        <f t="shared" si="1767"/>
        <v>-65000000</v>
      </c>
      <c r="UNW69" s="61">
        <f t="shared" si="1767"/>
        <v>-65000000</v>
      </c>
      <c r="UNX69" s="61">
        <f t="shared" si="1767"/>
        <v>-65000000</v>
      </c>
      <c r="UNY69" s="61">
        <f t="shared" si="1767"/>
        <v>-65000000</v>
      </c>
      <c r="UNZ69" s="61">
        <f t="shared" si="1767"/>
        <v>-65000000</v>
      </c>
      <c r="UOA69" s="61">
        <f t="shared" si="1767"/>
        <v>-65000000</v>
      </c>
      <c r="UOB69" s="61">
        <f t="shared" si="1767"/>
        <v>-65000000</v>
      </c>
      <c r="UOC69" s="61">
        <f t="shared" si="1767"/>
        <v>-65000000</v>
      </c>
      <c r="UOD69" s="61">
        <f t="shared" si="1767"/>
        <v>-65000000</v>
      </c>
      <c r="UOE69" s="61">
        <f t="shared" si="1767"/>
        <v>-65000000</v>
      </c>
      <c r="UOF69" s="61">
        <f t="shared" si="1767"/>
        <v>-65000000</v>
      </c>
      <c r="UOG69" s="61">
        <f t="shared" si="1767"/>
        <v>-65000000</v>
      </c>
      <c r="UOH69" s="61">
        <f t="shared" si="1767"/>
        <v>-65000000</v>
      </c>
      <c r="UOI69" s="61">
        <f t="shared" si="1767"/>
        <v>-65000000</v>
      </c>
      <c r="UOJ69" s="61">
        <f t="shared" si="1767"/>
        <v>-65000000</v>
      </c>
      <c r="UOK69" s="61">
        <f t="shared" si="1767"/>
        <v>-65000000</v>
      </c>
      <c r="UOL69" s="61">
        <f t="shared" si="1767"/>
        <v>-65000000</v>
      </c>
      <c r="UOM69" s="61">
        <f t="shared" si="1767"/>
        <v>-65000000</v>
      </c>
      <c r="UON69" s="61">
        <f t="shared" si="1767"/>
        <v>-65000000</v>
      </c>
      <c r="UOO69" s="61">
        <f t="shared" si="1767"/>
        <v>-65000000</v>
      </c>
      <c r="UOP69" s="61">
        <f t="shared" si="1767"/>
        <v>-65000000</v>
      </c>
      <c r="UOQ69" s="61">
        <f t="shared" si="1767"/>
        <v>-65000000</v>
      </c>
      <c r="UOR69" s="61">
        <f t="shared" si="1767"/>
        <v>-65000000</v>
      </c>
      <c r="UOS69" s="61">
        <f t="shared" si="1767"/>
        <v>-65000000</v>
      </c>
      <c r="UOT69" s="61">
        <f t="shared" si="1767"/>
        <v>-65000000</v>
      </c>
      <c r="UOU69" s="61">
        <f t="shared" si="1767"/>
        <v>-65000000</v>
      </c>
      <c r="UOV69" s="61">
        <f t="shared" si="1767"/>
        <v>-65000000</v>
      </c>
      <c r="UOW69" s="61">
        <f t="shared" si="1767"/>
        <v>-65000000</v>
      </c>
      <c r="UOX69" s="61">
        <f t="shared" si="1767"/>
        <v>-65000000</v>
      </c>
      <c r="UOY69" s="61">
        <f t="shared" si="1767"/>
        <v>-65000000</v>
      </c>
      <c r="UOZ69" s="61">
        <f t="shared" si="1767"/>
        <v>-65000000</v>
      </c>
      <c r="UPA69" s="61">
        <f t="shared" si="1767"/>
        <v>-65000000</v>
      </c>
      <c r="UPB69" s="61">
        <f t="shared" si="1767"/>
        <v>-65000000</v>
      </c>
      <c r="UPC69" s="61">
        <f t="shared" si="1767"/>
        <v>-65000000</v>
      </c>
      <c r="UPD69" s="61">
        <f t="shared" si="1767"/>
        <v>-65000000</v>
      </c>
      <c r="UPE69" s="61">
        <f t="shared" si="1767"/>
        <v>-65000000</v>
      </c>
      <c r="UPF69" s="61">
        <f t="shared" si="1767"/>
        <v>-65000000</v>
      </c>
      <c r="UPG69" s="61">
        <f t="shared" si="1767"/>
        <v>-65000000</v>
      </c>
      <c r="UPH69" s="61">
        <f t="shared" si="1767"/>
        <v>-65000000</v>
      </c>
      <c r="UPI69" s="61">
        <f t="shared" si="1767"/>
        <v>-65000000</v>
      </c>
      <c r="UPJ69" s="61">
        <f t="shared" si="1767"/>
        <v>-65000000</v>
      </c>
      <c r="UPK69" s="61">
        <f t="shared" ref="UPK69:URV69" si="1768">UPK68-$EC$11-UPK11</f>
        <v>-65000000</v>
      </c>
      <c r="UPL69" s="61">
        <f t="shared" si="1768"/>
        <v>-65000000</v>
      </c>
      <c r="UPM69" s="61">
        <f t="shared" si="1768"/>
        <v>-65000000</v>
      </c>
      <c r="UPN69" s="61">
        <f t="shared" si="1768"/>
        <v>-65000000</v>
      </c>
      <c r="UPO69" s="61">
        <f t="shared" si="1768"/>
        <v>-65000000</v>
      </c>
      <c r="UPP69" s="61">
        <f t="shared" si="1768"/>
        <v>-65000000</v>
      </c>
      <c r="UPQ69" s="61">
        <f t="shared" si="1768"/>
        <v>-65000000</v>
      </c>
      <c r="UPR69" s="61">
        <f t="shared" si="1768"/>
        <v>-65000000</v>
      </c>
      <c r="UPS69" s="61">
        <f t="shared" si="1768"/>
        <v>-65000000</v>
      </c>
      <c r="UPT69" s="61">
        <f t="shared" si="1768"/>
        <v>-65000000</v>
      </c>
      <c r="UPU69" s="61">
        <f t="shared" si="1768"/>
        <v>-65000000</v>
      </c>
      <c r="UPV69" s="61">
        <f t="shared" si="1768"/>
        <v>-65000000</v>
      </c>
      <c r="UPW69" s="61">
        <f t="shared" si="1768"/>
        <v>-65000000</v>
      </c>
      <c r="UPX69" s="61">
        <f t="shared" si="1768"/>
        <v>-65000000</v>
      </c>
      <c r="UPY69" s="61">
        <f t="shared" si="1768"/>
        <v>-65000000</v>
      </c>
      <c r="UPZ69" s="61">
        <f t="shared" si="1768"/>
        <v>-65000000</v>
      </c>
      <c r="UQA69" s="61">
        <f t="shared" si="1768"/>
        <v>-65000000</v>
      </c>
      <c r="UQB69" s="61">
        <f t="shared" si="1768"/>
        <v>-65000000</v>
      </c>
      <c r="UQC69" s="61">
        <f t="shared" si="1768"/>
        <v>-65000000</v>
      </c>
      <c r="UQD69" s="61">
        <f t="shared" si="1768"/>
        <v>-65000000</v>
      </c>
      <c r="UQE69" s="61">
        <f t="shared" si="1768"/>
        <v>-65000000</v>
      </c>
      <c r="UQF69" s="61">
        <f t="shared" si="1768"/>
        <v>-65000000</v>
      </c>
      <c r="UQG69" s="61">
        <f t="shared" si="1768"/>
        <v>-65000000</v>
      </c>
      <c r="UQH69" s="61">
        <f t="shared" si="1768"/>
        <v>-65000000</v>
      </c>
      <c r="UQI69" s="61">
        <f t="shared" si="1768"/>
        <v>-65000000</v>
      </c>
      <c r="UQJ69" s="61">
        <f t="shared" si="1768"/>
        <v>-65000000</v>
      </c>
      <c r="UQK69" s="61">
        <f t="shared" si="1768"/>
        <v>-65000000</v>
      </c>
      <c r="UQL69" s="61">
        <f t="shared" si="1768"/>
        <v>-65000000</v>
      </c>
      <c r="UQM69" s="61">
        <f t="shared" si="1768"/>
        <v>-65000000</v>
      </c>
      <c r="UQN69" s="61">
        <f t="shared" si="1768"/>
        <v>-65000000</v>
      </c>
      <c r="UQO69" s="61">
        <f t="shared" si="1768"/>
        <v>-65000000</v>
      </c>
      <c r="UQP69" s="61">
        <f t="shared" si="1768"/>
        <v>-65000000</v>
      </c>
      <c r="UQQ69" s="61">
        <f t="shared" si="1768"/>
        <v>-65000000</v>
      </c>
      <c r="UQR69" s="61">
        <f t="shared" si="1768"/>
        <v>-65000000</v>
      </c>
      <c r="UQS69" s="61">
        <f t="shared" si="1768"/>
        <v>-65000000</v>
      </c>
      <c r="UQT69" s="61">
        <f t="shared" si="1768"/>
        <v>-65000000</v>
      </c>
      <c r="UQU69" s="61">
        <f t="shared" si="1768"/>
        <v>-65000000</v>
      </c>
      <c r="UQV69" s="61">
        <f t="shared" si="1768"/>
        <v>-65000000</v>
      </c>
      <c r="UQW69" s="61">
        <f t="shared" si="1768"/>
        <v>-65000000</v>
      </c>
      <c r="UQX69" s="61">
        <f t="shared" si="1768"/>
        <v>-65000000</v>
      </c>
      <c r="UQY69" s="61">
        <f t="shared" si="1768"/>
        <v>-65000000</v>
      </c>
      <c r="UQZ69" s="61">
        <f t="shared" si="1768"/>
        <v>-65000000</v>
      </c>
      <c r="URA69" s="61">
        <f t="shared" si="1768"/>
        <v>-65000000</v>
      </c>
      <c r="URB69" s="61">
        <f t="shared" si="1768"/>
        <v>-65000000</v>
      </c>
      <c r="URC69" s="61">
        <f t="shared" si="1768"/>
        <v>-65000000</v>
      </c>
      <c r="URD69" s="61">
        <f t="shared" si="1768"/>
        <v>-65000000</v>
      </c>
      <c r="URE69" s="61">
        <f t="shared" si="1768"/>
        <v>-65000000</v>
      </c>
      <c r="URF69" s="61">
        <f t="shared" si="1768"/>
        <v>-65000000</v>
      </c>
      <c r="URG69" s="61">
        <f t="shared" si="1768"/>
        <v>-65000000</v>
      </c>
      <c r="URH69" s="61">
        <f t="shared" si="1768"/>
        <v>-65000000</v>
      </c>
      <c r="URI69" s="61">
        <f t="shared" si="1768"/>
        <v>-65000000</v>
      </c>
      <c r="URJ69" s="61">
        <f t="shared" si="1768"/>
        <v>-65000000</v>
      </c>
      <c r="URK69" s="61">
        <f t="shared" si="1768"/>
        <v>-65000000</v>
      </c>
      <c r="URL69" s="61">
        <f t="shared" si="1768"/>
        <v>-65000000</v>
      </c>
      <c r="URM69" s="61">
        <f t="shared" si="1768"/>
        <v>-65000000</v>
      </c>
      <c r="URN69" s="61">
        <f t="shared" si="1768"/>
        <v>-65000000</v>
      </c>
      <c r="URO69" s="61">
        <f t="shared" si="1768"/>
        <v>-65000000</v>
      </c>
      <c r="URP69" s="61">
        <f t="shared" si="1768"/>
        <v>-65000000</v>
      </c>
      <c r="URQ69" s="61">
        <f t="shared" si="1768"/>
        <v>-65000000</v>
      </c>
      <c r="URR69" s="61">
        <f t="shared" si="1768"/>
        <v>-65000000</v>
      </c>
      <c r="URS69" s="61">
        <f t="shared" si="1768"/>
        <v>-65000000</v>
      </c>
      <c r="URT69" s="61">
        <f t="shared" si="1768"/>
        <v>-65000000</v>
      </c>
      <c r="URU69" s="61">
        <f t="shared" si="1768"/>
        <v>-65000000</v>
      </c>
      <c r="URV69" s="61">
        <f t="shared" si="1768"/>
        <v>-65000000</v>
      </c>
      <c r="URW69" s="61">
        <f t="shared" ref="URW69:UUH69" si="1769">URW68-$EC$11-URW11</f>
        <v>-65000000</v>
      </c>
      <c r="URX69" s="61">
        <f t="shared" si="1769"/>
        <v>-65000000</v>
      </c>
      <c r="URY69" s="61">
        <f t="shared" si="1769"/>
        <v>-65000000</v>
      </c>
      <c r="URZ69" s="61">
        <f t="shared" si="1769"/>
        <v>-65000000</v>
      </c>
      <c r="USA69" s="61">
        <f t="shared" si="1769"/>
        <v>-65000000</v>
      </c>
      <c r="USB69" s="61">
        <f t="shared" si="1769"/>
        <v>-65000000</v>
      </c>
      <c r="USC69" s="61">
        <f t="shared" si="1769"/>
        <v>-65000000</v>
      </c>
      <c r="USD69" s="61">
        <f t="shared" si="1769"/>
        <v>-65000000</v>
      </c>
      <c r="USE69" s="61">
        <f t="shared" si="1769"/>
        <v>-65000000</v>
      </c>
      <c r="USF69" s="61">
        <f t="shared" si="1769"/>
        <v>-65000000</v>
      </c>
      <c r="USG69" s="61">
        <f t="shared" si="1769"/>
        <v>-65000000</v>
      </c>
      <c r="USH69" s="61">
        <f t="shared" si="1769"/>
        <v>-65000000</v>
      </c>
      <c r="USI69" s="61">
        <f t="shared" si="1769"/>
        <v>-65000000</v>
      </c>
      <c r="USJ69" s="61">
        <f t="shared" si="1769"/>
        <v>-65000000</v>
      </c>
      <c r="USK69" s="61">
        <f t="shared" si="1769"/>
        <v>-65000000</v>
      </c>
      <c r="USL69" s="61">
        <f t="shared" si="1769"/>
        <v>-65000000</v>
      </c>
      <c r="USM69" s="61">
        <f t="shared" si="1769"/>
        <v>-65000000</v>
      </c>
      <c r="USN69" s="61">
        <f t="shared" si="1769"/>
        <v>-65000000</v>
      </c>
      <c r="USO69" s="61">
        <f t="shared" si="1769"/>
        <v>-65000000</v>
      </c>
      <c r="USP69" s="61">
        <f t="shared" si="1769"/>
        <v>-65000000</v>
      </c>
      <c r="USQ69" s="61">
        <f t="shared" si="1769"/>
        <v>-65000000</v>
      </c>
      <c r="USR69" s="61">
        <f t="shared" si="1769"/>
        <v>-65000000</v>
      </c>
      <c r="USS69" s="61">
        <f t="shared" si="1769"/>
        <v>-65000000</v>
      </c>
      <c r="UST69" s="61">
        <f t="shared" si="1769"/>
        <v>-65000000</v>
      </c>
      <c r="USU69" s="61">
        <f t="shared" si="1769"/>
        <v>-65000000</v>
      </c>
      <c r="USV69" s="61">
        <f t="shared" si="1769"/>
        <v>-65000000</v>
      </c>
      <c r="USW69" s="61">
        <f t="shared" si="1769"/>
        <v>-65000000</v>
      </c>
      <c r="USX69" s="61">
        <f t="shared" si="1769"/>
        <v>-65000000</v>
      </c>
      <c r="USY69" s="61">
        <f t="shared" si="1769"/>
        <v>-65000000</v>
      </c>
      <c r="USZ69" s="61">
        <f t="shared" si="1769"/>
        <v>-65000000</v>
      </c>
      <c r="UTA69" s="61">
        <f t="shared" si="1769"/>
        <v>-65000000</v>
      </c>
      <c r="UTB69" s="61">
        <f t="shared" si="1769"/>
        <v>-65000000</v>
      </c>
      <c r="UTC69" s="61">
        <f t="shared" si="1769"/>
        <v>-65000000</v>
      </c>
      <c r="UTD69" s="61">
        <f t="shared" si="1769"/>
        <v>-65000000</v>
      </c>
      <c r="UTE69" s="61">
        <f t="shared" si="1769"/>
        <v>-65000000</v>
      </c>
      <c r="UTF69" s="61">
        <f t="shared" si="1769"/>
        <v>-65000000</v>
      </c>
      <c r="UTG69" s="61">
        <f t="shared" si="1769"/>
        <v>-65000000</v>
      </c>
      <c r="UTH69" s="61">
        <f t="shared" si="1769"/>
        <v>-65000000</v>
      </c>
      <c r="UTI69" s="61">
        <f t="shared" si="1769"/>
        <v>-65000000</v>
      </c>
      <c r="UTJ69" s="61">
        <f t="shared" si="1769"/>
        <v>-65000000</v>
      </c>
      <c r="UTK69" s="61">
        <f t="shared" si="1769"/>
        <v>-65000000</v>
      </c>
      <c r="UTL69" s="61">
        <f t="shared" si="1769"/>
        <v>-65000000</v>
      </c>
      <c r="UTM69" s="61">
        <f t="shared" si="1769"/>
        <v>-65000000</v>
      </c>
      <c r="UTN69" s="61">
        <f t="shared" si="1769"/>
        <v>-65000000</v>
      </c>
      <c r="UTO69" s="61">
        <f t="shared" si="1769"/>
        <v>-65000000</v>
      </c>
      <c r="UTP69" s="61">
        <f t="shared" si="1769"/>
        <v>-65000000</v>
      </c>
      <c r="UTQ69" s="61">
        <f t="shared" si="1769"/>
        <v>-65000000</v>
      </c>
      <c r="UTR69" s="61">
        <f t="shared" si="1769"/>
        <v>-65000000</v>
      </c>
      <c r="UTS69" s="61">
        <f t="shared" si="1769"/>
        <v>-65000000</v>
      </c>
      <c r="UTT69" s="61">
        <f t="shared" si="1769"/>
        <v>-65000000</v>
      </c>
      <c r="UTU69" s="61">
        <f t="shared" si="1769"/>
        <v>-65000000</v>
      </c>
      <c r="UTV69" s="61">
        <f t="shared" si="1769"/>
        <v>-65000000</v>
      </c>
      <c r="UTW69" s="61">
        <f t="shared" si="1769"/>
        <v>-65000000</v>
      </c>
      <c r="UTX69" s="61">
        <f t="shared" si="1769"/>
        <v>-65000000</v>
      </c>
      <c r="UTY69" s="61">
        <f t="shared" si="1769"/>
        <v>-65000000</v>
      </c>
      <c r="UTZ69" s="61">
        <f t="shared" si="1769"/>
        <v>-65000000</v>
      </c>
      <c r="UUA69" s="61">
        <f t="shared" si="1769"/>
        <v>-65000000</v>
      </c>
      <c r="UUB69" s="61">
        <f t="shared" si="1769"/>
        <v>-65000000</v>
      </c>
      <c r="UUC69" s="61">
        <f t="shared" si="1769"/>
        <v>-65000000</v>
      </c>
      <c r="UUD69" s="61">
        <f t="shared" si="1769"/>
        <v>-65000000</v>
      </c>
      <c r="UUE69" s="61">
        <f t="shared" si="1769"/>
        <v>-65000000</v>
      </c>
      <c r="UUF69" s="61">
        <f t="shared" si="1769"/>
        <v>-65000000</v>
      </c>
      <c r="UUG69" s="61">
        <f t="shared" si="1769"/>
        <v>-65000000</v>
      </c>
      <c r="UUH69" s="61">
        <f t="shared" si="1769"/>
        <v>-65000000</v>
      </c>
      <c r="UUI69" s="61">
        <f t="shared" ref="UUI69:UWT69" si="1770">UUI68-$EC$11-UUI11</f>
        <v>-65000000</v>
      </c>
      <c r="UUJ69" s="61">
        <f t="shared" si="1770"/>
        <v>-65000000</v>
      </c>
      <c r="UUK69" s="61">
        <f t="shared" si="1770"/>
        <v>-65000000</v>
      </c>
      <c r="UUL69" s="61">
        <f t="shared" si="1770"/>
        <v>-65000000</v>
      </c>
      <c r="UUM69" s="61">
        <f t="shared" si="1770"/>
        <v>-65000000</v>
      </c>
      <c r="UUN69" s="61">
        <f t="shared" si="1770"/>
        <v>-65000000</v>
      </c>
      <c r="UUO69" s="61">
        <f t="shared" si="1770"/>
        <v>-65000000</v>
      </c>
      <c r="UUP69" s="61">
        <f t="shared" si="1770"/>
        <v>-65000000</v>
      </c>
      <c r="UUQ69" s="61">
        <f t="shared" si="1770"/>
        <v>-65000000</v>
      </c>
      <c r="UUR69" s="61">
        <f t="shared" si="1770"/>
        <v>-65000000</v>
      </c>
      <c r="UUS69" s="61">
        <f t="shared" si="1770"/>
        <v>-65000000</v>
      </c>
      <c r="UUT69" s="61">
        <f t="shared" si="1770"/>
        <v>-65000000</v>
      </c>
      <c r="UUU69" s="61">
        <f t="shared" si="1770"/>
        <v>-65000000</v>
      </c>
      <c r="UUV69" s="61">
        <f t="shared" si="1770"/>
        <v>-65000000</v>
      </c>
      <c r="UUW69" s="61">
        <f t="shared" si="1770"/>
        <v>-65000000</v>
      </c>
      <c r="UUX69" s="61">
        <f t="shared" si="1770"/>
        <v>-65000000</v>
      </c>
      <c r="UUY69" s="61">
        <f t="shared" si="1770"/>
        <v>-65000000</v>
      </c>
      <c r="UUZ69" s="61">
        <f t="shared" si="1770"/>
        <v>-65000000</v>
      </c>
      <c r="UVA69" s="61">
        <f t="shared" si="1770"/>
        <v>-65000000</v>
      </c>
      <c r="UVB69" s="61">
        <f t="shared" si="1770"/>
        <v>-65000000</v>
      </c>
      <c r="UVC69" s="61">
        <f t="shared" si="1770"/>
        <v>-65000000</v>
      </c>
      <c r="UVD69" s="61">
        <f t="shared" si="1770"/>
        <v>-65000000</v>
      </c>
      <c r="UVE69" s="61">
        <f t="shared" si="1770"/>
        <v>-65000000</v>
      </c>
      <c r="UVF69" s="61">
        <f t="shared" si="1770"/>
        <v>-65000000</v>
      </c>
      <c r="UVG69" s="61">
        <f t="shared" si="1770"/>
        <v>-65000000</v>
      </c>
      <c r="UVH69" s="61">
        <f t="shared" si="1770"/>
        <v>-65000000</v>
      </c>
      <c r="UVI69" s="61">
        <f t="shared" si="1770"/>
        <v>-65000000</v>
      </c>
      <c r="UVJ69" s="61">
        <f t="shared" si="1770"/>
        <v>-65000000</v>
      </c>
      <c r="UVK69" s="61">
        <f t="shared" si="1770"/>
        <v>-65000000</v>
      </c>
      <c r="UVL69" s="61">
        <f t="shared" si="1770"/>
        <v>-65000000</v>
      </c>
      <c r="UVM69" s="61">
        <f t="shared" si="1770"/>
        <v>-65000000</v>
      </c>
      <c r="UVN69" s="61">
        <f t="shared" si="1770"/>
        <v>-65000000</v>
      </c>
      <c r="UVO69" s="61">
        <f t="shared" si="1770"/>
        <v>-65000000</v>
      </c>
      <c r="UVP69" s="61">
        <f t="shared" si="1770"/>
        <v>-65000000</v>
      </c>
      <c r="UVQ69" s="61">
        <f t="shared" si="1770"/>
        <v>-65000000</v>
      </c>
      <c r="UVR69" s="61">
        <f t="shared" si="1770"/>
        <v>-65000000</v>
      </c>
      <c r="UVS69" s="61">
        <f t="shared" si="1770"/>
        <v>-65000000</v>
      </c>
      <c r="UVT69" s="61">
        <f t="shared" si="1770"/>
        <v>-65000000</v>
      </c>
      <c r="UVU69" s="61">
        <f t="shared" si="1770"/>
        <v>-65000000</v>
      </c>
      <c r="UVV69" s="61">
        <f t="shared" si="1770"/>
        <v>-65000000</v>
      </c>
      <c r="UVW69" s="61">
        <f t="shared" si="1770"/>
        <v>-65000000</v>
      </c>
      <c r="UVX69" s="61">
        <f t="shared" si="1770"/>
        <v>-65000000</v>
      </c>
      <c r="UVY69" s="61">
        <f t="shared" si="1770"/>
        <v>-65000000</v>
      </c>
      <c r="UVZ69" s="61">
        <f t="shared" si="1770"/>
        <v>-65000000</v>
      </c>
      <c r="UWA69" s="61">
        <f t="shared" si="1770"/>
        <v>-65000000</v>
      </c>
      <c r="UWB69" s="61">
        <f t="shared" si="1770"/>
        <v>-65000000</v>
      </c>
      <c r="UWC69" s="61">
        <f t="shared" si="1770"/>
        <v>-65000000</v>
      </c>
      <c r="UWD69" s="61">
        <f t="shared" si="1770"/>
        <v>-65000000</v>
      </c>
      <c r="UWE69" s="61">
        <f t="shared" si="1770"/>
        <v>-65000000</v>
      </c>
      <c r="UWF69" s="61">
        <f t="shared" si="1770"/>
        <v>-65000000</v>
      </c>
      <c r="UWG69" s="61">
        <f t="shared" si="1770"/>
        <v>-65000000</v>
      </c>
      <c r="UWH69" s="61">
        <f t="shared" si="1770"/>
        <v>-65000000</v>
      </c>
      <c r="UWI69" s="61">
        <f t="shared" si="1770"/>
        <v>-65000000</v>
      </c>
      <c r="UWJ69" s="61">
        <f t="shared" si="1770"/>
        <v>-65000000</v>
      </c>
      <c r="UWK69" s="61">
        <f t="shared" si="1770"/>
        <v>-65000000</v>
      </c>
      <c r="UWL69" s="61">
        <f t="shared" si="1770"/>
        <v>-65000000</v>
      </c>
      <c r="UWM69" s="61">
        <f t="shared" si="1770"/>
        <v>-65000000</v>
      </c>
      <c r="UWN69" s="61">
        <f t="shared" si="1770"/>
        <v>-65000000</v>
      </c>
      <c r="UWO69" s="61">
        <f t="shared" si="1770"/>
        <v>-65000000</v>
      </c>
      <c r="UWP69" s="61">
        <f t="shared" si="1770"/>
        <v>-65000000</v>
      </c>
      <c r="UWQ69" s="61">
        <f t="shared" si="1770"/>
        <v>-65000000</v>
      </c>
      <c r="UWR69" s="61">
        <f t="shared" si="1770"/>
        <v>-65000000</v>
      </c>
      <c r="UWS69" s="61">
        <f t="shared" si="1770"/>
        <v>-65000000</v>
      </c>
      <c r="UWT69" s="61">
        <f t="shared" si="1770"/>
        <v>-65000000</v>
      </c>
      <c r="UWU69" s="61">
        <f t="shared" ref="UWU69:UZF69" si="1771">UWU68-$EC$11-UWU11</f>
        <v>-65000000</v>
      </c>
      <c r="UWV69" s="61">
        <f t="shared" si="1771"/>
        <v>-65000000</v>
      </c>
      <c r="UWW69" s="61">
        <f t="shared" si="1771"/>
        <v>-65000000</v>
      </c>
      <c r="UWX69" s="61">
        <f t="shared" si="1771"/>
        <v>-65000000</v>
      </c>
      <c r="UWY69" s="61">
        <f t="shared" si="1771"/>
        <v>-65000000</v>
      </c>
      <c r="UWZ69" s="61">
        <f t="shared" si="1771"/>
        <v>-65000000</v>
      </c>
      <c r="UXA69" s="61">
        <f t="shared" si="1771"/>
        <v>-65000000</v>
      </c>
      <c r="UXB69" s="61">
        <f t="shared" si="1771"/>
        <v>-65000000</v>
      </c>
      <c r="UXC69" s="61">
        <f t="shared" si="1771"/>
        <v>-65000000</v>
      </c>
      <c r="UXD69" s="61">
        <f t="shared" si="1771"/>
        <v>-65000000</v>
      </c>
      <c r="UXE69" s="61">
        <f t="shared" si="1771"/>
        <v>-65000000</v>
      </c>
      <c r="UXF69" s="61">
        <f t="shared" si="1771"/>
        <v>-65000000</v>
      </c>
      <c r="UXG69" s="61">
        <f t="shared" si="1771"/>
        <v>-65000000</v>
      </c>
      <c r="UXH69" s="61">
        <f t="shared" si="1771"/>
        <v>-65000000</v>
      </c>
      <c r="UXI69" s="61">
        <f t="shared" si="1771"/>
        <v>-65000000</v>
      </c>
      <c r="UXJ69" s="61">
        <f t="shared" si="1771"/>
        <v>-65000000</v>
      </c>
      <c r="UXK69" s="61">
        <f t="shared" si="1771"/>
        <v>-65000000</v>
      </c>
      <c r="UXL69" s="61">
        <f t="shared" si="1771"/>
        <v>-65000000</v>
      </c>
      <c r="UXM69" s="61">
        <f t="shared" si="1771"/>
        <v>-65000000</v>
      </c>
      <c r="UXN69" s="61">
        <f t="shared" si="1771"/>
        <v>-65000000</v>
      </c>
      <c r="UXO69" s="61">
        <f t="shared" si="1771"/>
        <v>-65000000</v>
      </c>
      <c r="UXP69" s="61">
        <f t="shared" si="1771"/>
        <v>-65000000</v>
      </c>
      <c r="UXQ69" s="61">
        <f t="shared" si="1771"/>
        <v>-65000000</v>
      </c>
      <c r="UXR69" s="61">
        <f t="shared" si="1771"/>
        <v>-65000000</v>
      </c>
      <c r="UXS69" s="61">
        <f t="shared" si="1771"/>
        <v>-65000000</v>
      </c>
      <c r="UXT69" s="61">
        <f t="shared" si="1771"/>
        <v>-65000000</v>
      </c>
      <c r="UXU69" s="61">
        <f t="shared" si="1771"/>
        <v>-65000000</v>
      </c>
      <c r="UXV69" s="61">
        <f t="shared" si="1771"/>
        <v>-65000000</v>
      </c>
      <c r="UXW69" s="61">
        <f t="shared" si="1771"/>
        <v>-65000000</v>
      </c>
      <c r="UXX69" s="61">
        <f t="shared" si="1771"/>
        <v>-65000000</v>
      </c>
      <c r="UXY69" s="61">
        <f t="shared" si="1771"/>
        <v>-65000000</v>
      </c>
      <c r="UXZ69" s="61">
        <f t="shared" si="1771"/>
        <v>-65000000</v>
      </c>
      <c r="UYA69" s="61">
        <f t="shared" si="1771"/>
        <v>-65000000</v>
      </c>
      <c r="UYB69" s="61">
        <f t="shared" si="1771"/>
        <v>-65000000</v>
      </c>
      <c r="UYC69" s="61">
        <f t="shared" si="1771"/>
        <v>-65000000</v>
      </c>
      <c r="UYD69" s="61">
        <f t="shared" si="1771"/>
        <v>-65000000</v>
      </c>
      <c r="UYE69" s="61">
        <f t="shared" si="1771"/>
        <v>-65000000</v>
      </c>
      <c r="UYF69" s="61">
        <f t="shared" si="1771"/>
        <v>-65000000</v>
      </c>
      <c r="UYG69" s="61">
        <f t="shared" si="1771"/>
        <v>-65000000</v>
      </c>
      <c r="UYH69" s="61">
        <f t="shared" si="1771"/>
        <v>-65000000</v>
      </c>
      <c r="UYI69" s="61">
        <f t="shared" si="1771"/>
        <v>-65000000</v>
      </c>
      <c r="UYJ69" s="61">
        <f t="shared" si="1771"/>
        <v>-65000000</v>
      </c>
      <c r="UYK69" s="61">
        <f t="shared" si="1771"/>
        <v>-65000000</v>
      </c>
      <c r="UYL69" s="61">
        <f t="shared" si="1771"/>
        <v>-65000000</v>
      </c>
      <c r="UYM69" s="61">
        <f t="shared" si="1771"/>
        <v>-65000000</v>
      </c>
      <c r="UYN69" s="61">
        <f t="shared" si="1771"/>
        <v>-65000000</v>
      </c>
      <c r="UYO69" s="61">
        <f t="shared" si="1771"/>
        <v>-65000000</v>
      </c>
      <c r="UYP69" s="61">
        <f t="shared" si="1771"/>
        <v>-65000000</v>
      </c>
      <c r="UYQ69" s="61">
        <f t="shared" si="1771"/>
        <v>-65000000</v>
      </c>
      <c r="UYR69" s="61">
        <f t="shared" si="1771"/>
        <v>-65000000</v>
      </c>
      <c r="UYS69" s="61">
        <f t="shared" si="1771"/>
        <v>-65000000</v>
      </c>
      <c r="UYT69" s="61">
        <f t="shared" si="1771"/>
        <v>-65000000</v>
      </c>
      <c r="UYU69" s="61">
        <f t="shared" si="1771"/>
        <v>-65000000</v>
      </c>
      <c r="UYV69" s="61">
        <f t="shared" si="1771"/>
        <v>-65000000</v>
      </c>
      <c r="UYW69" s="61">
        <f t="shared" si="1771"/>
        <v>-65000000</v>
      </c>
      <c r="UYX69" s="61">
        <f t="shared" si="1771"/>
        <v>-65000000</v>
      </c>
      <c r="UYY69" s="61">
        <f t="shared" si="1771"/>
        <v>-65000000</v>
      </c>
      <c r="UYZ69" s="61">
        <f t="shared" si="1771"/>
        <v>-65000000</v>
      </c>
      <c r="UZA69" s="61">
        <f t="shared" si="1771"/>
        <v>-65000000</v>
      </c>
      <c r="UZB69" s="61">
        <f t="shared" si="1771"/>
        <v>-65000000</v>
      </c>
      <c r="UZC69" s="61">
        <f t="shared" si="1771"/>
        <v>-65000000</v>
      </c>
      <c r="UZD69" s="61">
        <f t="shared" si="1771"/>
        <v>-65000000</v>
      </c>
      <c r="UZE69" s="61">
        <f t="shared" si="1771"/>
        <v>-65000000</v>
      </c>
      <c r="UZF69" s="61">
        <f t="shared" si="1771"/>
        <v>-65000000</v>
      </c>
      <c r="UZG69" s="61">
        <f t="shared" ref="UZG69:VBR69" si="1772">UZG68-$EC$11-UZG11</f>
        <v>-65000000</v>
      </c>
      <c r="UZH69" s="61">
        <f t="shared" si="1772"/>
        <v>-65000000</v>
      </c>
      <c r="UZI69" s="61">
        <f t="shared" si="1772"/>
        <v>-65000000</v>
      </c>
      <c r="UZJ69" s="61">
        <f t="shared" si="1772"/>
        <v>-65000000</v>
      </c>
      <c r="UZK69" s="61">
        <f t="shared" si="1772"/>
        <v>-65000000</v>
      </c>
      <c r="UZL69" s="61">
        <f t="shared" si="1772"/>
        <v>-65000000</v>
      </c>
      <c r="UZM69" s="61">
        <f t="shared" si="1772"/>
        <v>-65000000</v>
      </c>
      <c r="UZN69" s="61">
        <f t="shared" si="1772"/>
        <v>-65000000</v>
      </c>
      <c r="UZO69" s="61">
        <f t="shared" si="1772"/>
        <v>-65000000</v>
      </c>
      <c r="UZP69" s="61">
        <f t="shared" si="1772"/>
        <v>-65000000</v>
      </c>
      <c r="UZQ69" s="61">
        <f t="shared" si="1772"/>
        <v>-65000000</v>
      </c>
      <c r="UZR69" s="61">
        <f t="shared" si="1772"/>
        <v>-65000000</v>
      </c>
      <c r="UZS69" s="61">
        <f t="shared" si="1772"/>
        <v>-65000000</v>
      </c>
      <c r="UZT69" s="61">
        <f t="shared" si="1772"/>
        <v>-65000000</v>
      </c>
      <c r="UZU69" s="61">
        <f t="shared" si="1772"/>
        <v>-65000000</v>
      </c>
      <c r="UZV69" s="61">
        <f t="shared" si="1772"/>
        <v>-65000000</v>
      </c>
      <c r="UZW69" s="61">
        <f t="shared" si="1772"/>
        <v>-65000000</v>
      </c>
      <c r="UZX69" s="61">
        <f t="shared" si="1772"/>
        <v>-65000000</v>
      </c>
      <c r="UZY69" s="61">
        <f t="shared" si="1772"/>
        <v>-65000000</v>
      </c>
      <c r="UZZ69" s="61">
        <f t="shared" si="1772"/>
        <v>-65000000</v>
      </c>
      <c r="VAA69" s="61">
        <f t="shared" si="1772"/>
        <v>-65000000</v>
      </c>
      <c r="VAB69" s="61">
        <f t="shared" si="1772"/>
        <v>-65000000</v>
      </c>
      <c r="VAC69" s="61">
        <f t="shared" si="1772"/>
        <v>-65000000</v>
      </c>
      <c r="VAD69" s="61">
        <f t="shared" si="1772"/>
        <v>-65000000</v>
      </c>
      <c r="VAE69" s="61">
        <f t="shared" si="1772"/>
        <v>-65000000</v>
      </c>
      <c r="VAF69" s="61">
        <f t="shared" si="1772"/>
        <v>-65000000</v>
      </c>
      <c r="VAG69" s="61">
        <f t="shared" si="1772"/>
        <v>-65000000</v>
      </c>
      <c r="VAH69" s="61">
        <f t="shared" si="1772"/>
        <v>-65000000</v>
      </c>
      <c r="VAI69" s="61">
        <f t="shared" si="1772"/>
        <v>-65000000</v>
      </c>
      <c r="VAJ69" s="61">
        <f t="shared" si="1772"/>
        <v>-65000000</v>
      </c>
      <c r="VAK69" s="61">
        <f t="shared" si="1772"/>
        <v>-65000000</v>
      </c>
      <c r="VAL69" s="61">
        <f t="shared" si="1772"/>
        <v>-65000000</v>
      </c>
      <c r="VAM69" s="61">
        <f t="shared" si="1772"/>
        <v>-65000000</v>
      </c>
      <c r="VAN69" s="61">
        <f t="shared" si="1772"/>
        <v>-65000000</v>
      </c>
      <c r="VAO69" s="61">
        <f t="shared" si="1772"/>
        <v>-65000000</v>
      </c>
      <c r="VAP69" s="61">
        <f t="shared" si="1772"/>
        <v>-65000000</v>
      </c>
      <c r="VAQ69" s="61">
        <f t="shared" si="1772"/>
        <v>-65000000</v>
      </c>
      <c r="VAR69" s="61">
        <f t="shared" si="1772"/>
        <v>-65000000</v>
      </c>
      <c r="VAS69" s="61">
        <f t="shared" si="1772"/>
        <v>-65000000</v>
      </c>
      <c r="VAT69" s="61">
        <f t="shared" si="1772"/>
        <v>-65000000</v>
      </c>
      <c r="VAU69" s="61">
        <f t="shared" si="1772"/>
        <v>-65000000</v>
      </c>
      <c r="VAV69" s="61">
        <f t="shared" si="1772"/>
        <v>-65000000</v>
      </c>
      <c r="VAW69" s="61">
        <f t="shared" si="1772"/>
        <v>-65000000</v>
      </c>
      <c r="VAX69" s="61">
        <f t="shared" si="1772"/>
        <v>-65000000</v>
      </c>
      <c r="VAY69" s="61">
        <f t="shared" si="1772"/>
        <v>-65000000</v>
      </c>
      <c r="VAZ69" s="61">
        <f t="shared" si="1772"/>
        <v>-65000000</v>
      </c>
      <c r="VBA69" s="61">
        <f t="shared" si="1772"/>
        <v>-65000000</v>
      </c>
      <c r="VBB69" s="61">
        <f t="shared" si="1772"/>
        <v>-65000000</v>
      </c>
      <c r="VBC69" s="61">
        <f t="shared" si="1772"/>
        <v>-65000000</v>
      </c>
      <c r="VBD69" s="61">
        <f t="shared" si="1772"/>
        <v>-65000000</v>
      </c>
      <c r="VBE69" s="61">
        <f t="shared" si="1772"/>
        <v>-65000000</v>
      </c>
      <c r="VBF69" s="61">
        <f t="shared" si="1772"/>
        <v>-65000000</v>
      </c>
      <c r="VBG69" s="61">
        <f t="shared" si="1772"/>
        <v>-65000000</v>
      </c>
      <c r="VBH69" s="61">
        <f t="shared" si="1772"/>
        <v>-65000000</v>
      </c>
      <c r="VBI69" s="61">
        <f t="shared" si="1772"/>
        <v>-65000000</v>
      </c>
      <c r="VBJ69" s="61">
        <f t="shared" si="1772"/>
        <v>-65000000</v>
      </c>
      <c r="VBK69" s="61">
        <f t="shared" si="1772"/>
        <v>-65000000</v>
      </c>
      <c r="VBL69" s="61">
        <f t="shared" si="1772"/>
        <v>-65000000</v>
      </c>
      <c r="VBM69" s="61">
        <f t="shared" si="1772"/>
        <v>-65000000</v>
      </c>
      <c r="VBN69" s="61">
        <f t="shared" si="1772"/>
        <v>-65000000</v>
      </c>
      <c r="VBO69" s="61">
        <f t="shared" si="1772"/>
        <v>-65000000</v>
      </c>
      <c r="VBP69" s="61">
        <f t="shared" si="1772"/>
        <v>-65000000</v>
      </c>
      <c r="VBQ69" s="61">
        <f t="shared" si="1772"/>
        <v>-65000000</v>
      </c>
      <c r="VBR69" s="61">
        <f t="shared" si="1772"/>
        <v>-65000000</v>
      </c>
      <c r="VBS69" s="61">
        <f t="shared" ref="VBS69:VED69" si="1773">VBS68-$EC$11-VBS11</f>
        <v>-65000000</v>
      </c>
      <c r="VBT69" s="61">
        <f t="shared" si="1773"/>
        <v>-65000000</v>
      </c>
      <c r="VBU69" s="61">
        <f t="shared" si="1773"/>
        <v>-65000000</v>
      </c>
      <c r="VBV69" s="61">
        <f t="shared" si="1773"/>
        <v>-65000000</v>
      </c>
      <c r="VBW69" s="61">
        <f t="shared" si="1773"/>
        <v>-65000000</v>
      </c>
      <c r="VBX69" s="61">
        <f t="shared" si="1773"/>
        <v>-65000000</v>
      </c>
      <c r="VBY69" s="61">
        <f t="shared" si="1773"/>
        <v>-65000000</v>
      </c>
      <c r="VBZ69" s="61">
        <f t="shared" si="1773"/>
        <v>-65000000</v>
      </c>
      <c r="VCA69" s="61">
        <f t="shared" si="1773"/>
        <v>-65000000</v>
      </c>
      <c r="VCB69" s="61">
        <f t="shared" si="1773"/>
        <v>-65000000</v>
      </c>
      <c r="VCC69" s="61">
        <f t="shared" si="1773"/>
        <v>-65000000</v>
      </c>
      <c r="VCD69" s="61">
        <f t="shared" si="1773"/>
        <v>-65000000</v>
      </c>
      <c r="VCE69" s="61">
        <f t="shared" si="1773"/>
        <v>-65000000</v>
      </c>
      <c r="VCF69" s="61">
        <f t="shared" si="1773"/>
        <v>-65000000</v>
      </c>
      <c r="VCG69" s="61">
        <f t="shared" si="1773"/>
        <v>-65000000</v>
      </c>
      <c r="VCH69" s="61">
        <f t="shared" si="1773"/>
        <v>-65000000</v>
      </c>
      <c r="VCI69" s="61">
        <f t="shared" si="1773"/>
        <v>-65000000</v>
      </c>
      <c r="VCJ69" s="61">
        <f t="shared" si="1773"/>
        <v>-65000000</v>
      </c>
      <c r="VCK69" s="61">
        <f t="shared" si="1773"/>
        <v>-65000000</v>
      </c>
      <c r="VCL69" s="61">
        <f t="shared" si="1773"/>
        <v>-65000000</v>
      </c>
      <c r="VCM69" s="61">
        <f t="shared" si="1773"/>
        <v>-65000000</v>
      </c>
      <c r="VCN69" s="61">
        <f t="shared" si="1773"/>
        <v>-65000000</v>
      </c>
      <c r="VCO69" s="61">
        <f t="shared" si="1773"/>
        <v>-65000000</v>
      </c>
      <c r="VCP69" s="61">
        <f t="shared" si="1773"/>
        <v>-65000000</v>
      </c>
      <c r="VCQ69" s="61">
        <f t="shared" si="1773"/>
        <v>-65000000</v>
      </c>
      <c r="VCR69" s="61">
        <f t="shared" si="1773"/>
        <v>-65000000</v>
      </c>
      <c r="VCS69" s="61">
        <f t="shared" si="1773"/>
        <v>-65000000</v>
      </c>
      <c r="VCT69" s="61">
        <f t="shared" si="1773"/>
        <v>-65000000</v>
      </c>
      <c r="VCU69" s="61">
        <f t="shared" si="1773"/>
        <v>-65000000</v>
      </c>
      <c r="VCV69" s="61">
        <f t="shared" si="1773"/>
        <v>-65000000</v>
      </c>
      <c r="VCW69" s="61">
        <f t="shared" si="1773"/>
        <v>-65000000</v>
      </c>
      <c r="VCX69" s="61">
        <f t="shared" si="1773"/>
        <v>-65000000</v>
      </c>
      <c r="VCY69" s="61">
        <f t="shared" si="1773"/>
        <v>-65000000</v>
      </c>
      <c r="VCZ69" s="61">
        <f t="shared" si="1773"/>
        <v>-65000000</v>
      </c>
      <c r="VDA69" s="61">
        <f t="shared" si="1773"/>
        <v>-65000000</v>
      </c>
      <c r="VDB69" s="61">
        <f t="shared" si="1773"/>
        <v>-65000000</v>
      </c>
      <c r="VDC69" s="61">
        <f t="shared" si="1773"/>
        <v>-65000000</v>
      </c>
      <c r="VDD69" s="61">
        <f t="shared" si="1773"/>
        <v>-65000000</v>
      </c>
      <c r="VDE69" s="61">
        <f t="shared" si="1773"/>
        <v>-65000000</v>
      </c>
      <c r="VDF69" s="61">
        <f t="shared" si="1773"/>
        <v>-65000000</v>
      </c>
      <c r="VDG69" s="61">
        <f t="shared" si="1773"/>
        <v>-65000000</v>
      </c>
      <c r="VDH69" s="61">
        <f t="shared" si="1773"/>
        <v>-65000000</v>
      </c>
      <c r="VDI69" s="61">
        <f t="shared" si="1773"/>
        <v>-65000000</v>
      </c>
      <c r="VDJ69" s="61">
        <f t="shared" si="1773"/>
        <v>-65000000</v>
      </c>
      <c r="VDK69" s="61">
        <f t="shared" si="1773"/>
        <v>-65000000</v>
      </c>
      <c r="VDL69" s="61">
        <f t="shared" si="1773"/>
        <v>-65000000</v>
      </c>
      <c r="VDM69" s="61">
        <f t="shared" si="1773"/>
        <v>-65000000</v>
      </c>
      <c r="VDN69" s="61">
        <f t="shared" si="1773"/>
        <v>-65000000</v>
      </c>
      <c r="VDO69" s="61">
        <f t="shared" si="1773"/>
        <v>-65000000</v>
      </c>
      <c r="VDP69" s="61">
        <f t="shared" si="1773"/>
        <v>-65000000</v>
      </c>
      <c r="VDQ69" s="61">
        <f t="shared" si="1773"/>
        <v>-65000000</v>
      </c>
      <c r="VDR69" s="61">
        <f t="shared" si="1773"/>
        <v>-65000000</v>
      </c>
      <c r="VDS69" s="61">
        <f t="shared" si="1773"/>
        <v>-65000000</v>
      </c>
      <c r="VDT69" s="61">
        <f t="shared" si="1773"/>
        <v>-65000000</v>
      </c>
      <c r="VDU69" s="61">
        <f t="shared" si="1773"/>
        <v>-65000000</v>
      </c>
      <c r="VDV69" s="61">
        <f t="shared" si="1773"/>
        <v>-65000000</v>
      </c>
      <c r="VDW69" s="61">
        <f t="shared" si="1773"/>
        <v>-65000000</v>
      </c>
      <c r="VDX69" s="61">
        <f t="shared" si="1773"/>
        <v>-65000000</v>
      </c>
      <c r="VDY69" s="61">
        <f t="shared" si="1773"/>
        <v>-65000000</v>
      </c>
      <c r="VDZ69" s="61">
        <f t="shared" si="1773"/>
        <v>-65000000</v>
      </c>
      <c r="VEA69" s="61">
        <f t="shared" si="1773"/>
        <v>-65000000</v>
      </c>
      <c r="VEB69" s="61">
        <f t="shared" si="1773"/>
        <v>-65000000</v>
      </c>
      <c r="VEC69" s="61">
        <f t="shared" si="1773"/>
        <v>-65000000</v>
      </c>
      <c r="VED69" s="61">
        <f t="shared" si="1773"/>
        <v>-65000000</v>
      </c>
      <c r="VEE69" s="61">
        <f t="shared" ref="VEE69:VGP69" si="1774">VEE68-$EC$11-VEE11</f>
        <v>-65000000</v>
      </c>
      <c r="VEF69" s="61">
        <f t="shared" si="1774"/>
        <v>-65000000</v>
      </c>
      <c r="VEG69" s="61">
        <f t="shared" si="1774"/>
        <v>-65000000</v>
      </c>
      <c r="VEH69" s="61">
        <f t="shared" si="1774"/>
        <v>-65000000</v>
      </c>
      <c r="VEI69" s="61">
        <f t="shared" si="1774"/>
        <v>-65000000</v>
      </c>
      <c r="VEJ69" s="61">
        <f t="shared" si="1774"/>
        <v>-65000000</v>
      </c>
      <c r="VEK69" s="61">
        <f t="shared" si="1774"/>
        <v>-65000000</v>
      </c>
      <c r="VEL69" s="61">
        <f t="shared" si="1774"/>
        <v>-65000000</v>
      </c>
      <c r="VEM69" s="61">
        <f t="shared" si="1774"/>
        <v>-65000000</v>
      </c>
      <c r="VEN69" s="61">
        <f t="shared" si="1774"/>
        <v>-65000000</v>
      </c>
      <c r="VEO69" s="61">
        <f t="shared" si="1774"/>
        <v>-65000000</v>
      </c>
      <c r="VEP69" s="61">
        <f t="shared" si="1774"/>
        <v>-65000000</v>
      </c>
      <c r="VEQ69" s="61">
        <f t="shared" si="1774"/>
        <v>-65000000</v>
      </c>
      <c r="VER69" s="61">
        <f t="shared" si="1774"/>
        <v>-65000000</v>
      </c>
      <c r="VES69" s="61">
        <f t="shared" si="1774"/>
        <v>-65000000</v>
      </c>
      <c r="VET69" s="61">
        <f t="shared" si="1774"/>
        <v>-65000000</v>
      </c>
      <c r="VEU69" s="61">
        <f t="shared" si="1774"/>
        <v>-65000000</v>
      </c>
      <c r="VEV69" s="61">
        <f t="shared" si="1774"/>
        <v>-65000000</v>
      </c>
      <c r="VEW69" s="61">
        <f t="shared" si="1774"/>
        <v>-65000000</v>
      </c>
      <c r="VEX69" s="61">
        <f t="shared" si="1774"/>
        <v>-65000000</v>
      </c>
      <c r="VEY69" s="61">
        <f t="shared" si="1774"/>
        <v>-65000000</v>
      </c>
      <c r="VEZ69" s="61">
        <f t="shared" si="1774"/>
        <v>-65000000</v>
      </c>
      <c r="VFA69" s="61">
        <f t="shared" si="1774"/>
        <v>-65000000</v>
      </c>
      <c r="VFB69" s="61">
        <f t="shared" si="1774"/>
        <v>-65000000</v>
      </c>
      <c r="VFC69" s="61">
        <f t="shared" si="1774"/>
        <v>-65000000</v>
      </c>
      <c r="VFD69" s="61">
        <f t="shared" si="1774"/>
        <v>-65000000</v>
      </c>
      <c r="VFE69" s="61">
        <f t="shared" si="1774"/>
        <v>-65000000</v>
      </c>
      <c r="VFF69" s="61">
        <f t="shared" si="1774"/>
        <v>-65000000</v>
      </c>
      <c r="VFG69" s="61">
        <f t="shared" si="1774"/>
        <v>-65000000</v>
      </c>
      <c r="VFH69" s="61">
        <f t="shared" si="1774"/>
        <v>-65000000</v>
      </c>
      <c r="VFI69" s="61">
        <f t="shared" si="1774"/>
        <v>-65000000</v>
      </c>
      <c r="VFJ69" s="61">
        <f t="shared" si="1774"/>
        <v>-65000000</v>
      </c>
      <c r="VFK69" s="61">
        <f t="shared" si="1774"/>
        <v>-65000000</v>
      </c>
      <c r="VFL69" s="61">
        <f t="shared" si="1774"/>
        <v>-65000000</v>
      </c>
      <c r="VFM69" s="61">
        <f t="shared" si="1774"/>
        <v>-65000000</v>
      </c>
      <c r="VFN69" s="61">
        <f t="shared" si="1774"/>
        <v>-65000000</v>
      </c>
      <c r="VFO69" s="61">
        <f t="shared" si="1774"/>
        <v>-65000000</v>
      </c>
      <c r="VFP69" s="61">
        <f t="shared" si="1774"/>
        <v>-65000000</v>
      </c>
      <c r="VFQ69" s="61">
        <f t="shared" si="1774"/>
        <v>-65000000</v>
      </c>
      <c r="VFR69" s="61">
        <f t="shared" si="1774"/>
        <v>-65000000</v>
      </c>
      <c r="VFS69" s="61">
        <f t="shared" si="1774"/>
        <v>-65000000</v>
      </c>
      <c r="VFT69" s="61">
        <f t="shared" si="1774"/>
        <v>-65000000</v>
      </c>
      <c r="VFU69" s="61">
        <f t="shared" si="1774"/>
        <v>-65000000</v>
      </c>
      <c r="VFV69" s="61">
        <f t="shared" si="1774"/>
        <v>-65000000</v>
      </c>
      <c r="VFW69" s="61">
        <f t="shared" si="1774"/>
        <v>-65000000</v>
      </c>
      <c r="VFX69" s="61">
        <f t="shared" si="1774"/>
        <v>-65000000</v>
      </c>
      <c r="VFY69" s="61">
        <f t="shared" si="1774"/>
        <v>-65000000</v>
      </c>
      <c r="VFZ69" s="61">
        <f t="shared" si="1774"/>
        <v>-65000000</v>
      </c>
      <c r="VGA69" s="61">
        <f t="shared" si="1774"/>
        <v>-65000000</v>
      </c>
      <c r="VGB69" s="61">
        <f t="shared" si="1774"/>
        <v>-65000000</v>
      </c>
      <c r="VGC69" s="61">
        <f t="shared" si="1774"/>
        <v>-65000000</v>
      </c>
      <c r="VGD69" s="61">
        <f t="shared" si="1774"/>
        <v>-65000000</v>
      </c>
      <c r="VGE69" s="61">
        <f t="shared" si="1774"/>
        <v>-65000000</v>
      </c>
      <c r="VGF69" s="61">
        <f t="shared" si="1774"/>
        <v>-65000000</v>
      </c>
      <c r="VGG69" s="61">
        <f t="shared" si="1774"/>
        <v>-65000000</v>
      </c>
      <c r="VGH69" s="61">
        <f t="shared" si="1774"/>
        <v>-65000000</v>
      </c>
      <c r="VGI69" s="61">
        <f t="shared" si="1774"/>
        <v>-65000000</v>
      </c>
      <c r="VGJ69" s="61">
        <f t="shared" si="1774"/>
        <v>-65000000</v>
      </c>
      <c r="VGK69" s="61">
        <f t="shared" si="1774"/>
        <v>-65000000</v>
      </c>
      <c r="VGL69" s="61">
        <f t="shared" si="1774"/>
        <v>-65000000</v>
      </c>
      <c r="VGM69" s="61">
        <f t="shared" si="1774"/>
        <v>-65000000</v>
      </c>
      <c r="VGN69" s="61">
        <f t="shared" si="1774"/>
        <v>-65000000</v>
      </c>
      <c r="VGO69" s="61">
        <f t="shared" si="1774"/>
        <v>-65000000</v>
      </c>
      <c r="VGP69" s="61">
        <f t="shared" si="1774"/>
        <v>-65000000</v>
      </c>
      <c r="VGQ69" s="61">
        <f t="shared" ref="VGQ69:VJB69" si="1775">VGQ68-$EC$11-VGQ11</f>
        <v>-65000000</v>
      </c>
      <c r="VGR69" s="61">
        <f t="shared" si="1775"/>
        <v>-65000000</v>
      </c>
      <c r="VGS69" s="61">
        <f t="shared" si="1775"/>
        <v>-65000000</v>
      </c>
      <c r="VGT69" s="61">
        <f t="shared" si="1775"/>
        <v>-65000000</v>
      </c>
      <c r="VGU69" s="61">
        <f t="shared" si="1775"/>
        <v>-65000000</v>
      </c>
      <c r="VGV69" s="61">
        <f t="shared" si="1775"/>
        <v>-65000000</v>
      </c>
      <c r="VGW69" s="61">
        <f t="shared" si="1775"/>
        <v>-65000000</v>
      </c>
      <c r="VGX69" s="61">
        <f t="shared" si="1775"/>
        <v>-65000000</v>
      </c>
      <c r="VGY69" s="61">
        <f t="shared" si="1775"/>
        <v>-65000000</v>
      </c>
      <c r="VGZ69" s="61">
        <f t="shared" si="1775"/>
        <v>-65000000</v>
      </c>
      <c r="VHA69" s="61">
        <f t="shared" si="1775"/>
        <v>-65000000</v>
      </c>
      <c r="VHB69" s="61">
        <f t="shared" si="1775"/>
        <v>-65000000</v>
      </c>
      <c r="VHC69" s="61">
        <f t="shared" si="1775"/>
        <v>-65000000</v>
      </c>
      <c r="VHD69" s="61">
        <f t="shared" si="1775"/>
        <v>-65000000</v>
      </c>
      <c r="VHE69" s="61">
        <f t="shared" si="1775"/>
        <v>-65000000</v>
      </c>
      <c r="VHF69" s="61">
        <f t="shared" si="1775"/>
        <v>-65000000</v>
      </c>
      <c r="VHG69" s="61">
        <f t="shared" si="1775"/>
        <v>-65000000</v>
      </c>
      <c r="VHH69" s="61">
        <f t="shared" si="1775"/>
        <v>-65000000</v>
      </c>
      <c r="VHI69" s="61">
        <f t="shared" si="1775"/>
        <v>-65000000</v>
      </c>
      <c r="VHJ69" s="61">
        <f t="shared" si="1775"/>
        <v>-65000000</v>
      </c>
      <c r="VHK69" s="61">
        <f t="shared" si="1775"/>
        <v>-65000000</v>
      </c>
      <c r="VHL69" s="61">
        <f t="shared" si="1775"/>
        <v>-65000000</v>
      </c>
      <c r="VHM69" s="61">
        <f t="shared" si="1775"/>
        <v>-65000000</v>
      </c>
      <c r="VHN69" s="61">
        <f t="shared" si="1775"/>
        <v>-65000000</v>
      </c>
      <c r="VHO69" s="61">
        <f t="shared" si="1775"/>
        <v>-65000000</v>
      </c>
      <c r="VHP69" s="61">
        <f t="shared" si="1775"/>
        <v>-65000000</v>
      </c>
      <c r="VHQ69" s="61">
        <f t="shared" si="1775"/>
        <v>-65000000</v>
      </c>
      <c r="VHR69" s="61">
        <f t="shared" si="1775"/>
        <v>-65000000</v>
      </c>
      <c r="VHS69" s="61">
        <f t="shared" si="1775"/>
        <v>-65000000</v>
      </c>
      <c r="VHT69" s="61">
        <f t="shared" si="1775"/>
        <v>-65000000</v>
      </c>
      <c r="VHU69" s="61">
        <f t="shared" si="1775"/>
        <v>-65000000</v>
      </c>
      <c r="VHV69" s="61">
        <f t="shared" si="1775"/>
        <v>-65000000</v>
      </c>
      <c r="VHW69" s="61">
        <f t="shared" si="1775"/>
        <v>-65000000</v>
      </c>
      <c r="VHX69" s="61">
        <f t="shared" si="1775"/>
        <v>-65000000</v>
      </c>
      <c r="VHY69" s="61">
        <f t="shared" si="1775"/>
        <v>-65000000</v>
      </c>
      <c r="VHZ69" s="61">
        <f t="shared" si="1775"/>
        <v>-65000000</v>
      </c>
      <c r="VIA69" s="61">
        <f t="shared" si="1775"/>
        <v>-65000000</v>
      </c>
      <c r="VIB69" s="61">
        <f t="shared" si="1775"/>
        <v>-65000000</v>
      </c>
      <c r="VIC69" s="61">
        <f t="shared" si="1775"/>
        <v>-65000000</v>
      </c>
      <c r="VID69" s="61">
        <f t="shared" si="1775"/>
        <v>-65000000</v>
      </c>
      <c r="VIE69" s="61">
        <f t="shared" si="1775"/>
        <v>-65000000</v>
      </c>
      <c r="VIF69" s="61">
        <f t="shared" si="1775"/>
        <v>-65000000</v>
      </c>
      <c r="VIG69" s="61">
        <f t="shared" si="1775"/>
        <v>-65000000</v>
      </c>
      <c r="VIH69" s="61">
        <f t="shared" si="1775"/>
        <v>-65000000</v>
      </c>
      <c r="VII69" s="61">
        <f t="shared" si="1775"/>
        <v>-65000000</v>
      </c>
      <c r="VIJ69" s="61">
        <f t="shared" si="1775"/>
        <v>-65000000</v>
      </c>
      <c r="VIK69" s="61">
        <f t="shared" si="1775"/>
        <v>-65000000</v>
      </c>
      <c r="VIL69" s="61">
        <f t="shared" si="1775"/>
        <v>-65000000</v>
      </c>
      <c r="VIM69" s="61">
        <f t="shared" si="1775"/>
        <v>-65000000</v>
      </c>
      <c r="VIN69" s="61">
        <f t="shared" si="1775"/>
        <v>-65000000</v>
      </c>
      <c r="VIO69" s="61">
        <f t="shared" si="1775"/>
        <v>-65000000</v>
      </c>
      <c r="VIP69" s="61">
        <f t="shared" si="1775"/>
        <v>-65000000</v>
      </c>
      <c r="VIQ69" s="61">
        <f t="shared" si="1775"/>
        <v>-65000000</v>
      </c>
      <c r="VIR69" s="61">
        <f t="shared" si="1775"/>
        <v>-65000000</v>
      </c>
      <c r="VIS69" s="61">
        <f t="shared" si="1775"/>
        <v>-65000000</v>
      </c>
      <c r="VIT69" s="61">
        <f t="shared" si="1775"/>
        <v>-65000000</v>
      </c>
      <c r="VIU69" s="61">
        <f t="shared" si="1775"/>
        <v>-65000000</v>
      </c>
      <c r="VIV69" s="61">
        <f t="shared" si="1775"/>
        <v>-65000000</v>
      </c>
      <c r="VIW69" s="61">
        <f t="shared" si="1775"/>
        <v>-65000000</v>
      </c>
      <c r="VIX69" s="61">
        <f t="shared" si="1775"/>
        <v>-65000000</v>
      </c>
      <c r="VIY69" s="61">
        <f t="shared" si="1775"/>
        <v>-65000000</v>
      </c>
      <c r="VIZ69" s="61">
        <f t="shared" si="1775"/>
        <v>-65000000</v>
      </c>
      <c r="VJA69" s="61">
        <f t="shared" si="1775"/>
        <v>-65000000</v>
      </c>
      <c r="VJB69" s="61">
        <f t="shared" si="1775"/>
        <v>-65000000</v>
      </c>
      <c r="VJC69" s="61">
        <f t="shared" ref="VJC69:VLN69" si="1776">VJC68-$EC$11-VJC11</f>
        <v>-65000000</v>
      </c>
      <c r="VJD69" s="61">
        <f t="shared" si="1776"/>
        <v>-65000000</v>
      </c>
      <c r="VJE69" s="61">
        <f t="shared" si="1776"/>
        <v>-65000000</v>
      </c>
      <c r="VJF69" s="61">
        <f t="shared" si="1776"/>
        <v>-65000000</v>
      </c>
      <c r="VJG69" s="61">
        <f t="shared" si="1776"/>
        <v>-65000000</v>
      </c>
      <c r="VJH69" s="61">
        <f t="shared" si="1776"/>
        <v>-65000000</v>
      </c>
      <c r="VJI69" s="61">
        <f t="shared" si="1776"/>
        <v>-65000000</v>
      </c>
      <c r="VJJ69" s="61">
        <f t="shared" si="1776"/>
        <v>-65000000</v>
      </c>
      <c r="VJK69" s="61">
        <f t="shared" si="1776"/>
        <v>-65000000</v>
      </c>
      <c r="VJL69" s="61">
        <f t="shared" si="1776"/>
        <v>-65000000</v>
      </c>
      <c r="VJM69" s="61">
        <f t="shared" si="1776"/>
        <v>-65000000</v>
      </c>
      <c r="VJN69" s="61">
        <f t="shared" si="1776"/>
        <v>-65000000</v>
      </c>
      <c r="VJO69" s="61">
        <f t="shared" si="1776"/>
        <v>-65000000</v>
      </c>
      <c r="VJP69" s="61">
        <f t="shared" si="1776"/>
        <v>-65000000</v>
      </c>
      <c r="VJQ69" s="61">
        <f t="shared" si="1776"/>
        <v>-65000000</v>
      </c>
      <c r="VJR69" s="61">
        <f t="shared" si="1776"/>
        <v>-65000000</v>
      </c>
      <c r="VJS69" s="61">
        <f t="shared" si="1776"/>
        <v>-65000000</v>
      </c>
      <c r="VJT69" s="61">
        <f t="shared" si="1776"/>
        <v>-65000000</v>
      </c>
      <c r="VJU69" s="61">
        <f t="shared" si="1776"/>
        <v>-65000000</v>
      </c>
      <c r="VJV69" s="61">
        <f t="shared" si="1776"/>
        <v>-65000000</v>
      </c>
      <c r="VJW69" s="61">
        <f t="shared" si="1776"/>
        <v>-65000000</v>
      </c>
      <c r="VJX69" s="61">
        <f t="shared" si="1776"/>
        <v>-65000000</v>
      </c>
      <c r="VJY69" s="61">
        <f t="shared" si="1776"/>
        <v>-65000000</v>
      </c>
      <c r="VJZ69" s="61">
        <f t="shared" si="1776"/>
        <v>-65000000</v>
      </c>
      <c r="VKA69" s="61">
        <f t="shared" si="1776"/>
        <v>-65000000</v>
      </c>
      <c r="VKB69" s="61">
        <f t="shared" si="1776"/>
        <v>-65000000</v>
      </c>
      <c r="VKC69" s="61">
        <f t="shared" si="1776"/>
        <v>-65000000</v>
      </c>
      <c r="VKD69" s="61">
        <f t="shared" si="1776"/>
        <v>-65000000</v>
      </c>
      <c r="VKE69" s="61">
        <f t="shared" si="1776"/>
        <v>-65000000</v>
      </c>
      <c r="VKF69" s="61">
        <f t="shared" si="1776"/>
        <v>-65000000</v>
      </c>
      <c r="VKG69" s="61">
        <f t="shared" si="1776"/>
        <v>-65000000</v>
      </c>
      <c r="VKH69" s="61">
        <f t="shared" si="1776"/>
        <v>-65000000</v>
      </c>
      <c r="VKI69" s="61">
        <f t="shared" si="1776"/>
        <v>-65000000</v>
      </c>
      <c r="VKJ69" s="61">
        <f t="shared" si="1776"/>
        <v>-65000000</v>
      </c>
      <c r="VKK69" s="61">
        <f t="shared" si="1776"/>
        <v>-65000000</v>
      </c>
      <c r="VKL69" s="61">
        <f t="shared" si="1776"/>
        <v>-65000000</v>
      </c>
      <c r="VKM69" s="61">
        <f t="shared" si="1776"/>
        <v>-65000000</v>
      </c>
      <c r="VKN69" s="61">
        <f t="shared" si="1776"/>
        <v>-65000000</v>
      </c>
      <c r="VKO69" s="61">
        <f t="shared" si="1776"/>
        <v>-65000000</v>
      </c>
      <c r="VKP69" s="61">
        <f t="shared" si="1776"/>
        <v>-65000000</v>
      </c>
      <c r="VKQ69" s="61">
        <f t="shared" si="1776"/>
        <v>-65000000</v>
      </c>
      <c r="VKR69" s="61">
        <f t="shared" si="1776"/>
        <v>-65000000</v>
      </c>
      <c r="VKS69" s="61">
        <f t="shared" si="1776"/>
        <v>-65000000</v>
      </c>
      <c r="VKT69" s="61">
        <f t="shared" si="1776"/>
        <v>-65000000</v>
      </c>
      <c r="VKU69" s="61">
        <f t="shared" si="1776"/>
        <v>-65000000</v>
      </c>
      <c r="VKV69" s="61">
        <f t="shared" si="1776"/>
        <v>-65000000</v>
      </c>
      <c r="VKW69" s="61">
        <f t="shared" si="1776"/>
        <v>-65000000</v>
      </c>
      <c r="VKX69" s="61">
        <f t="shared" si="1776"/>
        <v>-65000000</v>
      </c>
      <c r="VKY69" s="61">
        <f t="shared" si="1776"/>
        <v>-65000000</v>
      </c>
      <c r="VKZ69" s="61">
        <f t="shared" si="1776"/>
        <v>-65000000</v>
      </c>
      <c r="VLA69" s="61">
        <f t="shared" si="1776"/>
        <v>-65000000</v>
      </c>
      <c r="VLB69" s="61">
        <f t="shared" si="1776"/>
        <v>-65000000</v>
      </c>
      <c r="VLC69" s="61">
        <f t="shared" si="1776"/>
        <v>-65000000</v>
      </c>
      <c r="VLD69" s="61">
        <f t="shared" si="1776"/>
        <v>-65000000</v>
      </c>
      <c r="VLE69" s="61">
        <f t="shared" si="1776"/>
        <v>-65000000</v>
      </c>
      <c r="VLF69" s="61">
        <f t="shared" si="1776"/>
        <v>-65000000</v>
      </c>
      <c r="VLG69" s="61">
        <f t="shared" si="1776"/>
        <v>-65000000</v>
      </c>
      <c r="VLH69" s="61">
        <f t="shared" si="1776"/>
        <v>-65000000</v>
      </c>
      <c r="VLI69" s="61">
        <f t="shared" si="1776"/>
        <v>-65000000</v>
      </c>
      <c r="VLJ69" s="61">
        <f t="shared" si="1776"/>
        <v>-65000000</v>
      </c>
      <c r="VLK69" s="61">
        <f t="shared" si="1776"/>
        <v>-65000000</v>
      </c>
      <c r="VLL69" s="61">
        <f t="shared" si="1776"/>
        <v>-65000000</v>
      </c>
      <c r="VLM69" s="61">
        <f t="shared" si="1776"/>
        <v>-65000000</v>
      </c>
      <c r="VLN69" s="61">
        <f t="shared" si="1776"/>
        <v>-65000000</v>
      </c>
      <c r="VLO69" s="61">
        <f t="shared" ref="VLO69:VNZ69" si="1777">VLO68-$EC$11-VLO11</f>
        <v>-65000000</v>
      </c>
      <c r="VLP69" s="61">
        <f t="shared" si="1777"/>
        <v>-65000000</v>
      </c>
      <c r="VLQ69" s="61">
        <f t="shared" si="1777"/>
        <v>-65000000</v>
      </c>
      <c r="VLR69" s="61">
        <f t="shared" si="1777"/>
        <v>-65000000</v>
      </c>
      <c r="VLS69" s="61">
        <f t="shared" si="1777"/>
        <v>-65000000</v>
      </c>
      <c r="VLT69" s="61">
        <f t="shared" si="1777"/>
        <v>-65000000</v>
      </c>
      <c r="VLU69" s="61">
        <f t="shared" si="1777"/>
        <v>-65000000</v>
      </c>
      <c r="VLV69" s="61">
        <f t="shared" si="1777"/>
        <v>-65000000</v>
      </c>
      <c r="VLW69" s="61">
        <f t="shared" si="1777"/>
        <v>-65000000</v>
      </c>
      <c r="VLX69" s="61">
        <f t="shared" si="1777"/>
        <v>-65000000</v>
      </c>
      <c r="VLY69" s="61">
        <f t="shared" si="1777"/>
        <v>-65000000</v>
      </c>
      <c r="VLZ69" s="61">
        <f t="shared" si="1777"/>
        <v>-65000000</v>
      </c>
      <c r="VMA69" s="61">
        <f t="shared" si="1777"/>
        <v>-65000000</v>
      </c>
      <c r="VMB69" s="61">
        <f t="shared" si="1777"/>
        <v>-65000000</v>
      </c>
      <c r="VMC69" s="61">
        <f t="shared" si="1777"/>
        <v>-65000000</v>
      </c>
      <c r="VMD69" s="61">
        <f t="shared" si="1777"/>
        <v>-65000000</v>
      </c>
      <c r="VME69" s="61">
        <f t="shared" si="1777"/>
        <v>-65000000</v>
      </c>
      <c r="VMF69" s="61">
        <f t="shared" si="1777"/>
        <v>-65000000</v>
      </c>
      <c r="VMG69" s="61">
        <f t="shared" si="1777"/>
        <v>-65000000</v>
      </c>
      <c r="VMH69" s="61">
        <f t="shared" si="1777"/>
        <v>-65000000</v>
      </c>
      <c r="VMI69" s="61">
        <f t="shared" si="1777"/>
        <v>-65000000</v>
      </c>
      <c r="VMJ69" s="61">
        <f t="shared" si="1777"/>
        <v>-65000000</v>
      </c>
      <c r="VMK69" s="61">
        <f t="shared" si="1777"/>
        <v>-65000000</v>
      </c>
      <c r="VML69" s="61">
        <f t="shared" si="1777"/>
        <v>-65000000</v>
      </c>
      <c r="VMM69" s="61">
        <f t="shared" si="1777"/>
        <v>-65000000</v>
      </c>
      <c r="VMN69" s="61">
        <f t="shared" si="1777"/>
        <v>-65000000</v>
      </c>
      <c r="VMO69" s="61">
        <f t="shared" si="1777"/>
        <v>-65000000</v>
      </c>
      <c r="VMP69" s="61">
        <f t="shared" si="1777"/>
        <v>-65000000</v>
      </c>
      <c r="VMQ69" s="61">
        <f t="shared" si="1777"/>
        <v>-65000000</v>
      </c>
      <c r="VMR69" s="61">
        <f t="shared" si="1777"/>
        <v>-65000000</v>
      </c>
      <c r="VMS69" s="61">
        <f t="shared" si="1777"/>
        <v>-65000000</v>
      </c>
      <c r="VMT69" s="61">
        <f t="shared" si="1777"/>
        <v>-65000000</v>
      </c>
      <c r="VMU69" s="61">
        <f t="shared" si="1777"/>
        <v>-65000000</v>
      </c>
      <c r="VMV69" s="61">
        <f t="shared" si="1777"/>
        <v>-65000000</v>
      </c>
      <c r="VMW69" s="61">
        <f t="shared" si="1777"/>
        <v>-65000000</v>
      </c>
      <c r="VMX69" s="61">
        <f t="shared" si="1777"/>
        <v>-65000000</v>
      </c>
      <c r="VMY69" s="61">
        <f t="shared" si="1777"/>
        <v>-65000000</v>
      </c>
      <c r="VMZ69" s="61">
        <f t="shared" si="1777"/>
        <v>-65000000</v>
      </c>
      <c r="VNA69" s="61">
        <f t="shared" si="1777"/>
        <v>-65000000</v>
      </c>
      <c r="VNB69" s="61">
        <f t="shared" si="1777"/>
        <v>-65000000</v>
      </c>
      <c r="VNC69" s="61">
        <f t="shared" si="1777"/>
        <v>-65000000</v>
      </c>
      <c r="VND69" s="61">
        <f t="shared" si="1777"/>
        <v>-65000000</v>
      </c>
      <c r="VNE69" s="61">
        <f t="shared" si="1777"/>
        <v>-65000000</v>
      </c>
      <c r="VNF69" s="61">
        <f t="shared" si="1777"/>
        <v>-65000000</v>
      </c>
      <c r="VNG69" s="61">
        <f t="shared" si="1777"/>
        <v>-65000000</v>
      </c>
      <c r="VNH69" s="61">
        <f t="shared" si="1777"/>
        <v>-65000000</v>
      </c>
      <c r="VNI69" s="61">
        <f t="shared" si="1777"/>
        <v>-65000000</v>
      </c>
      <c r="VNJ69" s="61">
        <f t="shared" si="1777"/>
        <v>-65000000</v>
      </c>
      <c r="VNK69" s="61">
        <f t="shared" si="1777"/>
        <v>-65000000</v>
      </c>
      <c r="VNL69" s="61">
        <f t="shared" si="1777"/>
        <v>-65000000</v>
      </c>
      <c r="VNM69" s="61">
        <f t="shared" si="1777"/>
        <v>-65000000</v>
      </c>
      <c r="VNN69" s="61">
        <f t="shared" si="1777"/>
        <v>-65000000</v>
      </c>
      <c r="VNO69" s="61">
        <f t="shared" si="1777"/>
        <v>-65000000</v>
      </c>
      <c r="VNP69" s="61">
        <f t="shared" si="1777"/>
        <v>-65000000</v>
      </c>
      <c r="VNQ69" s="61">
        <f t="shared" si="1777"/>
        <v>-65000000</v>
      </c>
      <c r="VNR69" s="61">
        <f t="shared" si="1777"/>
        <v>-65000000</v>
      </c>
      <c r="VNS69" s="61">
        <f t="shared" si="1777"/>
        <v>-65000000</v>
      </c>
      <c r="VNT69" s="61">
        <f t="shared" si="1777"/>
        <v>-65000000</v>
      </c>
      <c r="VNU69" s="61">
        <f t="shared" si="1777"/>
        <v>-65000000</v>
      </c>
      <c r="VNV69" s="61">
        <f t="shared" si="1777"/>
        <v>-65000000</v>
      </c>
      <c r="VNW69" s="61">
        <f t="shared" si="1777"/>
        <v>-65000000</v>
      </c>
      <c r="VNX69" s="61">
        <f t="shared" si="1777"/>
        <v>-65000000</v>
      </c>
      <c r="VNY69" s="61">
        <f t="shared" si="1777"/>
        <v>-65000000</v>
      </c>
      <c r="VNZ69" s="61">
        <f t="shared" si="1777"/>
        <v>-65000000</v>
      </c>
      <c r="VOA69" s="61">
        <f t="shared" ref="VOA69:VQL69" si="1778">VOA68-$EC$11-VOA11</f>
        <v>-65000000</v>
      </c>
      <c r="VOB69" s="61">
        <f t="shared" si="1778"/>
        <v>-65000000</v>
      </c>
      <c r="VOC69" s="61">
        <f t="shared" si="1778"/>
        <v>-65000000</v>
      </c>
      <c r="VOD69" s="61">
        <f t="shared" si="1778"/>
        <v>-65000000</v>
      </c>
      <c r="VOE69" s="61">
        <f t="shared" si="1778"/>
        <v>-65000000</v>
      </c>
      <c r="VOF69" s="61">
        <f t="shared" si="1778"/>
        <v>-65000000</v>
      </c>
      <c r="VOG69" s="61">
        <f t="shared" si="1778"/>
        <v>-65000000</v>
      </c>
      <c r="VOH69" s="61">
        <f t="shared" si="1778"/>
        <v>-65000000</v>
      </c>
      <c r="VOI69" s="61">
        <f t="shared" si="1778"/>
        <v>-65000000</v>
      </c>
      <c r="VOJ69" s="61">
        <f t="shared" si="1778"/>
        <v>-65000000</v>
      </c>
      <c r="VOK69" s="61">
        <f t="shared" si="1778"/>
        <v>-65000000</v>
      </c>
      <c r="VOL69" s="61">
        <f t="shared" si="1778"/>
        <v>-65000000</v>
      </c>
      <c r="VOM69" s="61">
        <f t="shared" si="1778"/>
        <v>-65000000</v>
      </c>
      <c r="VON69" s="61">
        <f t="shared" si="1778"/>
        <v>-65000000</v>
      </c>
      <c r="VOO69" s="61">
        <f t="shared" si="1778"/>
        <v>-65000000</v>
      </c>
      <c r="VOP69" s="61">
        <f t="shared" si="1778"/>
        <v>-65000000</v>
      </c>
      <c r="VOQ69" s="61">
        <f t="shared" si="1778"/>
        <v>-65000000</v>
      </c>
      <c r="VOR69" s="61">
        <f t="shared" si="1778"/>
        <v>-65000000</v>
      </c>
      <c r="VOS69" s="61">
        <f t="shared" si="1778"/>
        <v>-65000000</v>
      </c>
      <c r="VOT69" s="61">
        <f t="shared" si="1778"/>
        <v>-65000000</v>
      </c>
      <c r="VOU69" s="61">
        <f t="shared" si="1778"/>
        <v>-65000000</v>
      </c>
      <c r="VOV69" s="61">
        <f t="shared" si="1778"/>
        <v>-65000000</v>
      </c>
      <c r="VOW69" s="61">
        <f t="shared" si="1778"/>
        <v>-65000000</v>
      </c>
      <c r="VOX69" s="61">
        <f t="shared" si="1778"/>
        <v>-65000000</v>
      </c>
      <c r="VOY69" s="61">
        <f t="shared" si="1778"/>
        <v>-65000000</v>
      </c>
      <c r="VOZ69" s="61">
        <f t="shared" si="1778"/>
        <v>-65000000</v>
      </c>
      <c r="VPA69" s="61">
        <f t="shared" si="1778"/>
        <v>-65000000</v>
      </c>
      <c r="VPB69" s="61">
        <f t="shared" si="1778"/>
        <v>-65000000</v>
      </c>
      <c r="VPC69" s="61">
        <f t="shared" si="1778"/>
        <v>-65000000</v>
      </c>
      <c r="VPD69" s="61">
        <f t="shared" si="1778"/>
        <v>-65000000</v>
      </c>
      <c r="VPE69" s="61">
        <f t="shared" si="1778"/>
        <v>-65000000</v>
      </c>
      <c r="VPF69" s="61">
        <f t="shared" si="1778"/>
        <v>-65000000</v>
      </c>
      <c r="VPG69" s="61">
        <f t="shared" si="1778"/>
        <v>-65000000</v>
      </c>
      <c r="VPH69" s="61">
        <f t="shared" si="1778"/>
        <v>-65000000</v>
      </c>
      <c r="VPI69" s="61">
        <f t="shared" si="1778"/>
        <v>-65000000</v>
      </c>
      <c r="VPJ69" s="61">
        <f t="shared" si="1778"/>
        <v>-65000000</v>
      </c>
      <c r="VPK69" s="61">
        <f t="shared" si="1778"/>
        <v>-65000000</v>
      </c>
      <c r="VPL69" s="61">
        <f t="shared" si="1778"/>
        <v>-65000000</v>
      </c>
      <c r="VPM69" s="61">
        <f t="shared" si="1778"/>
        <v>-65000000</v>
      </c>
      <c r="VPN69" s="61">
        <f t="shared" si="1778"/>
        <v>-65000000</v>
      </c>
      <c r="VPO69" s="61">
        <f t="shared" si="1778"/>
        <v>-65000000</v>
      </c>
      <c r="VPP69" s="61">
        <f t="shared" si="1778"/>
        <v>-65000000</v>
      </c>
      <c r="VPQ69" s="61">
        <f t="shared" si="1778"/>
        <v>-65000000</v>
      </c>
      <c r="VPR69" s="61">
        <f t="shared" si="1778"/>
        <v>-65000000</v>
      </c>
      <c r="VPS69" s="61">
        <f t="shared" si="1778"/>
        <v>-65000000</v>
      </c>
      <c r="VPT69" s="61">
        <f t="shared" si="1778"/>
        <v>-65000000</v>
      </c>
      <c r="VPU69" s="61">
        <f t="shared" si="1778"/>
        <v>-65000000</v>
      </c>
      <c r="VPV69" s="61">
        <f t="shared" si="1778"/>
        <v>-65000000</v>
      </c>
      <c r="VPW69" s="61">
        <f t="shared" si="1778"/>
        <v>-65000000</v>
      </c>
      <c r="VPX69" s="61">
        <f t="shared" si="1778"/>
        <v>-65000000</v>
      </c>
      <c r="VPY69" s="61">
        <f t="shared" si="1778"/>
        <v>-65000000</v>
      </c>
      <c r="VPZ69" s="61">
        <f t="shared" si="1778"/>
        <v>-65000000</v>
      </c>
      <c r="VQA69" s="61">
        <f t="shared" si="1778"/>
        <v>-65000000</v>
      </c>
      <c r="VQB69" s="61">
        <f t="shared" si="1778"/>
        <v>-65000000</v>
      </c>
      <c r="VQC69" s="61">
        <f t="shared" si="1778"/>
        <v>-65000000</v>
      </c>
      <c r="VQD69" s="61">
        <f t="shared" si="1778"/>
        <v>-65000000</v>
      </c>
      <c r="VQE69" s="61">
        <f t="shared" si="1778"/>
        <v>-65000000</v>
      </c>
      <c r="VQF69" s="61">
        <f t="shared" si="1778"/>
        <v>-65000000</v>
      </c>
      <c r="VQG69" s="61">
        <f t="shared" si="1778"/>
        <v>-65000000</v>
      </c>
      <c r="VQH69" s="61">
        <f t="shared" si="1778"/>
        <v>-65000000</v>
      </c>
      <c r="VQI69" s="61">
        <f t="shared" si="1778"/>
        <v>-65000000</v>
      </c>
      <c r="VQJ69" s="61">
        <f t="shared" si="1778"/>
        <v>-65000000</v>
      </c>
      <c r="VQK69" s="61">
        <f t="shared" si="1778"/>
        <v>-65000000</v>
      </c>
      <c r="VQL69" s="61">
        <f t="shared" si="1778"/>
        <v>-65000000</v>
      </c>
      <c r="VQM69" s="61">
        <f t="shared" ref="VQM69:VSX69" si="1779">VQM68-$EC$11-VQM11</f>
        <v>-65000000</v>
      </c>
      <c r="VQN69" s="61">
        <f t="shared" si="1779"/>
        <v>-65000000</v>
      </c>
      <c r="VQO69" s="61">
        <f t="shared" si="1779"/>
        <v>-65000000</v>
      </c>
      <c r="VQP69" s="61">
        <f t="shared" si="1779"/>
        <v>-65000000</v>
      </c>
      <c r="VQQ69" s="61">
        <f t="shared" si="1779"/>
        <v>-65000000</v>
      </c>
      <c r="VQR69" s="61">
        <f t="shared" si="1779"/>
        <v>-65000000</v>
      </c>
      <c r="VQS69" s="61">
        <f t="shared" si="1779"/>
        <v>-65000000</v>
      </c>
      <c r="VQT69" s="61">
        <f t="shared" si="1779"/>
        <v>-65000000</v>
      </c>
      <c r="VQU69" s="61">
        <f t="shared" si="1779"/>
        <v>-65000000</v>
      </c>
      <c r="VQV69" s="61">
        <f t="shared" si="1779"/>
        <v>-65000000</v>
      </c>
      <c r="VQW69" s="61">
        <f t="shared" si="1779"/>
        <v>-65000000</v>
      </c>
      <c r="VQX69" s="61">
        <f t="shared" si="1779"/>
        <v>-65000000</v>
      </c>
      <c r="VQY69" s="61">
        <f t="shared" si="1779"/>
        <v>-65000000</v>
      </c>
      <c r="VQZ69" s="61">
        <f t="shared" si="1779"/>
        <v>-65000000</v>
      </c>
      <c r="VRA69" s="61">
        <f t="shared" si="1779"/>
        <v>-65000000</v>
      </c>
      <c r="VRB69" s="61">
        <f t="shared" si="1779"/>
        <v>-65000000</v>
      </c>
      <c r="VRC69" s="61">
        <f t="shared" si="1779"/>
        <v>-65000000</v>
      </c>
      <c r="VRD69" s="61">
        <f t="shared" si="1779"/>
        <v>-65000000</v>
      </c>
      <c r="VRE69" s="61">
        <f t="shared" si="1779"/>
        <v>-65000000</v>
      </c>
      <c r="VRF69" s="61">
        <f t="shared" si="1779"/>
        <v>-65000000</v>
      </c>
      <c r="VRG69" s="61">
        <f t="shared" si="1779"/>
        <v>-65000000</v>
      </c>
      <c r="VRH69" s="61">
        <f t="shared" si="1779"/>
        <v>-65000000</v>
      </c>
      <c r="VRI69" s="61">
        <f t="shared" si="1779"/>
        <v>-65000000</v>
      </c>
      <c r="VRJ69" s="61">
        <f t="shared" si="1779"/>
        <v>-65000000</v>
      </c>
      <c r="VRK69" s="61">
        <f t="shared" si="1779"/>
        <v>-65000000</v>
      </c>
      <c r="VRL69" s="61">
        <f t="shared" si="1779"/>
        <v>-65000000</v>
      </c>
      <c r="VRM69" s="61">
        <f t="shared" si="1779"/>
        <v>-65000000</v>
      </c>
      <c r="VRN69" s="61">
        <f t="shared" si="1779"/>
        <v>-65000000</v>
      </c>
      <c r="VRO69" s="61">
        <f t="shared" si="1779"/>
        <v>-65000000</v>
      </c>
      <c r="VRP69" s="61">
        <f t="shared" si="1779"/>
        <v>-65000000</v>
      </c>
      <c r="VRQ69" s="61">
        <f t="shared" si="1779"/>
        <v>-65000000</v>
      </c>
      <c r="VRR69" s="61">
        <f t="shared" si="1779"/>
        <v>-65000000</v>
      </c>
      <c r="VRS69" s="61">
        <f t="shared" si="1779"/>
        <v>-65000000</v>
      </c>
      <c r="VRT69" s="61">
        <f t="shared" si="1779"/>
        <v>-65000000</v>
      </c>
      <c r="VRU69" s="61">
        <f t="shared" si="1779"/>
        <v>-65000000</v>
      </c>
      <c r="VRV69" s="61">
        <f t="shared" si="1779"/>
        <v>-65000000</v>
      </c>
      <c r="VRW69" s="61">
        <f t="shared" si="1779"/>
        <v>-65000000</v>
      </c>
      <c r="VRX69" s="61">
        <f t="shared" si="1779"/>
        <v>-65000000</v>
      </c>
      <c r="VRY69" s="61">
        <f t="shared" si="1779"/>
        <v>-65000000</v>
      </c>
      <c r="VRZ69" s="61">
        <f t="shared" si="1779"/>
        <v>-65000000</v>
      </c>
      <c r="VSA69" s="61">
        <f t="shared" si="1779"/>
        <v>-65000000</v>
      </c>
      <c r="VSB69" s="61">
        <f t="shared" si="1779"/>
        <v>-65000000</v>
      </c>
      <c r="VSC69" s="61">
        <f t="shared" si="1779"/>
        <v>-65000000</v>
      </c>
      <c r="VSD69" s="61">
        <f t="shared" si="1779"/>
        <v>-65000000</v>
      </c>
      <c r="VSE69" s="61">
        <f t="shared" si="1779"/>
        <v>-65000000</v>
      </c>
      <c r="VSF69" s="61">
        <f t="shared" si="1779"/>
        <v>-65000000</v>
      </c>
      <c r="VSG69" s="61">
        <f t="shared" si="1779"/>
        <v>-65000000</v>
      </c>
      <c r="VSH69" s="61">
        <f t="shared" si="1779"/>
        <v>-65000000</v>
      </c>
      <c r="VSI69" s="61">
        <f t="shared" si="1779"/>
        <v>-65000000</v>
      </c>
      <c r="VSJ69" s="61">
        <f t="shared" si="1779"/>
        <v>-65000000</v>
      </c>
      <c r="VSK69" s="61">
        <f t="shared" si="1779"/>
        <v>-65000000</v>
      </c>
      <c r="VSL69" s="61">
        <f t="shared" si="1779"/>
        <v>-65000000</v>
      </c>
      <c r="VSM69" s="61">
        <f t="shared" si="1779"/>
        <v>-65000000</v>
      </c>
      <c r="VSN69" s="61">
        <f t="shared" si="1779"/>
        <v>-65000000</v>
      </c>
      <c r="VSO69" s="61">
        <f t="shared" si="1779"/>
        <v>-65000000</v>
      </c>
      <c r="VSP69" s="61">
        <f t="shared" si="1779"/>
        <v>-65000000</v>
      </c>
      <c r="VSQ69" s="61">
        <f t="shared" si="1779"/>
        <v>-65000000</v>
      </c>
      <c r="VSR69" s="61">
        <f t="shared" si="1779"/>
        <v>-65000000</v>
      </c>
      <c r="VSS69" s="61">
        <f t="shared" si="1779"/>
        <v>-65000000</v>
      </c>
      <c r="VST69" s="61">
        <f t="shared" si="1779"/>
        <v>-65000000</v>
      </c>
      <c r="VSU69" s="61">
        <f t="shared" si="1779"/>
        <v>-65000000</v>
      </c>
      <c r="VSV69" s="61">
        <f t="shared" si="1779"/>
        <v>-65000000</v>
      </c>
      <c r="VSW69" s="61">
        <f t="shared" si="1779"/>
        <v>-65000000</v>
      </c>
      <c r="VSX69" s="61">
        <f t="shared" si="1779"/>
        <v>-65000000</v>
      </c>
      <c r="VSY69" s="61">
        <f t="shared" ref="VSY69:VVJ69" si="1780">VSY68-$EC$11-VSY11</f>
        <v>-65000000</v>
      </c>
      <c r="VSZ69" s="61">
        <f t="shared" si="1780"/>
        <v>-65000000</v>
      </c>
      <c r="VTA69" s="61">
        <f t="shared" si="1780"/>
        <v>-65000000</v>
      </c>
      <c r="VTB69" s="61">
        <f t="shared" si="1780"/>
        <v>-65000000</v>
      </c>
      <c r="VTC69" s="61">
        <f t="shared" si="1780"/>
        <v>-65000000</v>
      </c>
      <c r="VTD69" s="61">
        <f t="shared" si="1780"/>
        <v>-65000000</v>
      </c>
      <c r="VTE69" s="61">
        <f t="shared" si="1780"/>
        <v>-65000000</v>
      </c>
      <c r="VTF69" s="61">
        <f t="shared" si="1780"/>
        <v>-65000000</v>
      </c>
      <c r="VTG69" s="61">
        <f t="shared" si="1780"/>
        <v>-65000000</v>
      </c>
      <c r="VTH69" s="61">
        <f t="shared" si="1780"/>
        <v>-65000000</v>
      </c>
      <c r="VTI69" s="61">
        <f t="shared" si="1780"/>
        <v>-65000000</v>
      </c>
      <c r="VTJ69" s="61">
        <f t="shared" si="1780"/>
        <v>-65000000</v>
      </c>
      <c r="VTK69" s="61">
        <f t="shared" si="1780"/>
        <v>-65000000</v>
      </c>
      <c r="VTL69" s="61">
        <f t="shared" si="1780"/>
        <v>-65000000</v>
      </c>
      <c r="VTM69" s="61">
        <f t="shared" si="1780"/>
        <v>-65000000</v>
      </c>
      <c r="VTN69" s="61">
        <f t="shared" si="1780"/>
        <v>-65000000</v>
      </c>
      <c r="VTO69" s="61">
        <f t="shared" si="1780"/>
        <v>-65000000</v>
      </c>
      <c r="VTP69" s="61">
        <f t="shared" si="1780"/>
        <v>-65000000</v>
      </c>
      <c r="VTQ69" s="61">
        <f t="shared" si="1780"/>
        <v>-65000000</v>
      </c>
      <c r="VTR69" s="61">
        <f t="shared" si="1780"/>
        <v>-65000000</v>
      </c>
      <c r="VTS69" s="61">
        <f t="shared" si="1780"/>
        <v>-65000000</v>
      </c>
      <c r="VTT69" s="61">
        <f t="shared" si="1780"/>
        <v>-65000000</v>
      </c>
      <c r="VTU69" s="61">
        <f t="shared" si="1780"/>
        <v>-65000000</v>
      </c>
      <c r="VTV69" s="61">
        <f t="shared" si="1780"/>
        <v>-65000000</v>
      </c>
      <c r="VTW69" s="61">
        <f t="shared" si="1780"/>
        <v>-65000000</v>
      </c>
      <c r="VTX69" s="61">
        <f t="shared" si="1780"/>
        <v>-65000000</v>
      </c>
      <c r="VTY69" s="61">
        <f t="shared" si="1780"/>
        <v>-65000000</v>
      </c>
      <c r="VTZ69" s="61">
        <f t="shared" si="1780"/>
        <v>-65000000</v>
      </c>
      <c r="VUA69" s="61">
        <f t="shared" si="1780"/>
        <v>-65000000</v>
      </c>
      <c r="VUB69" s="61">
        <f t="shared" si="1780"/>
        <v>-65000000</v>
      </c>
      <c r="VUC69" s="61">
        <f t="shared" si="1780"/>
        <v>-65000000</v>
      </c>
      <c r="VUD69" s="61">
        <f t="shared" si="1780"/>
        <v>-65000000</v>
      </c>
      <c r="VUE69" s="61">
        <f t="shared" si="1780"/>
        <v>-65000000</v>
      </c>
      <c r="VUF69" s="61">
        <f t="shared" si="1780"/>
        <v>-65000000</v>
      </c>
      <c r="VUG69" s="61">
        <f t="shared" si="1780"/>
        <v>-65000000</v>
      </c>
      <c r="VUH69" s="61">
        <f t="shared" si="1780"/>
        <v>-65000000</v>
      </c>
      <c r="VUI69" s="61">
        <f t="shared" si="1780"/>
        <v>-65000000</v>
      </c>
      <c r="VUJ69" s="61">
        <f t="shared" si="1780"/>
        <v>-65000000</v>
      </c>
      <c r="VUK69" s="61">
        <f t="shared" si="1780"/>
        <v>-65000000</v>
      </c>
      <c r="VUL69" s="61">
        <f t="shared" si="1780"/>
        <v>-65000000</v>
      </c>
      <c r="VUM69" s="61">
        <f t="shared" si="1780"/>
        <v>-65000000</v>
      </c>
      <c r="VUN69" s="61">
        <f t="shared" si="1780"/>
        <v>-65000000</v>
      </c>
      <c r="VUO69" s="61">
        <f t="shared" si="1780"/>
        <v>-65000000</v>
      </c>
      <c r="VUP69" s="61">
        <f t="shared" si="1780"/>
        <v>-65000000</v>
      </c>
      <c r="VUQ69" s="61">
        <f t="shared" si="1780"/>
        <v>-65000000</v>
      </c>
      <c r="VUR69" s="61">
        <f t="shared" si="1780"/>
        <v>-65000000</v>
      </c>
      <c r="VUS69" s="61">
        <f t="shared" si="1780"/>
        <v>-65000000</v>
      </c>
      <c r="VUT69" s="61">
        <f t="shared" si="1780"/>
        <v>-65000000</v>
      </c>
      <c r="VUU69" s="61">
        <f t="shared" si="1780"/>
        <v>-65000000</v>
      </c>
      <c r="VUV69" s="61">
        <f t="shared" si="1780"/>
        <v>-65000000</v>
      </c>
      <c r="VUW69" s="61">
        <f t="shared" si="1780"/>
        <v>-65000000</v>
      </c>
      <c r="VUX69" s="61">
        <f t="shared" si="1780"/>
        <v>-65000000</v>
      </c>
      <c r="VUY69" s="61">
        <f t="shared" si="1780"/>
        <v>-65000000</v>
      </c>
      <c r="VUZ69" s="61">
        <f t="shared" si="1780"/>
        <v>-65000000</v>
      </c>
      <c r="VVA69" s="61">
        <f t="shared" si="1780"/>
        <v>-65000000</v>
      </c>
      <c r="VVB69" s="61">
        <f t="shared" si="1780"/>
        <v>-65000000</v>
      </c>
      <c r="VVC69" s="61">
        <f t="shared" si="1780"/>
        <v>-65000000</v>
      </c>
      <c r="VVD69" s="61">
        <f t="shared" si="1780"/>
        <v>-65000000</v>
      </c>
      <c r="VVE69" s="61">
        <f t="shared" si="1780"/>
        <v>-65000000</v>
      </c>
      <c r="VVF69" s="61">
        <f t="shared" si="1780"/>
        <v>-65000000</v>
      </c>
      <c r="VVG69" s="61">
        <f t="shared" si="1780"/>
        <v>-65000000</v>
      </c>
      <c r="VVH69" s="61">
        <f t="shared" si="1780"/>
        <v>-65000000</v>
      </c>
      <c r="VVI69" s="61">
        <f t="shared" si="1780"/>
        <v>-65000000</v>
      </c>
      <c r="VVJ69" s="61">
        <f t="shared" si="1780"/>
        <v>-65000000</v>
      </c>
      <c r="VVK69" s="61">
        <f t="shared" ref="VVK69:VXV69" si="1781">VVK68-$EC$11-VVK11</f>
        <v>-65000000</v>
      </c>
      <c r="VVL69" s="61">
        <f t="shared" si="1781"/>
        <v>-65000000</v>
      </c>
      <c r="VVM69" s="61">
        <f t="shared" si="1781"/>
        <v>-65000000</v>
      </c>
      <c r="VVN69" s="61">
        <f t="shared" si="1781"/>
        <v>-65000000</v>
      </c>
      <c r="VVO69" s="61">
        <f t="shared" si="1781"/>
        <v>-65000000</v>
      </c>
      <c r="VVP69" s="61">
        <f t="shared" si="1781"/>
        <v>-65000000</v>
      </c>
      <c r="VVQ69" s="61">
        <f t="shared" si="1781"/>
        <v>-65000000</v>
      </c>
      <c r="VVR69" s="61">
        <f t="shared" si="1781"/>
        <v>-65000000</v>
      </c>
      <c r="VVS69" s="61">
        <f t="shared" si="1781"/>
        <v>-65000000</v>
      </c>
      <c r="VVT69" s="61">
        <f t="shared" si="1781"/>
        <v>-65000000</v>
      </c>
      <c r="VVU69" s="61">
        <f t="shared" si="1781"/>
        <v>-65000000</v>
      </c>
      <c r="VVV69" s="61">
        <f t="shared" si="1781"/>
        <v>-65000000</v>
      </c>
      <c r="VVW69" s="61">
        <f t="shared" si="1781"/>
        <v>-65000000</v>
      </c>
      <c r="VVX69" s="61">
        <f t="shared" si="1781"/>
        <v>-65000000</v>
      </c>
      <c r="VVY69" s="61">
        <f t="shared" si="1781"/>
        <v>-65000000</v>
      </c>
      <c r="VVZ69" s="61">
        <f t="shared" si="1781"/>
        <v>-65000000</v>
      </c>
      <c r="VWA69" s="61">
        <f t="shared" si="1781"/>
        <v>-65000000</v>
      </c>
      <c r="VWB69" s="61">
        <f t="shared" si="1781"/>
        <v>-65000000</v>
      </c>
      <c r="VWC69" s="61">
        <f t="shared" si="1781"/>
        <v>-65000000</v>
      </c>
      <c r="VWD69" s="61">
        <f t="shared" si="1781"/>
        <v>-65000000</v>
      </c>
      <c r="VWE69" s="61">
        <f t="shared" si="1781"/>
        <v>-65000000</v>
      </c>
      <c r="VWF69" s="61">
        <f t="shared" si="1781"/>
        <v>-65000000</v>
      </c>
      <c r="VWG69" s="61">
        <f t="shared" si="1781"/>
        <v>-65000000</v>
      </c>
      <c r="VWH69" s="61">
        <f t="shared" si="1781"/>
        <v>-65000000</v>
      </c>
      <c r="VWI69" s="61">
        <f t="shared" si="1781"/>
        <v>-65000000</v>
      </c>
      <c r="VWJ69" s="61">
        <f t="shared" si="1781"/>
        <v>-65000000</v>
      </c>
      <c r="VWK69" s="61">
        <f t="shared" si="1781"/>
        <v>-65000000</v>
      </c>
      <c r="VWL69" s="61">
        <f t="shared" si="1781"/>
        <v>-65000000</v>
      </c>
      <c r="VWM69" s="61">
        <f t="shared" si="1781"/>
        <v>-65000000</v>
      </c>
      <c r="VWN69" s="61">
        <f t="shared" si="1781"/>
        <v>-65000000</v>
      </c>
      <c r="VWO69" s="61">
        <f t="shared" si="1781"/>
        <v>-65000000</v>
      </c>
      <c r="VWP69" s="61">
        <f t="shared" si="1781"/>
        <v>-65000000</v>
      </c>
      <c r="VWQ69" s="61">
        <f t="shared" si="1781"/>
        <v>-65000000</v>
      </c>
      <c r="VWR69" s="61">
        <f t="shared" si="1781"/>
        <v>-65000000</v>
      </c>
      <c r="VWS69" s="61">
        <f t="shared" si="1781"/>
        <v>-65000000</v>
      </c>
      <c r="VWT69" s="61">
        <f t="shared" si="1781"/>
        <v>-65000000</v>
      </c>
      <c r="VWU69" s="61">
        <f t="shared" si="1781"/>
        <v>-65000000</v>
      </c>
      <c r="VWV69" s="61">
        <f t="shared" si="1781"/>
        <v>-65000000</v>
      </c>
      <c r="VWW69" s="61">
        <f t="shared" si="1781"/>
        <v>-65000000</v>
      </c>
      <c r="VWX69" s="61">
        <f t="shared" si="1781"/>
        <v>-65000000</v>
      </c>
      <c r="VWY69" s="61">
        <f t="shared" si="1781"/>
        <v>-65000000</v>
      </c>
      <c r="VWZ69" s="61">
        <f t="shared" si="1781"/>
        <v>-65000000</v>
      </c>
      <c r="VXA69" s="61">
        <f t="shared" si="1781"/>
        <v>-65000000</v>
      </c>
      <c r="VXB69" s="61">
        <f t="shared" si="1781"/>
        <v>-65000000</v>
      </c>
      <c r="VXC69" s="61">
        <f t="shared" si="1781"/>
        <v>-65000000</v>
      </c>
      <c r="VXD69" s="61">
        <f t="shared" si="1781"/>
        <v>-65000000</v>
      </c>
      <c r="VXE69" s="61">
        <f t="shared" si="1781"/>
        <v>-65000000</v>
      </c>
      <c r="VXF69" s="61">
        <f t="shared" si="1781"/>
        <v>-65000000</v>
      </c>
      <c r="VXG69" s="61">
        <f t="shared" si="1781"/>
        <v>-65000000</v>
      </c>
      <c r="VXH69" s="61">
        <f t="shared" si="1781"/>
        <v>-65000000</v>
      </c>
      <c r="VXI69" s="61">
        <f t="shared" si="1781"/>
        <v>-65000000</v>
      </c>
      <c r="VXJ69" s="61">
        <f t="shared" si="1781"/>
        <v>-65000000</v>
      </c>
      <c r="VXK69" s="61">
        <f t="shared" si="1781"/>
        <v>-65000000</v>
      </c>
      <c r="VXL69" s="61">
        <f t="shared" si="1781"/>
        <v>-65000000</v>
      </c>
      <c r="VXM69" s="61">
        <f t="shared" si="1781"/>
        <v>-65000000</v>
      </c>
      <c r="VXN69" s="61">
        <f t="shared" si="1781"/>
        <v>-65000000</v>
      </c>
      <c r="VXO69" s="61">
        <f t="shared" si="1781"/>
        <v>-65000000</v>
      </c>
      <c r="VXP69" s="61">
        <f t="shared" si="1781"/>
        <v>-65000000</v>
      </c>
      <c r="VXQ69" s="61">
        <f t="shared" si="1781"/>
        <v>-65000000</v>
      </c>
      <c r="VXR69" s="61">
        <f t="shared" si="1781"/>
        <v>-65000000</v>
      </c>
      <c r="VXS69" s="61">
        <f t="shared" si="1781"/>
        <v>-65000000</v>
      </c>
      <c r="VXT69" s="61">
        <f t="shared" si="1781"/>
        <v>-65000000</v>
      </c>
      <c r="VXU69" s="61">
        <f t="shared" si="1781"/>
        <v>-65000000</v>
      </c>
      <c r="VXV69" s="61">
        <f t="shared" si="1781"/>
        <v>-65000000</v>
      </c>
      <c r="VXW69" s="61">
        <f t="shared" ref="VXW69:WAH69" si="1782">VXW68-$EC$11-VXW11</f>
        <v>-65000000</v>
      </c>
      <c r="VXX69" s="61">
        <f t="shared" si="1782"/>
        <v>-65000000</v>
      </c>
      <c r="VXY69" s="61">
        <f t="shared" si="1782"/>
        <v>-65000000</v>
      </c>
      <c r="VXZ69" s="61">
        <f t="shared" si="1782"/>
        <v>-65000000</v>
      </c>
      <c r="VYA69" s="61">
        <f t="shared" si="1782"/>
        <v>-65000000</v>
      </c>
      <c r="VYB69" s="61">
        <f t="shared" si="1782"/>
        <v>-65000000</v>
      </c>
      <c r="VYC69" s="61">
        <f t="shared" si="1782"/>
        <v>-65000000</v>
      </c>
      <c r="VYD69" s="61">
        <f t="shared" si="1782"/>
        <v>-65000000</v>
      </c>
      <c r="VYE69" s="61">
        <f t="shared" si="1782"/>
        <v>-65000000</v>
      </c>
      <c r="VYF69" s="61">
        <f t="shared" si="1782"/>
        <v>-65000000</v>
      </c>
      <c r="VYG69" s="61">
        <f t="shared" si="1782"/>
        <v>-65000000</v>
      </c>
      <c r="VYH69" s="61">
        <f t="shared" si="1782"/>
        <v>-65000000</v>
      </c>
      <c r="VYI69" s="61">
        <f t="shared" si="1782"/>
        <v>-65000000</v>
      </c>
      <c r="VYJ69" s="61">
        <f t="shared" si="1782"/>
        <v>-65000000</v>
      </c>
      <c r="VYK69" s="61">
        <f t="shared" si="1782"/>
        <v>-65000000</v>
      </c>
      <c r="VYL69" s="61">
        <f t="shared" si="1782"/>
        <v>-65000000</v>
      </c>
      <c r="VYM69" s="61">
        <f t="shared" si="1782"/>
        <v>-65000000</v>
      </c>
      <c r="VYN69" s="61">
        <f t="shared" si="1782"/>
        <v>-65000000</v>
      </c>
      <c r="VYO69" s="61">
        <f t="shared" si="1782"/>
        <v>-65000000</v>
      </c>
      <c r="VYP69" s="61">
        <f t="shared" si="1782"/>
        <v>-65000000</v>
      </c>
      <c r="VYQ69" s="61">
        <f t="shared" si="1782"/>
        <v>-65000000</v>
      </c>
      <c r="VYR69" s="61">
        <f t="shared" si="1782"/>
        <v>-65000000</v>
      </c>
      <c r="VYS69" s="61">
        <f t="shared" si="1782"/>
        <v>-65000000</v>
      </c>
      <c r="VYT69" s="61">
        <f t="shared" si="1782"/>
        <v>-65000000</v>
      </c>
      <c r="VYU69" s="61">
        <f t="shared" si="1782"/>
        <v>-65000000</v>
      </c>
      <c r="VYV69" s="61">
        <f t="shared" si="1782"/>
        <v>-65000000</v>
      </c>
      <c r="VYW69" s="61">
        <f t="shared" si="1782"/>
        <v>-65000000</v>
      </c>
      <c r="VYX69" s="61">
        <f t="shared" si="1782"/>
        <v>-65000000</v>
      </c>
      <c r="VYY69" s="61">
        <f t="shared" si="1782"/>
        <v>-65000000</v>
      </c>
      <c r="VYZ69" s="61">
        <f t="shared" si="1782"/>
        <v>-65000000</v>
      </c>
      <c r="VZA69" s="61">
        <f t="shared" si="1782"/>
        <v>-65000000</v>
      </c>
      <c r="VZB69" s="61">
        <f t="shared" si="1782"/>
        <v>-65000000</v>
      </c>
      <c r="VZC69" s="61">
        <f t="shared" si="1782"/>
        <v>-65000000</v>
      </c>
      <c r="VZD69" s="61">
        <f t="shared" si="1782"/>
        <v>-65000000</v>
      </c>
      <c r="VZE69" s="61">
        <f t="shared" si="1782"/>
        <v>-65000000</v>
      </c>
      <c r="VZF69" s="61">
        <f t="shared" si="1782"/>
        <v>-65000000</v>
      </c>
      <c r="VZG69" s="61">
        <f t="shared" si="1782"/>
        <v>-65000000</v>
      </c>
      <c r="VZH69" s="61">
        <f t="shared" si="1782"/>
        <v>-65000000</v>
      </c>
      <c r="VZI69" s="61">
        <f t="shared" si="1782"/>
        <v>-65000000</v>
      </c>
      <c r="VZJ69" s="61">
        <f t="shared" si="1782"/>
        <v>-65000000</v>
      </c>
      <c r="VZK69" s="61">
        <f t="shared" si="1782"/>
        <v>-65000000</v>
      </c>
      <c r="VZL69" s="61">
        <f t="shared" si="1782"/>
        <v>-65000000</v>
      </c>
      <c r="VZM69" s="61">
        <f t="shared" si="1782"/>
        <v>-65000000</v>
      </c>
      <c r="VZN69" s="61">
        <f t="shared" si="1782"/>
        <v>-65000000</v>
      </c>
      <c r="VZO69" s="61">
        <f t="shared" si="1782"/>
        <v>-65000000</v>
      </c>
      <c r="VZP69" s="61">
        <f t="shared" si="1782"/>
        <v>-65000000</v>
      </c>
      <c r="VZQ69" s="61">
        <f t="shared" si="1782"/>
        <v>-65000000</v>
      </c>
      <c r="VZR69" s="61">
        <f t="shared" si="1782"/>
        <v>-65000000</v>
      </c>
      <c r="VZS69" s="61">
        <f t="shared" si="1782"/>
        <v>-65000000</v>
      </c>
      <c r="VZT69" s="61">
        <f t="shared" si="1782"/>
        <v>-65000000</v>
      </c>
      <c r="VZU69" s="61">
        <f t="shared" si="1782"/>
        <v>-65000000</v>
      </c>
      <c r="VZV69" s="61">
        <f t="shared" si="1782"/>
        <v>-65000000</v>
      </c>
      <c r="VZW69" s="61">
        <f t="shared" si="1782"/>
        <v>-65000000</v>
      </c>
      <c r="VZX69" s="61">
        <f t="shared" si="1782"/>
        <v>-65000000</v>
      </c>
      <c r="VZY69" s="61">
        <f t="shared" si="1782"/>
        <v>-65000000</v>
      </c>
      <c r="VZZ69" s="61">
        <f t="shared" si="1782"/>
        <v>-65000000</v>
      </c>
      <c r="WAA69" s="61">
        <f t="shared" si="1782"/>
        <v>-65000000</v>
      </c>
      <c r="WAB69" s="61">
        <f t="shared" si="1782"/>
        <v>-65000000</v>
      </c>
      <c r="WAC69" s="61">
        <f t="shared" si="1782"/>
        <v>-65000000</v>
      </c>
      <c r="WAD69" s="61">
        <f t="shared" si="1782"/>
        <v>-65000000</v>
      </c>
      <c r="WAE69" s="61">
        <f t="shared" si="1782"/>
        <v>-65000000</v>
      </c>
      <c r="WAF69" s="61">
        <f t="shared" si="1782"/>
        <v>-65000000</v>
      </c>
      <c r="WAG69" s="61">
        <f t="shared" si="1782"/>
        <v>-65000000</v>
      </c>
      <c r="WAH69" s="61">
        <f t="shared" si="1782"/>
        <v>-65000000</v>
      </c>
      <c r="WAI69" s="61">
        <f t="shared" ref="WAI69:WCT69" si="1783">WAI68-$EC$11-WAI11</f>
        <v>-65000000</v>
      </c>
      <c r="WAJ69" s="61">
        <f t="shared" si="1783"/>
        <v>-65000000</v>
      </c>
      <c r="WAK69" s="61">
        <f t="shared" si="1783"/>
        <v>-65000000</v>
      </c>
      <c r="WAL69" s="61">
        <f t="shared" si="1783"/>
        <v>-65000000</v>
      </c>
      <c r="WAM69" s="61">
        <f t="shared" si="1783"/>
        <v>-65000000</v>
      </c>
      <c r="WAN69" s="61">
        <f t="shared" si="1783"/>
        <v>-65000000</v>
      </c>
      <c r="WAO69" s="61">
        <f t="shared" si="1783"/>
        <v>-65000000</v>
      </c>
      <c r="WAP69" s="61">
        <f t="shared" si="1783"/>
        <v>-65000000</v>
      </c>
      <c r="WAQ69" s="61">
        <f t="shared" si="1783"/>
        <v>-65000000</v>
      </c>
      <c r="WAR69" s="61">
        <f t="shared" si="1783"/>
        <v>-65000000</v>
      </c>
      <c r="WAS69" s="61">
        <f t="shared" si="1783"/>
        <v>-65000000</v>
      </c>
      <c r="WAT69" s="61">
        <f t="shared" si="1783"/>
        <v>-65000000</v>
      </c>
      <c r="WAU69" s="61">
        <f t="shared" si="1783"/>
        <v>-65000000</v>
      </c>
      <c r="WAV69" s="61">
        <f t="shared" si="1783"/>
        <v>-65000000</v>
      </c>
      <c r="WAW69" s="61">
        <f t="shared" si="1783"/>
        <v>-65000000</v>
      </c>
      <c r="WAX69" s="61">
        <f t="shared" si="1783"/>
        <v>-65000000</v>
      </c>
      <c r="WAY69" s="61">
        <f t="shared" si="1783"/>
        <v>-65000000</v>
      </c>
      <c r="WAZ69" s="61">
        <f t="shared" si="1783"/>
        <v>-65000000</v>
      </c>
      <c r="WBA69" s="61">
        <f t="shared" si="1783"/>
        <v>-65000000</v>
      </c>
      <c r="WBB69" s="61">
        <f t="shared" si="1783"/>
        <v>-65000000</v>
      </c>
      <c r="WBC69" s="61">
        <f t="shared" si="1783"/>
        <v>-65000000</v>
      </c>
      <c r="WBD69" s="61">
        <f t="shared" si="1783"/>
        <v>-65000000</v>
      </c>
      <c r="WBE69" s="61">
        <f t="shared" si="1783"/>
        <v>-65000000</v>
      </c>
      <c r="WBF69" s="61">
        <f t="shared" si="1783"/>
        <v>-65000000</v>
      </c>
      <c r="WBG69" s="61">
        <f t="shared" si="1783"/>
        <v>-65000000</v>
      </c>
      <c r="WBH69" s="61">
        <f t="shared" si="1783"/>
        <v>-65000000</v>
      </c>
      <c r="WBI69" s="61">
        <f t="shared" si="1783"/>
        <v>-65000000</v>
      </c>
      <c r="WBJ69" s="61">
        <f t="shared" si="1783"/>
        <v>-65000000</v>
      </c>
      <c r="WBK69" s="61">
        <f t="shared" si="1783"/>
        <v>-65000000</v>
      </c>
      <c r="WBL69" s="61">
        <f t="shared" si="1783"/>
        <v>-65000000</v>
      </c>
      <c r="WBM69" s="61">
        <f t="shared" si="1783"/>
        <v>-65000000</v>
      </c>
      <c r="WBN69" s="61">
        <f t="shared" si="1783"/>
        <v>-65000000</v>
      </c>
      <c r="WBO69" s="61">
        <f t="shared" si="1783"/>
        <v>-65000000</v>
      </c>
      <c r="WBP69" s="61">
        <f t="shared" si="1783"/>
        <v>-65000000</v>
      </c>
      <c r="WBQ69" s="61">
        <f t="shared" si="1783"/>
        <v>-65000000</v>
      </c>
      <c r="WBR69" s="61">
        <f t="shared" si="1783"/>
        <v>-65000000</v>
      </c>
      <c r="WBS69" s="61">
        <f t="shared" si="1783"/>
        <v>-65000000</v>
      </c>
      <c r="WBT69" s="61">
        <f t="shared" si="1783"/>
        <v>-65000000</v>
      </c>
      <c r="WBU69" s="61">
        <f t="shared" si="1783"/>
        <v>-65000000</v>
      </c>
      <c r="WBV69" s="61">
        <f t="shared" si="1783"/>
        <v>-65000000</v>
      </c>
      <c r="WBW69" s="61">
        <f t="shared" si="1783"/>
        <v>-65000000</v>
      </c>
      <c r="WBX69" s="61">
        <f t="shared" si="1783"/>
        <v>-65000000</v>
      </c>
      <c r="WBY69" s="61">
        <f t="shared" si="1783"/>
        <v>-65000000</v>
      </c>
      <c r="WBZ69" s="61">
        <f t="shared" si="1783"/>
        <v>-65000000</v>
      </c>
      <c r="WCA69" s="61">
        <f t="shared" si="1783"/>
        <v>-65000000</v>
      </c>
      <c r="WCB69" s="61">
        <f t="shared" si="1783"/>
        <v>-65000000</v>
      </c>
      <c r="WCC69" s="61">
        <f t="shared" si="1783"/>
        <v>-65000000</v>
      </c>
      <c r="WCD69" s="61">
        <f t="shared" si="1783"/>
        <v>-65000000</v>
      </c>
      <c r="WCE69" s="61">
        <f t="shared" si="1783"/>
        <v>-65000000</v>
      </c>
      <c r="WCF69" s="61">
        <f t="shared" si="1783"/>
        <v>-65000000</v>
      </c>
      <c r="WCG69" s="61">
        <f t="shared" si="1783"/>
        <v>-65000000</v>
      </c>
      <c r="WCH69" s="61">
        <f t="shared" si="1783"/>
        <v>-65000000</v>
      </c>
      <c r="WCI69" s="61">
        <f t="shared" si="1783"/>
        <v>-65000000</v>
      </c>
      <c r="WCJ69" s="61">
        <f t="shared" si="1783"/>
        <v>-65000000</v>
      </c>
      <c r="WCK69" s="61">
        <f t="shared" si="1783"/>
        <v>-65000000</v>
      </c>
      <c r="WCL69" s="61">
        <f t="shared" si="1783"/>
        <v>-65000000</v>
      </c>
      <c r="WCM69" s="61">
        <f t="shared" si="1783"/>
        <v>-65000000</v>
      </c>
      <c r="WCN69" s="61">
        <f t="shared" si="1783"/>
        <v>-65000000</v>
      </c>
      <c r="WCO69" s="61">
        <f t="shared" si="1783"/>
        <v>-65000000</v>
      </c>
      <c r="WCP69" s="61">
        <f t="shared" si="1783"/>
        <v>-65000000</v>
      </c>
      <c r="WCQ69" s="61">
        <f t="shared" si="1783"/>
        <v>-65000000</v>
      </c>
      <c r="WCR69" s="61">
        <f t="shared" si="1783"/>
        <v>-65000000</v>
      </c>
      <c r="WCS69" s="61">
        <f t="shared" si="1783"/>
        <v>-65000000</v>
      </c>
      <c r="WCT69" s="61">
        <f t="shared" si="1783"/>
        <v>-65000000</v>
      </c>
      <c r="WCU69" s="61">
        <f t="shared" ref="WCU69:WFF69" si="1784">WCU68-$EC$11-WCU11</f>
        <v>-65000000</v>
      </c>
      <c r="WCV69" s="61">
        <f t="shared" si="1784"/>
        <v>-65000000</v>
      </c>
      <c r="WCW69" s="61">
        <f t="shared" si="1784"/>
        <v>-65000000</v>
      </c>
      <c r="WCX69" s="61">
        <f t="shared" si="1784"/>
        <v>-65000000</v>
      </c>
      <c r="WCY69" s="61">
        <f t="shared" si="1784"/>
        <v>-65000000</v>
      </c>
      <c r="WCZ69" s="61">
        <f t="shared" si="1784"/>
        <v>-65000000</v>
      </c>
      <c r="WDA69" s="61">
        <f t="shared" si="1784"/>
        <v>-65000000</v>
      </c>
      <c r="WDB69" s="61">
        <f t="shared" si="1784"/>
        <v>-65000000</v>
      </c>
      <c r="WDC69" s="61">
        <f t="shared" si="1784"/>
        <v>-65000000</v>
      </c>
      <c r="WDD69" s="61">
        <f t="shared" si="1784"/>
        <v>-65000000</v>
      </c>
      <c r="WDE69" s="61">
        <f t="shared" si="1784"/>
        <v>-65000000</v>
      </c>
      <c r="WDF69" s="61">
        <f t="shared" si="1784"/>
        <v>-65000000</v>
      </c>
      <c r="WDG69" s="61">
        <f t="shared" si="1784"/>
        <v>-65000000</v>
      </c>
      <c r="WDH69" s="61">
        <f t="shared" si="1784"/>
        <v>-65000000</v>
      </c>
      <c r="WDI69" s="61">
        <f t="shared" si="1784"/>
        <v>-65000000</v>
      </c>
      <c r="WDJ69" s="61">
        <f t="shared" si="1784"/>
        <v>-65000000</v>
      </c>
      <c r="WDK69" s="61">
        <f t="shared" si="1784"/>
        <v>-65000000</v>
      </c>
      <c r="WDL69" s="61">
        <f t="shared" si="1784"/>
        <v>-65000000</v>
      </c>
      <c r="WDM69" s="61">
        <f t="shared" si="1784"/>
        <v>-65000000</v>
      </c>
      <c r="WDN69" s="61">
        <f t="shared" si="1784"/>
        <v>-65000000</v>
      </c>
      <c r="WDO69" s="61">
        <f t="shared" si="1784"/>
        <v>-65000000</v>
      </c>
      <c r="WDP69" s="61">
        <f t="shared" si="1784"/>
        <v>-65000000</v>
      </c>
      <c r="WDQ69" s="61">
        <f t="shared" si="1784"/>
        <v>-65000000</v>
      </c>
      <c r="WDR69" s="61">
        <f t="shared" si="1784"/>
        <v>-65000000</v>
      </c>
      <c r="WDS69" s="61">
        <f t="shared" si="1784"/>
        <v>-65000000</v>
      </c>
      <c r="WDT69" s="61">
        <f t="shared" si="1784"/>
        <v>-65000000</v>
      </c>
      <c r="WDU69" s="61">
        <f t="shared" si="1784"/>
        <v>-65000000</v>
      </c>
      <c r="WDV69" s="61">
        <f t="shared" si="1784"/>
        <v>-65000000</v>
      </c>
      <c r="WDW69" s="61">
        <f t="shared" si="1784"/>
        <v>-65000000</v>
      </c>
      <c r="WDX69" s="61">
        <f t="shared" si="1784"/>
        <v>-65000000</v>
      </c>
      <c r="WDY69" s="61">
        <f t="shared" si="1784"/>
        <v>-65000000</v>
      </c>
      <c r="WDZ69" s="61">
        <f t="shared" si="1784"/>
        <v>-65000000</v>
      </c>
      <c r="WEA69" s="61">
        <f t="shared" si="1784"/>
        <v>-65000000</v>
      </c>
      <c r="WEB69" s="61">
        <f t="shared" si="1784"/>
        <v>-65000000</v>
      </c>
      <c r="WEC69" s="61">
        <f t="shared" si="1784"/>
        <v>-65000000</v>
      </c>
      <c r="WED69" s="61">
        <f t="shared" si="1784"/>
        <v>-65000000</v>
      </c>
      <c r="WEE69" s="61">
        <f t="shared" si="1784"/>
        <v>-65000000</v>
      </c>
      <c r="WEF69" s="61">
        <f t="shared" si="1784"/>
        <v>-65000000</v>
      </c>
      <c r="WEG69" s="61">
        <f t="shared" si="1784"/>
        <v>-65000000</v>
      </c>
      <c r="WEH69" s="61">
        <f t="shared" si="1784"/>
        <v>-65000000</v>
      </c>
      <c r="WEI69" s="61">
        <f t="shared" si="1784"/>
        <v>-65000000</v>
      </c>
      <c r="WEJ69" s="61">
        <f t="shared" si="1784"/>
        <v>-65000000</v>
      </c>
      <c r="WEK69" s="61">
        <f t="shared" si="1784"/>
        <v>-65000000</v>
      </c>
      <c r="WEL69" s="61">
        <f t="shared" si="1784"/>
        <v>-65000000</v>
      </c>
      <c r="WEM69" s="61">
        <f t="shared" si="1784"/>
        <v>-65000000</v>
      </c>
      <c r="WEN69" s="61">
        <f t="shared" si="1784"/>
        <v>-65000000</v>
      </c>
      <c r="WEO69" s="61">
        <f t="shared" si="1784"/>
        <v>-65000000</v>
      </c>
      <c r="WEP69" s="61">
        <f t="shared" si="1784"/>
        <v>-65000000</v>
      </c>
      <c r="WEQ69" s="61">
        <f t="shared" si="1784"/>
        <v>-65000000</v>
      </c>
      <c r="WER69" s="61">
        <f t="shared" si="1784"/>
        <v>-65000000</v>
      </c>
      <c r="WES69" s="61">
        <f t="shared" si="1784"/>
        <v>-65000000</v>
      </c>
      <c r="WET69" s="61">
        <f t="shared" si="1784"/>
        <v>-65000000</v>
      </c>
      <c r="WEU69" s="61">
        <f t="shared" si="1784"/>
        <v>-65000000</v>
      </c>
      <c r="WEV69" s="61">
        <f t="shared" si="1784"/>
        <v>-65000000</v>
      </c>
      <c r="WEW69" s="61">
        <f t="shared" si="1784"/>
        <v>-65000000</v>
      </c>
      <c r="WEX69" s="61">
        <f t="shared" si="1784"/>
        <v>-65000000</v>
      </c>
      <c r="WEY69" s="61">
        <f t="shared" si="1784"/>
        <v>-65000000</v>
      </c>
      <c r="WEZ69" s="61">
        <f t="shared" si="1784"/>
        <v>-65000000</v>
      </c>
      <c r="WFA69" s="61">
        <f t="shared" si="1784"/>
        <v>-65000000</v>
      </c>
      <c r="WFB69" s="61">
        <f t="shared" si="1784"/>
        <v>-65000000</v>
      </c>
      <c r="WFC69" s="61">
        <f t="shared" si="1784"/>
        <v>-65000000</v>
      </c>
      <c r="WFD69" s="61">
        <f t="shared" si="1784"/>
        <v>-65000000</v>
      </c>
      <c r="WFE69" s="61">
        <f t="shared" si="1784"/>
        <v>-65000000</v>
      </c>
      <c r="WFF69" s="61">
        <f t="shared" si="1784"/>
        <v>-65000000</v>
      </c>
      <c r="WFG69" s="61">
        <f t="shared" ref="WFG69:WHR69" si="1785">WFG68-$EC$11-WFG11</f>
        <v>-65000000</v>
      </c>
      <c r="WFH69" s="61">
        <f t="shared" si="1785"/>
        <v>-65000000</v>
      </c>
      <c r="WFI69" s="61">
        <f t="shared" si="1785"/>
        <v>-65000000</v>
      </c>
      <c r="WFJ69" s="61">
        <f t="shared" si="1785"/>
        <v>-65000000</v>
      </c>
      <c r="WFK69" s="61">
        <f t="shared" si="1785"/>
        <v>-65000000</v>
      </c>
      <c r="WFL69" s="61">
        <f t="shared" si="1785"/>
        <v>-65000000</v>
      </c>
      <c r="WFM69" s="61">
        <f t="shared" si="1785"/>
        <v>-65000000</v>
      </c>
      <c r="WFN69" s="61">
        <f t="shared" si="1785"/>
        <v>-65000000</v>
      </c>
      <c r="WFO69" s="61">
        <f t="shared" si="1785"/>
        <v>-65000000</v>
      </c>
      <c r="WFP69" s="61">
        <f t="shared" si="1785"/>
        <v>-65000000</v>
      </c>
      <c r="WFQ69" s="61">
        <f t="shared" si="1785"/>
        <v>-65000000</v>
      </c>
      <c r="WFR69" s="61">
        <f t="shared" si="1785"/>
        <v>-65000000</v>
      </c>
      <c r="WFS69" s="61">
        <f t="shared" si="1785"/>
        <v>-65000000</v>
      </c>
      <c r="WFT69" s="61">
        <f t="shared" si="1785"/>
        <v>-65000000</v>
      </c>
      <c r="WFU69" s="61">
        <f t="shared" si="1785"/>
        <v>-65000000</v>
      </c>
      <c r="WFV69" s="61">
        <f t="shared" si="1785"/>
        <v>-65000000</v>
      </c>
      <c r="WFW69" s="61">
        <f t="shared" si="1785"/>
        <v>-65000000</v>
      </c>
      <c r="WFX69" s="61">
        <f t="shared" si="1785"/>
        <v>-65000000</v>
      </c>
      <c r="WFY69" s="61">
        <f t="shared" si="1785"/>
        <v>-65000000</v>
      </c>
      <c r="WFZ69" s="61">
        <f t="shared" si="1785"/>
        <v>-65000000</v>
      </c>
      <c r="WGA69" s="61">
        <f t="shared" si="1785"/>
        <v>-65000000</v>
      </c>
      <c r="WGB69" s="61">
        <f t="shared" si="1785"/>
        <v>-65000000</v>
      </c>
      <c r="WGC69" s="61">
        <f t="shared" si="1785"/>
        <v>-65000000</v>
      </c>
      <c r="WGD69" s="61">
        <f t="shared" si="1785"/>
        <v>-65000000</v>
      </c>
      <c r="WGE69" s="61">
        <f t="shared" si="1785"/>
        <v>-65000000</v>
      </c>
      <c r="WGF69" s="61">
        <f t="shared" si="1785"/>
        <v>-65000000</v>
      </c>
      <c r="WGG69" s="61">
        <f t="shared" si="1785"/>
        <v>-65000000</v>
      </c>
      <c r="WGH69" s="61">
        <f t="shared" si="1785"/>
        <v>-65000000</v>
      </c>
      <c r="WGI69" s="61">
        <f t="shared" si="1785"/>
        <v>-65000000</v>
      </c>
      <c r="WGJ69" s="61">
        <f t="shared" si="1785"/>
        <v>-65000000</v>
      </c>
      <c r="WGK69" s="61">
        <f t="shared" si="1785"/>
        <v>-65000000</v>
      </c>
      <c r="WGL69" s="61">
        <f t="shared" si="1785"/>
        <v>-65000000</v>
      </c>
      <c r="WGM69" s="61">
        <f t="shared" si="1785"/>
        <v>-65000000</v>
      </c>
      <c r="WGN69" s="61">
        <f t="shared" si="1785"/>
        <v>-65000000</v>
      </c>
      <c r="WGO69" s="61">
        <f t="shared" si="1785"/>
        <v>-65000000</v>
      </c>
      <c r="WGP69" s="61">
        <f t="shared" si="1785"/>
        <v>-65000000</v>
      </c>
      <c r="WGQ69" s="61">
        <f t="shared" si="1785"/>
        <v>-65000000</v>
      </c>
      <c r="WGR69" s="61">
        <f t="shared" si="1785"/>
        <v>-65000000</v>
      </c>
      <c r="WGS69" s="61">
        <f t="shared" si="1785"/>
        <v>-65000000</v>
      </c>
      <c r="WGT69" s="61">
        <f t="shared" si="1785"/>
        <v>-65000000</v>
      </c>
      <c r="WGU69" s="61">
        <f t="shared" si="1785"/>
        <v>-65000000</v>
      </c>
      <c r="WGV69" s="61">
        <f t="shared" si="1785"/>
        <v>-65000000</v>
      </c>
      <c r="WGW69" s="61">
        <f t="shared" si="1785"/>
        <v>-65000000</v>
      </c>
      <c r="WGX69" s="61">
        <f t="shared" si="1785"/>
        <v>-65000000</v>
      </c>
      <c r="WGY69" s="61">
        <f t="shared" si="1785"/>
        <v>-65000000</v>
      </c>
      <c r="WGZ69" s="61">
        <f t="shared" si="1785"/>
        <v>-65000000</v>
      </c>
      <c r="WHA69" s="61">
        <f t="shared" si="1785"/>
        <v>-65000000</v>
      </c>
      <c r="WHB69" s="61">
        <f t="shared" si="1785"/>
        <v>-65000000</v>
      </c>
      <c r="WHC69" s="61">
        <f t="shared" si="1785"/>
        <v>-65000000</v>
      </c>
      <c r="WHD69" s="61">
        <f t="shared" si="1785"/>
        <v>-65000000</v>
      </c>
      <c r="WHE69" s="61">
        <f t="shared" si="1785"/>
        <v>-65000000</v>
      </c>
      <c r="WHF69" s="61">
        <f t="shared" si="1785"/>
        <v>-65000000</v>
      </c>
      <c r="WHG69" s="61">
        <f t="shared" si="1785"/>
        <v>-65000000</v>
      </c>
      <c r="WHH69" s="61">
        <f t="shared" si="1785"/>
        <v>-65000000</v>
      </c>
      <c r="WHI69" s="61">
        <f t="shared" si="1785"/>
        <v>-65000000</v>
      </c>
      <c r="WHJ69" s="61">
        <f t="shared" si="1785"/>
        <v>-65000000</v>
      </c>
      <c r="WHK69" s="61">
        <f t="shared" si="1785"/>
        <v>-65000000</v>
      </c>
      <c r="WHL69" s="61">
        <f t="shared" si="1785"/>
        <v>-65000000</v>
      </c>
      <c r="WHM69" s="61">
        <f t="shared" si="1785"/>
        <v>-65000000</v>
      </c>
      <c r="WHN69" s="61">
        <f t="shared" si="1785"/>
        <v>-65000000</v>
      </c>
      <c r="WHO69" s="61">
        <f t="shared" si="1785"/>
        <v>-65000000</v>
      </c>
      <c r="WHP69" s="61">
        <f t="shared" si="1785"/>
        <v>-65000000</v>
      </c>
      <c r="WHQ69" s="61">
        <f t="shared" si="1785"/>
        <v>-65000000</v>
      </c>
      <c r="WHR69" s="61">
        <f t="shared" si="1785"/>
        <v>-65000000</v>
      </c>
      <c r="WHS69" s="61">
        <f t="shared" ref="WHS69:WKD69" si="1786">WHS68-$EC$11-WHS11</f>
        <v>-65000000</v>
      </c>
      <c r="WHT69" s="61">
        <f t="shared" si="1786"/>
        <v>-65000000</v>
      </c>
      <c r="WHU69" s="61">
        <f t="shared" si="1786"/>
        <v>-65000000</v>
      </c>
      <c r="WHV69" s="61">
        <f t="shared" si="1786"/>
        <v>-65000000</v>
      </c>
      <c r="WHW69" s="61">
        <f t="shared" si="1786"/>
        <v>-65000000</v>
      </c>
      <c r="WHX69" s="61">
        <f t="shared" si="1786"/>
        <v>-65000000</v>
      </c>
      <c r="WHY69" s="61">
        <f t="shared" si="1786"/>
        <v>-65000000</v>
      </c>
      <c r="WHZ69" s="61">
        <f t="shared" si="1786"/>
        <v>-65000000</v>
      </c>
      <c r="WIA69" s="61">
        <f t="shared" si="1786"/>
        <v>-65000000</v>
      </c>
      <c r="WIB69" s="61">
        <f t="shared" si="1786"/>
        <v>-65000000</v>
      </c>
      <c r="WIC69" s="61">
        <f t="shared" si="1786"/>
        <v>-65000000</v>
      </c>
      <c r="WID69" s="61">
        <f t="shared" si="1786"/>
        <v>-65000000</v>
      </c>
      <c r="WIE69" s="61">
        <f t="shared" si="1786"/>
        <v>-65000000</v>
      </c>
      <c r="WIF69" s="61">
        <f t="shared" si="1786"/>
        <v>-65000000</v>
      </c>
      <c r="WIG69" s="61">
        <f t="shared" si="1786"/>
        <v>-65000000</v>
      </c>
      <c r="WIH69" s="61">
        <f t="shared" si="1786"/>
        <v>-65000000</v>
      </c>
      <c r="WII69" s="61">
        <f t="shared" si="1786"/>
        <v>-65000000</v>
      </c>
      <c r="WIJ69" s="61">
        <f t="shared" si="1786"/>
        <v>-65000000</v>
      </c>
      <c r="WIK69" s="61">
        <f t="shared" si="1786"/>
        <v>-65000000</v>
      </c>
      <c r="WIL69" s="61">
        <f t="shared" si="1786"/>
        <v>-65000000</v>
      </c>
      <c r="WIM69" s="61">
        <f t="shared" si="1786"/>
        <v>-65000000</v>
      </c>
      <c r="WIN69" s="61">
        <f t="shared" si="1786"/>
        <v>-65000000</v>
      </c>
      <c r="WIO69" s="61">
        <f t="shared" si="1786"/>
        <v>-65000000</v>
      </c>
      <c r="WIP69" s="61">
        <f t="shared" si="1786"/>
        <v>-65000000</v>
      </c>
      <c r="WIQ69" s="61">
        <f t="shared" si="1786"/>
        <v>-65000000</v>
      </c>
      <c r="WIR69" s="61">
        <f t="shared" si="1786"/>
        <v>-65000000</v>
      </c>
      <c r="WIS69" s="61">
        <f t="shared" si="1786"/>
        <v>-65000000</v>
      </c>
      <c r="WIT69" s="61">
        <f t="shared" si="1786"/>
        <v>-65000000</v>
      </c>
      <c r="WIU69" s="61">
        <f t="shared" si="1786"/>
        <v>-65000000</v>
      </c>
      <c r="WIV69" s="61">
        <f t="shared" si="1786"/>
        <v>-65000000</v>
      </c>
      <c r="WIW69" s="61">
        <f t="shared" si="1786"/>
        <v>-65000000</v>
      </c>
      <c r="WIX69" s="61">
        <f t="shared" si="1786"/>
        <v>-65000000</v>
      </c>
      <c r="WIY69" s="61">
        <f t="shared" si="1786"/>
        <v>-65000000</v>
      </c>
      <c r="WIZ69" s="61">
        <f t="shared" si="1786"/>
        <v>-65000000</v>
      </c>
      <c r="WJA69" s="61">
        <f t="shared" si="1786"/>
        <v>-65000000</v>
      </c>
      <c r="WJB69" s="61">
        <f t="shared" si="1786"/>
        <v>-65000000</v>
      </c>
      <c r="WJC69" s="61">
        <f t="shared" si="1786"/>
        <v>-65000000</v>
      </c>
      <c r="WJD69" s="61">
        <f t="shared" si="1786"/>
        <v>-65000000</v>
      </c>
      <c r="WJE69" s="61">
        <f t="shared" si="1786"/>
        <v>-65000000</v>
      </c>
      <c r="WJF69" s="61">
        <f t="shared" si="1786"/>
        <v>-65000000</v>
      </c>
      <c r="WJG69" s="61">
        <f t="shared" si="1786"/>
        <v>-65000000</v>
      </c>
      <c r="WJH69" s="61">
        <f t="shared" si="1786"/>
        <v>-65000000</v>
      </c>
      <c r="WJI69" s="61">
        <f t="shared" si="1786"/>
        <v>-65000000</v>
      </c>
      <c r="WJJ69" s="61">
        <f t="shared" si="1786"/>
        <v>-65000000</v>
      </c>
      <c r="WJK69" s="61">
        <f t="shared" si="1786"/>
        <v>-65000000</v>
      </c>
      <c r="WJL69" s="61">
        <f t="shared" si="1786"/>
        <v>-65000000</v>
      </c>
      <c r="WJM69" s="61">
        <f t="shared" si="1786"/>
        <v>-65000000</v>
      </c>
      <c r="WJN69" s="61">
        <f t="shared" si="1786"/>
        <v>-65000000</v>
      </c>
      <c r="WJO69" s="61">
        <f t="shared" si="1786"/>
        <v>-65000000</v>
      </c>
      <c r="WJP69" s="61">
        <f t="shared" si="1786"/>
        <v>-65000000</v>
      </c>
      <c r="WJQ69" s="61">
        <f t="shared" si="1786"/>
        <v>-65000000</v>
      </c>
      <c r="WJR69" s="61">
        <f t="shared" si="1786"/>
        <v>-65000000</v>
      </c>
      <c r="WJS69" s="61">
        <f t="shared" si="1786"/>
        <v>-65000000</v>
      </c>
      <c r="WJT69" s="61">
        <f t="shared" si="1786"/>
        <v>-65000000</v>
      </c>
      <c r="WJU69" s="61">
        <f t="shared" si="1786"/>
        <v>-65000000</v>
      </c>
      <c r="WJV69" s="61">
        <f t="shared" si="1786"/>
        <v>-65000000</v>
      </c>
      <c r="WJW69" s="61">
        <f t="shared" si="1786"/>
        <v>-65000000</v>
      </c>
      <c r="WJX69" s="61">
        <f t="shared" si="1786"/>
        <v>-65000000</v>
      </c>
      <c r="WJY69" s="61">
        <f t="shared" si="1786"/>
        <v>-65000000</v>
      </c>
      <c r="WJZ69" s="61">
        <f t="shared" si="1786"/>
        <v>-65000000</v>
      </c>
      <c r="WKA69" s="61">
        <f t="shared" si="1786"/>
        <v>-65000000</v>
      </c>
      <c r="WKB69" s="61">
        <f t="shared" si="1786"/>
        <v>-65000000</v>
      </c>
      <c r="WKC69" s="61">
        <f t="shared" si="1786"/>
        <v>-65000000</v>
      </c>
      <c r="WKD69" s="61">
        <f t="shared" si="1786"/>
        <v>-65000000</v>
      </c>
      <c r="WKE69" s="61">
        <f t="shared" ref="WKE69:WMP69" si="1787">WKE68-$EC$11-WKE11</f>
        <v>-65000000</v>
      </c>
      <c r="WKF69" s="61">
        <f t="shared" si="1787"/>
        <v>-65000000</v>
      </c>
      <c r="WKG69" s="61">
        <f t="shared" si="1787"/>
        <v>-65000000</v>
      </c>
      <c r="WKH69" s="61">
        <f t="shared" si="1787"/>
        <v>-65000000</v>
      </c>
      <c r="WKI69" s="61">
        <f t="shared" si="1787"/>
        <v>-65000000</v>
      </c>
      <c r="WKJ69" s="61">
        <f t="shared" si="1787"/>
        <v>-65000000</v>
      </c>
      <c r="WKK69" s="61">
        <f t="shared" si="1787"/>
        <v>-65000000</v>
      </c>
      <c r="WKL69" s="61">
        <f t="shared" si="1787"/>
        <v>-65000000</v>
      </c>
      <c r="WKM69" s="61">
        <f t="shared" si="1787"/>
        <v>-65000000</v>
      </c>
      <c r="WKN69" s="61">
        <f t="shared" si="1787"/>
        <v>-65000000</v>
      </c>
      <c r="WKO69" s="61">
        <f t="shared" si="1787"/>
        <v>-65000000</v>
      </c>
      <c r="WKP69" s="61">
        <f t="shared" si="1787"/>
        <v>-65000000</v>
      </c>
      <c r="WKQ69" s="61">
        <f t="shared" si="1787"/>
        <v>-65000000</v>
      </c>
      <c r="WKR69" s="61">
        <f t="shared" si="1787"/>
        <v>-65000000</v>
      </c>
      <c r="WKS69" s="61">
        <f t="shared" si="1787"/>
        <v>-65000000</v>
      </c>
      <c r="WKT69" s="61">
        <f t="shared" si="1787"/>
        <v>-65000000</v>
      </c>
      <c r="WKU69" s="61">
        <f t="shared" si="1787"/>
        <v>-65000000</v>
      </c>
      <c r="WKV69" s="61">
        <f t="shared" si="1787"/>
        <v>-65000000</v>
      </c>
      <c r="WKW69" s="61">
        <f t="shared" si="1787"/>
        <v>-65000000</v>
      </c>
      <c r="WKX69" s="61">
        <f t="shared" si="1787"/>
        <v>-65000000</v>
      </c>
      <c r="WKY69" s="61">
        <f t="shared" si="1787"/>
        <v>-65000000</v>
      </c>
      <c r="WKZ69" s="61">
        <f t="shared" si="1787"/>
        <v>-65000000</v>
      </c>
      <c r="WLA69" s="61">
        <f t="shared" si="1787"/>
        <v>-65000000</v>
      </c>
      <c r="WLB69" s="61">
        <f t="shared" si="1787"/>
        <v>-65000000</v>
      </c>
      <c r="WLC69" s="61">
        <f t="shared" si="1787"/>
        <v>-65000000</v>
      </c>
      <c r="WLD69" s="61">
        <f t="shared" si="1787"/>
        <v>-65000000</v>
      </c>
      <c r="WLE69" s="61">
        <f t="shared" si="1787"/>
        <v>-65000000</v>
      </c>
      <c r="WLF69" s="61">
        <f t="shared" si="1787"/>
        <v>-65000000</v>
      </c>
      <c r="WLG69" s="61">
        <f t="shared" si="1787"/>
        <v>-65000000</v>
      </c>
      <c r="WLH69" s="61">
        <f t="shared" si="1787"/>
        <v>-65000000</v>
      </c>
      <c r="WLI69" s="61">
        <f t="shared" si="1787"/>
        <v>-65000000</v>
      </c>
      <c r="WLJ69" s="61">
        <f t="shared" si="1787"/>
        <v>-65000000</v>
      </c>
      <c r="WLK69" s="61">
        <f t="shared" si="1787"/>
        <v>-65000000</v>
      </c>
      <c r="WLL69" s="61">
        <f t="shared" si="1787"/>
        <v>-65000000</v>
      </c>
      <c r="WLM69" s="61">
        <f t="shared" si="1787"/>
        <v>-65000000</v>
      </c>
      <c r="WLN69" s="61">
        <f t="shared" si="1787"/>
        <v>-65000000</v>
      </c>
      <c r="WLO69" s="61">
        <f t="shared" si="1787"/>
        <v>-65000000</v>
      </c>
      <c r="WLP69" s="61">
        <f t="shared" si="1787"/>
        <v>-65000000</v>
      </c>
      <c r="WLQ69" s="61">
        <f t="shared" si="1787"/>
        <v>-65000000</v>
      </c>
      <c r="WLR69" s="61">
        <f t="shared" si="1787"/>
        <v>-65000000</v>
      </c>
      <c r="WLS69" s="61">
        <f t="shared" si="1787"/>
        <v>-65000000</v>
      </c>
      <c r="WLT69" s="61">
        <f t="shared" si="1787"/>
        <v>-65000000</v>
      </c>
      <c r="WLU69" s="61">
        <f t="shared" si="1787"/>
        <v>-65000000</v>
      </c>
      <c r="WLV69" s="61">
        <f t="shared" si="1787"/>
        <v>-65000000</v>
      </c>
      <c r="WLW69" s="61">
        <f t="shared" si="1787"/>
        <v>-65000000</v>
      </c>
      <c r="WLX69" s="61">
        <f t="shared" si="1787"/>
        <v>-65000000</v>
      </c>
      <c r="WLY69" s="61">
        <f t="shared" si="1787"/>
        <v>-65000000</v>
      </c>
      <c r="WLZ69" s="61">
        <f t="shared" si="1787"/>
        <v>-65000000</v>
      </c>
      <c r="WMA69" s="61">
        <f t="shared" si="1787"/>
        <v>-65000000</v>
      </c>
      <c r="WMB69" s="61">
        <f t="shared" si="1787"/>
        <v>-65000000</v>
      </c>
      <c r="WMC69" s="61">
        <f t="shared" si="1787"/>
        <v>-65000000</v>
      </c>
      <c r="WMD69" s="61">
        <f t="shared" si="1787"/>
        <v>-65000000</v>
      </c>
      <c r="WME69" s="61">
        <f t="shared" si="1787"/>
        <v>-65000000</v>
      </c>
      <c r="WMF69" s="61">
        <f t="shared" si="1787"/>
        <v>-65000000</v>
      </c>
      <c r="WMG69" s="61">
        <f t="shared" si="1787"/>
        <v>-65000000</v>
      </c>
      <c r="WMH69" s="61">
        <f t="shared" si="1787"/>
        <v>-65000000</v>
      </c>
      <c r="WMI69" s="61">
        <f t="shared" si="1787"/>
        <v>-65000000</v>
      </c>
      <c r="WMJ69" s="61">
        <f t="shared" si="1787"/>
        <v>-65000000</v>
      </c>
      <c r="WMK69" s="61">
        <f t="shared" si="1787"/>
        <v>-65000000</v>
      </c>
      <c r="WML69" s="61">
        <f t="shared" si="1787"/>
        <v>-65000000</v>
      </c>
      <c r="WMM69" s="61">
        <f t="shared" si="1787"/>
        <v>-65000000</v>
      </c>
      <c r="WMN69" s="61">
        <f t="shared" si="1787"/>
        <v>-65000000</v>
      </c>
      <c r="WMO69" s="61">
        <f t="shared" si="1787"/>
        <v>-65000000</v>
      </c>
      <c r="WMP69" s="61">
        <f t="shared" si="1787"/>
        <v>-65000000</v>
      </c>
      <c r="WMQ69" s="61">
        <f t="shared" ref="WMQ69:WPB69" si="1788">WMQ68-$EC$11-WMQ11</f>
        <v>-65000000</v>
      </c>
      <c r="WMR69" s="61">
        <f t="shared" si="1788"/>
        <v>-65000000</v>
      </c>
      <c r="WMS69" s="61">
        <f t="shared" si="1788"/>
        <v>-65000000</v>
      </c>
      <c r="WMT69" s="61">
        <f t="shared" si="1788"/>
        <v>-65000000</v>
      </c>
      <c r="WMU69" s="61">
        <f t="shared" si="1788"/>
        <v>-65000000</v>
      </c>
      <c r="WMV69" s="61">
        <f t="shared" si="1788"/>
        <v>-65000000</v>
      </c>
      <c r="WMW69" s="61">
        <f t="shared" si="1788"/>
        <v>-65000000</v>
      </c>
      <c r="WMX69" s="61">
        <f t="shared" si="1788"/>
        <v>-65000000</v>
      </c>
      <c r="WMY69" s="61">
        <f t="shared" si="1788"/>
        <v>-65000000</v>
      </c>
      <c r="WMZ69" s="61">
        <f t="shared" si="1788"/>
        <v>-65000000</v>
      </c>
      <c r="WNA69" s="61">
        <f t="shared" si="1788"/>
        <v>-65000000</v>
      </c>
      <c r="WNB69" s="61">
        <f t="shared" si="1788"/>
        <v>-65000000</v>
      </c>
      <c r="WNC69" s="61">
        <f t="shared" si="1788"/>
        <v>-65000000</v>
      </c>
      <c r="WND69" s="61">
        <f t="shared" si="1788"/>
        <v>-65000000</v>
      </c>
      <c r="WNE69" s="61">
        <f t="shared" si="1788"/>
        <v>-65000000</v>
      </c>
      <c r="WNF69" s="61">
        <f t="shared" si="1788"/>
        <v>-65000000</v>
      </c>
      <c r="WNG69" s="61">
        <f t="shared" si="1788"/>
        <v>-65000000</v>
      </c>
      <c r="WNH69" s="61">
        <f t="shared" si="1788"/>
        <v>-65000000</v>
      </c>
      <c r="WNI69" s="61">
        <f t="shared" si="1788"/>
        <v>-65000000</v>
      </c>
      <c r="WNJ69" s="61">
        <f t="shared" si="1788"/>
        <v>-65000000</v>
      </c>
      <c r="WNK69" s="61">
        <f t="shared" si="1788"/>
        <v>-65000000</v>
      </c>
      <c r="WNL69" s="61">
        <f t="shared" si="1788"/>
        <v>-65000000</v>
      </c>
      <c r="WNM69" s="61">
        <f t="shared" si="1788"/>
        <v>-65000000</v>
      </c>
      <c r="WNN69" s="61">
        <f t="shared" si="1788"/>
        <v>-65000000</v>
      </c>
      <c r="WNO69" s="61">
        <f t="shared" si="1788"/>
        <v>-65000000</v>
      </c>
      <c r="WNP69" s="61">
        <f t="shared" si="1788"/>
        <v>-65000000</v>
      </c>
      <c r="WNQ69" s="61">
        <f t="shared" si="1788"/>
        <v>-65000000</v>
      </c>
      <c r="WNR69" s="61">
        <f t="shared" si="1788"/>
        <v>-65000000</v>
      </c>
      <c r="WNS69" s="61">
        <f t="shared" si="1788"/>
        <v>-65000000</v>
      </c>
      <c r="WNT69" s="61">
        <f t="shared" si="1788"/>
        <v>-65000000</v>
      </c>
      <c r="WNU69" s="61">
        <f t="shared" si="1788"/>
        <v>-65000000</v>
      </c>
      <c r="WNV69" s="61">
        <f t="shared" si="1788"/>
        <v>-65000000</v>
      </c>
      <c r="WNW69" s="61">
        <f t="shared" si="1788"/>
        <v>-65000000</v>
      </c>
      <c r="WNX69" s="61">
        <f t="shared" si="1788"/>
        <v>-65000000</v>
      </c>
      <c r="WNY69" s="61">
        <f t="shared" si="1788"/>
        <v>-65000000</v>
      </c>
      <c r="WNZ69" s="61">
        <f t="shared" si="1788"/>
        <v>-65000000</v>
      </c>
      <c r="WOA69" s="61">
        <f t="shared" si="1788"/>
        <v>-65000000</v>
      </c>
      <c r="WOB69" s="61">
        <f t="shared" si="1788"/>
        <v>-65000000</v>
      </c>
      <c r="WOC69" s="61">
        <f t="shared" si="1788"/>
        <v>-65000000</v>
      </c>
      <c r="WOD69" s="61">
        <f t="shared" si="1788"/>
        <v>-65000000</v>
      </c>
      <c r="WOE69" s="61">
        <f t="shared" si="1788"/>
        <v>-65000000</v>
      </c>
      <c r="WOF69" s="61">
        <f t="shared" si="1788"/>
        <v>-65000000</v>
      </c>
      <c r="WOG69" s="61">
        <f t="shared" si="1788"/>
        <v>-65000000</v>
      </c>
      <c r="WOH69" s="61">
        <f t="shared" si="1788"/>
        <v>-65000000</v>
      </c>
      <c r="WOI69" s="61">
        <f t="shared" si="1788"/>
        <v>-65000000</v>
      </c>
      <c r="WOJ69" s="61">
        <f t="shared" si="1788"/>
        <v>-65000000</v>
      </c>
      <c r="WOK69" s="61">
        <f t="shared" si="1788"/>
        <v>-65000000</v>
      </c>
      <c r="WOL69" s="61">
        <f t="shared" si="1788"/>
        <v>-65000000</v>
      </c>
      <c r="WOM69" s="61">
        <f t="shared" si="1788"/>
        <v>-65000000</v>
      </c>
      <c r="WON69" s="61">
        <f t="shared" si="1788"/>
        <v>-65000000</v>
      </c>
      <c r="WOO69" s="61">
        <f t="shared" si="1788"/>
        <v>-65000000</v>
      </c>
      <c r="WOP69" s="61">
        <f t="shared" si="1788"/>
        <v>-65000000</v>
      </c>
      <c r="WOQ69" s="61">
        <f t="shared" si="1788"/>
        <v>-65000000</v>
      </c>
      <c r="WOR69" s="61">
        <f t="shared" si="1788"/>
        <v>-65000000</v>
      </c>
      <c r="WOS69" s="61">
        <f t="shared" si="1788"/>
        <v>-65000000</v>
      </c>
      <c r="WOT69" s="61">
        <f t="shared" si="1788"/>
        <v>-65000000</v>
      </c>
      <c r="WOU69" s="61">
        <f t="shared" si="1788"/>
        <v>-65000000</v>
      </c>
      <c r="WOV69" s="61">
        <f t="shared" si="1788"/>
        <v>-65000000</v>
      </c>
      <c r="WOW69" s="61">
        <f t="shared" si="1788"/>
        <v>-65000000</v>
      </c>
      <c r="WOX69" s="61">
        <f t="shared" si="1788"/>
        <v>-65000000</v>
      </c>
      <c r="WOY69" s="61">
        <f t="shared" si="1788"/>
        <v>-65000000</v>
      </c>
      <c r="WOZ69" s="61">
        <f t="shared" si="1788"/>
        <v>-65000000</v>
      </c>
      <c r="WPA69" s="61">
        <f t="shared" si="1788"/>
        <v>-65000000</v>
      </c>
      <c r="WPB69" s="61">
        <f t="shared" si="1788"/>
        <v>-65000000</v>
      </c>
      <c r="WPC69" s="61">
        <f t="shared" ref="WPC69:WRN69" si="1789">WPC68-$EC$11-WPC11</f>
        <v>-65000000</v>
      </c>
      <c r="WPD69" s="61">
        <f t="shared" si="1789"/>
        <v>-65000000</v>
      </c>
      <c r="WPE69" s="61">
        <f t="shared" si="1789"/>
        <v>-65000000</v>
      </c>
      <c r="WPF69" s="61">
        <f t="shared" si="1789"/>
        <v>-65000000</v>
      </c>
      <c r="WPG69" s="61">
        <f t="shared" si="1789"/>
        <v>-65000000</v>
      </c>
      <c r="WPH69" s="61">
        <f t="shared" si="1789"/>
        <v>-65000000</v>
      </c>
      <c r="WPI69" s="61">
        <f t="shared" si="1789"/>
        <v>-65000000</v>
      </c>
      <c r="WPJ69" s="61">
        <f t="shared" si="1789"/>
        <v>-65000000</v>
      </c>
      <c r="WPK69" s="61">
        <f t="shared" si="1789"/>
        <v>-65000000</v>
      </c>
      <c r="WPL69" s="61">
        <f t="shared" si="1789"/>
        <v>-65000000</v>
      </c>
      <c r="WPM69" s="61">
        <f t="shared" si="1789"/>
        <v>-65000000</v>
      </c>
      <c r="WPN69" s="61">
        <f t="shared" si="1789"/>
        <v>-65000000</v>
      </c>
      <c r="WPO69" s="61">
        <f t="shared" si="1789"/>
        <v>-65000000</v>
      </c>
      <c r="WPP69" s="61">
        <f t="shared" si="1789"/>
        <v>-65000000</v>
      </c>
      <c r="WPQ69" s="61">
        <f t="shared" si="1789"/>
        <v>-65000000</v>
      </c>
      <c r="WPR69" s="61">
        <f t="shared" si="1789"/>
        <v>-65000000</v>
      </c>
      <c r="WPS69" s="61">
        <f t="shared" si="1789"/>
        <v>-65000000</v>
      </c>
      <c r="WPT69" s="61">
        <f t="shared" si="1789"/>
        <v>-65000000</v>
      </c>
      <c r="WPU69" s="61">
        <f t="shared" si="1789"/>
        <v>-65000000</v>
      </c>
      <c r="WPV69" s="61">
        <f t="shared" si="1789"/>
        <v>-65000000</v>
      </c>
      <c r="WPW69" s="61">
        <f t="shared" si="1789"/>
        <v>-65000000</v>
      </c>
      <c r="WPX69" s="61">
        <f t="shared" si="1789"/>
        <v>-65000000</v>
      </c>
      <c r="WPY69" s="61">
        <f t="shared" si="1789"/>
        <v>-65000000</v>
      </c>
      <c r="WPZ69" s="61">
        <f t="shared" si="1789"/>
        <v>-65000000</v>
      </c>
      <c r="WQA69" s="61">
        <f t="shared" si="1789"/>
        <v>-65000000</v>
      </c>
      <c r="WQB69" s="61">
        <f t="shared" si="1789"/>
        <v>-65000000</v>
      </c>
      <c r="WQC69" s="61">
        <f t="shared" si="1789"/>
        <v>-65000000</v>
      </c>
      <c r="WQD69" s="61">
        <f t="shared" si="1789"/>
        <v>-65000000</v>
      </c>
      <c r="WQE69" s="61">
        <f t="shared" si="1789"/>
        <v>-65000000</v>
      </c>
      <c r="WQF69" s="61">
        <f t="shared" si="1789"/>
        <v>-65000000</v>
      </c>
      <c r="WQG69" s="61">
        <f t="shared" si="1789"/>
        <v>-65000000</v>
      </c>
      <c r="WQH69" s="61">
        <f t="shared" si="1789"/>
        <v>-65000000</v>
      </c>
      <c r="WQI69" s="61">
        <f t="shared" si="1789"/>
        <v>-65000000</v>
      </c>
      <c r="WQJ69" s="61">
        <f t="shared" si="1789"/>
        <v>-65000000</v>
      </c>
      <c r="WQK69" s="61">
        <f t="shared" si="1789"/>
        <v>-65000000</v>
      </c>
      <c r="WQL69" s="61">
        <f t="shared" si="1789"/>
        <v>-65000000</v>
      </c>
      <c r="WQM69" s="61">
        <f t="shared" si="1789"/>
        <v>-65000000</v>
      </c>
      <c r="WQN69" s="61">
        <f t="shared" si="1789"/>
        <v>-65000000</v>
      </c>
      <c r="WQO69" s="61">
        <f t="shared" si="1789"/>
        <v>-65000000</v>
      </c>
      <c r="WQP69" s="61">
        <f t="shared" si="1789"/>
        <v>-65000000</v>
      </c>
      <c r="WQQ69" s="61">
        <f t="shared" si="1789"/>
        <v>-65000000</v>
      </c>
      <c r="WQR69" s="61">
        <f t="shared" si="1789"/>
        <v>-65000000</v>
      </c>
      <c r="WQS69" s="61">
        <f t="shared" si="1789"/>
        <v>-65000000</v>
      </c>
      <c r="WQT69" s="61">
        <f t="shared" si="1789"/>
        <v>-65000000</v>
      </c>
      <c r="WQU69" s="61">
        <f t="shared" si="1789"/>
        <v>-65000000</v>
      </c>
      <c r="WQV69" s="61">
        <f t="shared" si="1789"/>
        <v>-65000000</v>
      </c>
      <c r="WQW69" s="61">
        <f t="shared" si="1789"/>
        <v>-65000000</v>
      </c>
      <c r="WQX69" s="61">
        <f t="shared" si="1789"/>
        <v>-65000000</v>
      </c>
      <c r="WQY69" s="61">
        <f t="shared" si="1789"/>
        <v>-65000000</v>
      </c>
      <c r="WQZ69" s="61">
        <f t="shared" si="1789"/>
        <v>-65000000</v>
      </c>
      <c r="WRA69" s="61">
        <f t="shared" si="1789"/>
        <v>-65000000</v>
      </c>
      <c r="WRB69" s="61">
        <f t="shared" si="1789"/>
        <v>-65000000</v>
      </c>
      <c r="WRC69" s="61">
        <f t="shared" si="1789"/>
        <v>-65000000</v>
      </c>
      <c r="WRD69" s="61">
        <f t="shared" si="1789"/>
        <v>-65000000</v>
      </c>
      <c r="WRE69" s="61">
        <f t="shared" si="1789"/>
        <v>-65000000</v>
      </c>
      <c r="WRF69" s="61">
        <f t="shared" si="1789"/>
        <v>-65000000</v>
      </c>
      <c r="WRG69" s="61">
        <f t="shared" si="1789"/>
        <v>-65000000</v>
      </c>
      <c r="WRH69" s="61">
        <f t="shared" si="1789"/>
        <v>-65000000</v>
      </c>
      <c r="WRI69" s="61">
        <f t="shared" si="1789"/>
        <v>-65000000</v>
      </c>
      <c r="WRJ69" s="61">
        <f t="shared" si="1789"/>
        <v>-65000000</v>
      </c>
      <c r="WRK69" s="61">
        <f t="shared" si="1789"/>
        <v>-65000000</v>
      </c>
      <c r="WRL69" s="61">
        <f t="shared" si="1789"/>
        <v>-65000000</v>
      </c>
      <c r="WRM69" s="61">
        <f t="shared" si="1789"/>
        <v>-65000000</v>
      </c>
      <c r="WRN69" s="61">
        <f t="shared" si="1789"/>
        <v>-65000000</v>
      </c>
      <c r="WRO69" s="61">
        <f t="shared" ref="WRO69:WTZ69" si="1790">WRO68-$EC$11-WRO11</f>
        <v>-65000000</v>
      </c>
      <c r="WRP69" s="61">
        <f t="shared" si="1790"/>
        <v>-65000000</v>
      </c>
      <c r="WRQ69" s="61">
        <f t="shared" si="1790"/>
        <v>-65000000</v>
      </c>
      <c r="WRR69" s="61">
        <f t="shared" si="1790"/>
        <v>-65000000</v>
      </c>
      <c r="WRS69" s="61">
        <f t="shared" si="1790"/>
        <v>-65000000</v>
      </c>
      <c r="WRT69" s="61">
        <f t="shared" si="1790"/>
        <v>-65000000</v>
      </c>
      <c r="WRU69" s="61">
        <f t="shared" si="1790"/>
        <v>-65000000</v>
      </c>
      <c r="WRV69" s="61">
        <f t="shared" si="1790"/>
        <v>-65000000</v>
      </c>
      <c r="WRW69" s="61">
        <f t="shared" si="1790"/>
        <v>-65000000</v>
      </c>
      <c r="WRX69" s="61">
        <f t="shared" si="1790"/>
        <v>-65000000</v>
      </c>
      <c r="WRY69" s="61">
        <f t="shared" si="1790"/>
        <v>-65000000</v>
      </c>
      <c r="WRZ69" s="61">
        <f t="shared" si="1790"/>
        <v>-65000000</v>
      </c>
      <c r="WSA69" s="61">
        <f t="shared" si="1790"/>
        <v>-65000000</v>
      </c>
      <c r="WSB69" s="61">
        <f t="shared" si="1790"/>
        <v>-65000000</v>
      </c>
      <c r="WSC69" s="61">
        <f t="shared" si="1790"/>
        <v>-65000000</v>
      </c>
      <c r="WSD69" s="61">
        <f t="shared" si="1790"/>
        <v>-65000000</v>
      </c>
      <c r="WSE69" s="61">
        <f t="shared" si="1790"/>
        <v>-65000000</v>
      </c>
      <c r="WSF69" s="61">
        <f t="shared" si="1790"/>
        <v>-65000000</v>
      </c>
      <c r="WSG69" s="61">
        <f t="shared" si="1790"/>
        <v>-65000000</v>
      </c>
      <c r="WSH69" s="61">
        <f t="shared" si="1790"/>
        <v>-65000000</v>
      </c>
      <c r="WSI69" s="61">
        <f t="shared" si="1790"/>
        <v>-65000000</v>
      </c>
      <c r="WSJ69" s="61">
        <f t="shared" si="1790"/>
        <v>-65000000</v>
      </c>
      <c r="WSK69" s="61">
        <f t="shared" si="1790"/>
        <v>-65000000</v>
      </c>
      <c r="WSL69" s="61">
        <f t="shared" si="1790"/>
        <v>-65000000</v>
      </c>
      <c r="WSM69" s="61">
        <f t="shared" si="1790"/>
        <v>-65000000</v>
      </c>
      <c r="WSN69" s="61">
        <f t="shared" si="1790"/>
        <v>-65000000</v>
      </c>
      <c r="WSO69" s="61">
        <f t="shared" si="1790"/>
        <v>-65000000</v>
      </c>
      <c r="WSP69" s="61">
        <f t="shared" si="1790"/>
        <v>-65000000</v>
      </c>
      <c r="WSQ69" s="61">
        <f t="shared" si="1790"/>
        <v>-65000000</v>
      </c>
      <c r="WSR69" s="61">
        <f t="shared" si="1790"/>
        <v>-65000000</v>
      </c>
      <c r="WSS69" s="61">
        <f t="shared" si="1790"/>
        <v>-65000000</v>
      </c>
      <c r="WST69" s="61">
        <f t="shared" si="1790"/>
        <v>-65000000</v>
      </c>
      <c r="WSU69" s="61">
        <f t="shared" si="1790"/>
        <v>-65000000</v>
      </c>
      <c r="WSV69" s="61">
        <f t="shared" si="1790"/>
        <v>-65000000</v>
      </c>
      <c r="WSW69" s="61">
        <f t="shared" si="1790"/>
        <v>-65000000</v>
      </c>
      <c r="WSX69" s="61">
        <f t="shared" si="1790"/>
        <v>-65000000</v>
      </c>
      <c r="WSY69" s="61">
        <f t="shared" si="1790"/>
        <v>-65000000</v>
      </c>
      <c r="WSZ69" s="61">
        <f t="shared" si="1790"/>
        <v>-65000000</v>
      </c>
      <c r="WTA69" s="61">
        <f t="shared" si="1790"/>
        <v>-65000000</v>
      </c>
      <c r="WTB69" s="61">
        <f t="shared" si="1790"/>
        <v>-65000000</v>
      </c>
      <c r="WTC69" s="61">
        <f t="shared" si="1790"/>
        <v>-65000000</v>
      </c>
      <c r="WTD69" s="61">
        <f t="shared" si="1790"/>
        <v>-65000000</v>
      </c>
      <c r="WTE69" s="61">
        <f t="shared" si="1790"/>
        <v>-65000000</v>
      </c>
      <c r="WTF69" s="61">
        <f t="shared" si="1790"/>
        <v>-65000000</v>
      </c>
      <c r="WTG69" s="61">
        <f t="shared" si="1790"/>
        <v>-65000000</v>
      </c>
      <c r="WTH69" s="61">
        <f t="shared" si="1790"/>
        <v>-65000000</v>
      </c>
      <c r="WTI69" s="61">
        <f t="shared" si="1790"/>
        <v>-65000000</v>
      </c>
      <c r="WTJ69" s="61">
        <f t="shared" si="1790"/>
        <v>-65000000</v>
      </c>
      <c r="WTK69" s="61">
        <f t="shared" si="1790"/>
        <v>-65000000</v>
      </c>
      <c r="WTL69" s="61">
        <f t="shared" si="1790"/>
        <v>-65000000</v>
      </c>
      <c r="WTM69" s="61">
        <f t="shared" si="1790"/>
        <v>-65000000</v>
      </c>
      <c r="WTN69" s="61">
        <f t="shared" si="1790"/>
        <v>-65000000</v>
      </c>
      <c r="WTO69" s="61">
        <f t="shared" si="1790"/>
        <v>-65000000</v>
      </c>
      <c r="WTP69" s="61">
        <f t="shared" si="1790"/>
        <v>-65000000</v>
      </c>
      <c r="WTQ69" s="61">
        <f t="shared" si="1790"/>
        <v>-65000000</v>
      </c>
      <c r="WTR69" s="61">
        <f t="shared" si="1790"/>
        <v>-65000000</v>
      </c>
      <c r="WTS69" s="61">
        <f t="shared" si="1790"/>
        <v>-65000000</v>
      </c>
      <c r="WTT69" s="61">
        <f t="shared" si="1790"/>
        <v>-65000000</v>
      </c>
      <c r="WTU69" s="61">
        <f t="shared" si="1790"/>
        <v>-65000000</v>
      </c>
      <c r="WTV69" s="61">
        <f t="shared" si="1790"/>
        <v>-65000000</v>
      </c>
      <c r="WTW69" s="61">
        <f t="shared" si="1790"/>
        <v>-65000000</v>
      </c>
      <c r="WTX69" s="61">
        <f t="shared" si="1790"/>
        <v>-65000000</v>
      </c>
      <c r="WTY69" s="61">
        <f t="shared" si="1790"/>
        <v>-65000000</v>
      </c>
      <c r="WTZ69" s="61">
        <f t="shared" si="1790"/>
        <v>-65000000</v>
      </c>
      <c r="WUA69" s="61">
        <f t="shared" ref="WUA69:WWL69" si="1791">WUA68-$EC$11-WUA11</f>
        <v>-65000000</v>
      </c>
      <c r="WUB69" s="61">
        <f t="shared" si="1791"/>
        <v>-65000000</v>
      </c>
      <c r="WUC69" s="61">
        <f t="shared" si="1791"/>
        <v>-65000000</v>
      </c>
      <c r="WUD69" s="61">
        <f t="shared" si="1791"/>
        <v>-65000000</v>
      </c>
      <c r="WUE69" s="61">
        <f t="shared" si="1791"/>
        <v>-65000000</v>
      </c>
      <c r="WUF69" s="61">
        <f t="shared" si="1791"/>
        <v>-65000000</v>
      </c>
      <c r="WUG69" s="61">
        <f t="shared" si="1791"/>
        <v>-65000000</v>
      </c>
      <c r="WUH69" s="61">
        <f t="shared" si="1791"/>
        <v>-65000000</v>
      </c>
      <c r="WUI69" s="61">
        <f t="shared" si="1791"/>
        <v>-65000000</v>
      </c>
      <c r="WUJ69" s="61">
        <f t="shared" si="1791"/>
        <v>-65000000</v>
      </c>
      <c r="WUK69" s="61">
        <f t="shared" si="1791"/>
        <v>-65000000</v>
      </c>
      <c r="WUL69" s="61">
        <f t="shared" si="1791"/>
        <v>-65000000</v>
      </c>
      <c r="WUM69" s="61">
        <f t="shared" si="1791"/>
        <v>-65000000</v>
      </c>
      <c r="WUN69" s="61">
        <f t="shared" si="1791"/>
        <v>-65000000</v>
      </c>
      <c r="WUO69" s="61">
        <f t="shared" si="1791"/>
        <v>-65000000</v>
      </c>
      <c r="WUP69" s="61">
        <f t="shared" si="1791"/>
        <v>-65000000</v>
      </c>
      <c r="WUQ69" s="61">
        <f t="shared" si="1791"/>
        <v>-65000000</v>
      </c>
      <c r="WUR69" s="61">
        <f t="shared" si="1791"/>
        <v>-65000000</v>
      </c>
      <c r="WUS69" s="61">
        <f t="shared" si="1791"/>
        <v>-65000000</v>
      </c>
      <c r="WUT69" s="61">
        <f t="shared" si="1791"/>
        <v>-65000000</v>
      </c>
      <c r="WUU69" s="61">
        <f t="shared" si="1791"/>
        <v>-65000000</v>
      </c>
      <c r="WUV69" s="61">
        <f t="shared" si="1791"/>
        <v>-65000000</v>
      </c>
      <c r="WUW69" s="61">
        <f t="shared" si="1791"/>
        <v>-65000000</v>
      </c>
      <c r="WUX69" s="61">
        <f t="shared" si="1791"/>
        <v>-65000000</v>
      </c>
      <c r="WUY69" s="61">
        <f t="shared" si="1791"/>
        <v>-65000000</v>
      </c>
      <c r="WUZ69" s="61">
        <f t="shared" si="1791"/>
        <v>-65000000</v>
      </c>
      <c r="WVA69" s="61">
        <f t="shared" si="1791"/>
        <v>-65000000</v>
      </c>
      <c r="WVB69" s="61">
        <f t="shared" si="1791"/>
        <v>-65000000</v>
      </c>
      <c r="WVC69" s="61">
        <f t="shared" si="1791"/>
        <v>-65000000</v>
      </c>
      <c r="WVD69" s="61">
        <f t="shared" si="1791"/>
        <v>-65000000</v>
      </c>
      <c r="WVE69" s="61">
        <f t="shared" si="1791"/>
        <v>-65000000</v>
      </c>
      <c r="WVF69" s="61">
        <f t="shared" si="1791"/>
        <v>-65000000</v>
      </c>
      <c r="WVG69" s="61">
        <f t="shared" si="1791"/>
        <v>-65000000</v>
      </c>
      <c r="WVH69" s="61">
        <f t="shared" si="1791"/>
        <v>-65000000</v>
      </c>
      <c r="WVI69" s="61">
        <f t="shared" si="1791"/>
        <v>-65000000</v>
      </c>
      <c r="WVJ69" s="61">
        <f t="shared" si="1791"/>
        <v>-65000000</v>
      </c>
      <c r="WVK69" s="61">
        <f t="shared" si="1791"/>
        <v>-65000000</v>
      </c>
      <c r="WVL69" s="61">
        <f t="shared" si="1791"/>
        <v>-65000000</v>
      </c>
      <c r="WVM69" s="61">
        <f t="shared" si="1791"/>
        <v>-65000000</v>
      </c>
      <c r="WVN69" s="61">
        <f t="shared" si="1791"/>
        <v>-65000000</v>
      </c>
      <c r="WVO69" s="61">
        <f t="shared" si="1791"/>
        <v>-65000000</v>
      </c>
      <c r="WVP69" s="61">
        <f t="shared" si="1791"/>
        <v>-65000000</v>
      </c>
      <c r="WVQ69" s="61">
        <f t="shared" si="1791"/>
        <v>-65000000</v>
      </c>
      <c r="WVR69" s="61">
        <f t="shared" si="1791"/>
        <v>-65000000</v>
      </c>
      <c r="WVS69" s="61">
        <f t="shared" si="1791"/>
        <v>-65000000</v>
      </c>
      <c r="WVT69" s="61">
        <f t="shared" si="1791"/>
        <v>-65000000</v>
      </c>
      <c r="WVU69" s="61">
        <f t="shared" si="1791"/>
        <v>-65000000</v>
      </c>
      <c r="WVV69" s="61">
        <f t="shared" si="1791"/>
        <v>-65000000</v>
      </c>
      <c r="WVW69" s="61">
        <f t="shared" si="1791"/>
        <v>-65000000</v>
      </c>
      <c r="WVX69" s="61">
        <f t="shared" si="1791"/>
        <v>-65000000</v>
      </c>
      <c r="WVY69" s="61">
        <f t="shared" si="1791"/>
        <v>-65000000</v>
      </c>
      <c r="WVZ69" s="61">
        <f t="shared" si="1791"/>
        <v>-65000000</v>
      </c>
      <c r="WWA69" s="61">
        <f t="shared" si="1791"/>
        <v>-65000000</v>
      </c>
      <c r="WWB69" s="61">
        <f t="shared" si="1791"/>
        <v>-65000000</v>
      </c>
      <c r="WWC69" s="61">
        <f t="shared" si="1791"/>
        <v>-65000000</v>
      </c>
      <c r="WWD69" s="61">
        <f t="shared" si="1791"/>
        <v>-65000000</v>
      </c>
      <c r="WWE69" s="61">
        <f t="shared" si="1791"/>
        <v>-65000000</v>
      </c>
      <c r="WWF69" s="61">
        <f t="shared" si="1791"/>
        <v>-65000000</v>
      </c>
      <c r="WWG69" s="61">
        <f t="shared" si="1791"/>
        <v>-65000000</v>
      </c>
      <c r="WWH69" s="61">
        <f t="shared" si="1791"/>
        <v>-65000000</v>
      </c>
      <c r="WWI69" s="61">
        <f t="shared" si="1791"/>
        <v>-65000000</v>
      </c>
      <c r="WWJ69" s="61">
        <f t="shared" si="1791"/>
        <v>-65000000</v>
      </c>
      <c r="WWK69" s="61">
        <f t="shared" si="1791"/>
        <v>-65000000</v>
      </c>
      <c r="WWL69" s="61">
        <f t="shared" si="1791"/>
        <v>-65000000</v>
      </c>
      <c r="WWM69" s="61">
        <f t="shared" ref="WWM69:WYX69" si="1792">WWM68-$EC$11-WWM11</f>
        <v>-65000000</v>
      </c>
      <c r="WWN69" s="61">
        <f t="shared" si="1792"/>
        <v>-65000000</v>
      </c>
      <c r="WWO69" s="61">
        <f t="shared" si="1792"/>
        <v>-65000000</v>
      </c>
      <c r="WWP69" s="61">
        <f t="shared" si="1792"/>
        <v>-65000000</v>
      </c>
      <c r="WWQ69" s="61">
        <f t="shared" si="1792"/>
        <v>-65000000</v>
      </c>
      <c r="WWR69" s="61">
        <f t="shared" si="1792"/>
        <v>-65000000</v>
      </c>
      <c r="WWS69" s="61">
        <f t="shared" si="1792"/>
        <v>-65000000</v>
      </c>
      <c r="WWT69" s="61">
        <f t="shared" si="1792"/>
        <v>-65000000</v>
      </c>
      <c r="WWU69" s="61">
        <f t="shared" si="1792"/>
        <v>-65000000</v>
      </c>
      <c r="WWV69" s="61">
        <f t="shared" si="1792"/>
        <v>-65000000</v>
      </c>
      <c r="WWW69" s="61">
        <f t="shared" si="1792"/>
        <v>-65000000</v>
      </c>
      <c r="WWX69" s="61">
        <f t="shared" si="1792"/>
        <v>-65000000</v>
      </c>
      <c r="WWY69" s="61">
        <f t="shared" si="1792"/>
        <v>-65000000</v>
      </c>
      <c r="WWZ69" s="61">
        <f t="shared" si="1792"/>
        <v>-65000000</v>
      </c>
      <c r="WXA69" s="61">
        <f t="shared" si="1792"/>
        <v>-65000000</v>
      </c>
      <c r="WXB69" s="61">
        <f t="shared" si="1792"/>
        <v>-65000000</v>
      </c>
      <c r="WXC69" s="61">
        <f t="shared" si="1792"/>
        <v>-65000000</v>
      </c>
      <c r="WXD69" s="61">
        <f t="shared" si="1792"/>
        <v>-65000000</v>
      </c>
      <c r="WXE69" s="61">
        <f t="shared" si="1792"/>
        <v>-65000000</v>
      </c>
      <c r="WXF69" s="61">
        <f t="shared" si="1792"/>
        <v>-65000000</v>
      </c>
      <c r="WXG69" s="61">
        <f t="shared" si="1792"/>
        <v>-65000000</v>
      </c>
      <c r="WXH69" s="61">
        <f t="shared" si="1792"/>
        <v>-65000000</v>
      </c>
      <c r="WXI69" s="61">
        <f t="shared" si="1792"/>
        <v>-65000000</v>
      </c>
      <c r="WXJ69" s="61">
        <f t="shared" si="1792"/>
        <v>-65000000</v>
      </c>
      <c r="WXK69" s="61">
        <f t="shared" si="1792"/>
        <v>-65000000</v>
      </c>
      <c r="WXL69" s="61">
        <f t="shared" si="1792"/>
        <v>-65000000</v>
      </c>
      <c r="WXM69" s="61">
        <f t="shared" si="1792"/>
        <v>-65000000</v>
      </c>
      <c r="WXN69" s="61">
        <f t="shared" si="1792"/>
        <v>-65000000</v>
      </c>
      <c r="WXO69" s="61">
        <f t="shared" si="1792"/>
        <v>-65000000</v>
      </c>
      <c r="WXP69" s="61">
        <f t="shared" si="1792"/>
        <v>-65000000</v>
      </c>
      <c r="WXQ69" s="61">
        <f t="shared" si="1792"/>
        <v>-65000000</v>
      </c>
      <c r="WXR69" s="61">
        <f t="shared" si="1792"/>
        <v>-65000000</v>
      </c>
      <c r="WXS69" s="61">
        <f t="shared" si="1792"/>
        <v>-65000000</v>
      </c>
      <c r="WXT69" s="61">
        <f t="shared" si="1792"/>
        <v>-65000000</v>
      </c>
      <c r="WXU69" s="61">
        <f t="shared" si="1792"/>
        <v>-65000000</v>
      </c>
      <c r="WXV69" s="61">
        <f t="shared" si="1792"/>
        <v>-65000000</v>
      </c>
      <c r="WXW69" s="61">
        <f t="shared" si="1792"/>
        <v>-65000000</v>
      </c>
      <c r="WXX69" s="61">
        <f t="shared" si="1792"/>
        <v>-65000000</v>
      </c>
      <c r="WXY69" s="61">
        <f t="shared" si="1792"/>
        <v>-65000000</v>
      </c>
      <c r="WXZ69" s="61">
        <f t="shared" si="1792"/>
        <v>-65000000</v>
      </c>
      <c r="WYA69" s="61">
        <f t="shared" si="1792"/>
        <v>-65000000</v>
      </c>
      <c r="WYB69" s="61">
        <f t="shared" si="1792"/>
        <v>-65000000</v>
      </c>
      <c r="WYC69" s="61">
        <f t="shared" si="1792"/>
        <v>-65000000</v>
      </c>
      <c r="WYD69" s="61">
        <f t="shared" si="1792"/>
        <v>-65000000</v>
      </c>
      <c r="WYE69" s="61">
        <f t="shared" si="1792"/>
        <v>-65000000</v>
      </c>
      <c r="WYF69" s="61">
        <f t="shared" si="1792"/>
        <v>-65000000</v>
      </c>
      <c r="WYG69" s="61">
        <f t="shared" si="1792"/>
        <v>-65000000</v>
      </c>
      <c r="WYH69" s="61">
        <f t="shared" si="1792"/>
        <v>-65000000</v>
      </c>
      <c r="WYI69" s="61">
        <f t="shared" si="1792"/>
        <v>-65000000</v>
      </c>
      <c r="WYJ69" s="61">
        <f t="shared" si="1792"/>
        <v>-65000000</v>
      </c>
      <c r="WYK69" s="61">
        <f t="shared" si="1792"/>
        <v>-65000000</v>
      </c>
      <c r="WYL69" s="61">
        <f t="shared" si="1792"/>
        <v>-65000000</v>
      </c>
      <c r="WYM69" s="61">
        <f t="shared" si="1792"/>
        <v>-65000000</v>
      </c>
      <c r="WYN69" s="61">
        <f t="shared" si="1792"/>
        <v>-65000000</v>
      </c>
      <c r="WYO69" s="61">
        <f t="shared" si="1792"/>
        <v>-65000000</v>
      </c>
      <c r="WYP69" s="61">
        <f t="shared" si="1792"/>
        <v>-65000000</v>
      </c>
      <c r="WYQ69" s="61">
        <f t="shared" si="1792"/>
        <v>-65000000</v>
      </c>
      <c r="WYR69" s="61">
        <f t="shared" si="1792"/>
        <v>-65000000</v>
      </c>
      <c r="WYS69" s="61">
        <f t="shared" si="1792"/>
        <v>-65000000</v>
      </c>
      <c r="WYT69" s="61">
        <f t="shared" si="1792"/>
        <v>-65000000</v>
      </c>
      <c r="WYU69" s="61">
        <f t="shared" si="1792"/>
        <v>-65000000</v>
      </c>
      <c r="WYV69" s="61">
        <f t="shared" si="1792"/>
        <v>-65000000</v>
      </c>
      <c r="WYW69" s="61">
        <f t="shared" si="1792"/>
        <v>-65000000</v>
      </c>
      <c r="WYX69" s="61">
        <f t="shared" si="1792"/>
        <v>-65000000</v>
      </c>
      <c r="WYY69" s="61">
        <f t="shared" ref="WYY69:XBJ69" si="1793">WYY68-$EC$11-WYY11</f>
        <v>-65000000</v>
      </c>
      <c r="WYZ69" s="61">
        <f t="shared" si="1793"/>
        <v>-65000000</v>
      </c>
      <c r="WZA69" s="61">
        <f t="shared" si="1793"/>
        <v>-65000000</v>
      </c>
      <c r="WZB69" s="61">
        <f t="shared" si="1793"/>
        <v>-65000000</v>
      </c>
      <c r="WZC69" s="61">
        <f t="shared" si="1793"/>
        <v>-65000000</v>
      </c>
      <c r="WZD69" s="61">
        <f t="shared" si="1793"/>
        <v>-65000000</v>
      </c>
      <c r="WZE69" s="61">
        <f t="shared" si="1793"/>
        <v>-65000000</v>
      </c>
      <c r="WZF69" s="61">
        <f t="shared" si="1793"/>
        <v>-65000000</v>
      </c>
      <c r="WZG69" s="61">
        <f t="shared" si="1793"/>
        <v>-65000000</v>
      </c>
      <c r="WZH69" s="61">
        <f t="shared" si="1793"/>
        <v>-65000000</v>
      </c>
      <c r="WZI69" s="61">
        <f t="shared" si="1793"/>
        <v>-65000000</v>
      </c>
      <c r="WZJ69" s="61">
        <f t="shared" si="1793"/>
        <v>-65000000</v>
      </c>
      <c r="WZK69" s="61">
        <f t="shared" si="1793"/>
        <v>-65000000</v>
      </c>
      <c r="WZL69" s="61">
        <f t="shared" si="1793"/>
        <v>-65000000</v>
      </c>
      <c r="WZM69" s="61">
        <f t="shared" si="1793"/>
        <v>-65000000</v>
      </c>
      <c r="WZN69" s="61">
        <f t="shared" si="1793"/>
        <v>-65000000</v>
      </c>
      <c r="WZO69" s="61">
        <f t="shared" si="1793"/>
        <v>-65000000</v>
      </c>
      <c r="WZP69" s="61">
        <f t="shared" si="1793"/>
        <v>-65000000</v>
      </c>
      <c r="WZQ69" s="61">
        <f t="shared" si="1793"/>
        <v>-65000000</v>
      </c>
      <c r="WZR69" s="61">
        <f t="shared" si="1793"/>
        <v>-65000000</v>
      </c>
      <c r="WZS69" s="61">
        <f t="shared" si="1793"/>
        <v>-65000000</v>
      </c>
      <c r="WZT69" s="61">
        <f t="shared" si="1793"/>
        <v>-65000000</v>
      </c>
      <c r="WZU69" s="61">
        <f t="shared" si="1793"/>
        <v>-65000000</v>
      </c>
      <c r="WZV69" s="61">
        <f t="shared" si="1793"/>
        <v>-65000000</v>
      </c>
      <c r="WZW69" s="61">
        <f t="shared" si="1793"/>
        <v>-65000000</v>
      </c>
      <c r="WZX69" s="61">
        <f t="shared" si="1793"/>
        <v>-65000000</v>
      </c>
      <c r="WZY69" s="61">
        <f t="shared" si="1793"/>
        <v>-65000000</v>
      </c>
      <c r="WZZ69" s="61">
        <f t="shared" si="1793"/>
        <v>-65000000</v>
      </c>
      <c r="XAA69" s="61">
        <f t="shared" si="1793"/>
        <v>-65000000</v>
      </c>
      <c r="XAB69" s="61">
        <f t="shared" si="1793"/>
        <v>-65000000</v>
      </c>
      <c r="XAC69" s="61">
        <f t="shared" si="1793"/>
        <v>-65000000</v>
      </c>
      <c r="XAD69" s="61">
        <f t="shared" si="1793"/>
        <v>-65000000</v>
      </c>
      <c r="XAE69" s="61">
        <f t="shared" si="1793"/>
        <v>-65000000</v>
      </c>
      <c r="XAF69" s="61">
        <f t="shared" si="1793"/>
        <v>-65000000</v>
      </c>
      <c r="XAG69" s="61">
        <f t="shared" si="1793"/>
        <v>-65000000</v>
      </c>
      <c r="XAH69" s="61">
        <f t="shared" si="1793"/>
        <v>-65000000</v>
      </c>
      <c r="XAI69" s="61">
        <f t="shared" si="1793"/>
        <v>-65000000</v>
      </c>
      <c r="XAJ69" s="61">
        <f t="shared" si="1793"/>
        <v>-65000000</v>
      </c>
      <c r="XAK69" s="61">
        <f t="shared" si="1793"/>
        <v>-65000000</v>
      </c>
      <c r="XAL69" s="61">
        <f t="shared" si="1793"/>
        <v>-65000000</v>
      </c>
      <c r="XAM69" s="61">
        <f t="shared" si="1793"/>
        <v>-65000000</v>
      </c>
      <c r="XAN69" s="61">
        <f t="shared" si="1793"/>
        <v>-65000000</v>
      </c>
      <c r="XAO69" s="61">
        <f t="shared" si="1793"/>
        <v>-65000000</v>
      </c>
      <c r="XAP69" s="61">
        <f t="shared" si="1793"/>
        <v>-65000000</v>
      </c>
      <c r="XAQ69" s="61">
        <f t="shared" si="1793"/>
        <v>-65000000</v>
      </c>
      <c r="XAR69" s="61">
        <f t="shared" si="1793"/>
        <v>-65000000</v>
      </c>
      <c r="XAS69" s="61">
        <f t="shared" si="1793"/>
        <v>-65000000</v>
      </c>
      <c r="XAT69" s="61">
        <f t="shared" si="1793"/>
        <v>-65000000</v>
      </c>
      <c r="XAU69" s="61">
        <f t="shared" si="1793"/>
        <v>-65000000</v>
      </c>
      <c r="XAV69" s="61">
        <f t="shared" si="1793"/>
        <v>-65000000</v>
      </c>
      <c r="XAW69" s="61">
        <f t="shared" si="1793"/>
        <v>-65000000</v>
      </c>
      <c r="XAX69" s="61">
        <f t="shared" si="1793"/>
        <v>-65000000</v>
      </c>
      <c r="XAY69" s="61">
        <f t="shared" si="1793"/>
        <v>-65000000</v>
      </c>
      <c r="XAZ69" s="61">
        <f t="shared" si="1793"/>
        <v>-65000000</v>
      </c>
      <c r="XBA69" s="61">
        <f t="shared" si="1793"/>
        <v>-65000000</v>
      </c>
      <c r="XBB69" s="61">
        <f t="shared" si="1793"/>
        <v>-65000000</v>
      </c>
      <c r="XBC69" s="61">
        <f t="shared" si="1793"/>
        <v>-65000000</v>
      </c>
      <c r="XBD69" s="61">
        <f t="shared" si="1793"/>
        <v>-65000000</v>
      </c>
      <c r="XBE69" s="61">
        <f t="shared" si="1793"/>
        <v>-65000000</v>
      </c>
      <c r="XBF69" s="61">
        <f t="shared" si="1793"/>
        <v>-65000000</v>
      </c>
      <c r="XBG69" s="61">
        <f t="shared" si="1793"/>
        <v>-65000000</v>
      </c>
      <c r="XBH69" s="61">
        <f t="shared" si="1793"/>
        <v>-65000000</v>
      </c>
      <c r="XBI69" s="61">
        <f t="shared" si="1793"/>
        <v>-65000000</v>
      </c>
      <c r="XBJ69" s="61">
        <f t="shared" si="1793"/>
        <v>-65000000</v>
      </c>
      <c r="XBK69" s="61">
        <f t="shared" ref="XBK69:XDV69" si="1794">XBK68-$EC$11-XBK11</f>
        <v>-65000000</v>
      </c>
      <c r="XBL69" s="61">
        <f t="shared" si="1794"/>
        <v>-65000000</v>
      </c>
      <c r="XBM69" s="61">
        <f t="shared" si="1794"/>
        <v>-65000000</v>
      </c>
      <c r="XBN69" s="61">
        <f t="shared" si="1794"/>
        <v>-65000000</v>
      </c>
      <c r="XBO69" s="61">
        <f t="shared" si="1794"/>
        <v>-65000000</v>
      </c>
      <c r="XBP69" s="61">
        <f t="shared" si="1794"/>
        <v>-65000000</v>
      </c>
      <c r="XBQ69" s="61">
        <f t="shared" si="1794"/>
        <v>-65000000</v>
      </c>
      <c r="XBR69" s="61">
        <f t="shared" si="1794"/>
        <v>-65000000</v>
      </c>
      <c r="XBS69" s="61">
        <f t="shared" si="1794"/>
        <v>-65000000</v>
      </c>
      <c r="XBT69" s="61">
        <f t="shared" si="1794"/>
        <v>-65000000</v>
      </c>
      <c r="XBU69" s="61">
        <f t="shared" si="1794"/>
        <v>-65000000</v>
      </c>
      <c r="XBV69" s="61">
        <f t="shared" si="1794"/>
        <v>-65000000</v>
      </c>
      <c r="XBW69" s="61">
        <f t="shared" si="1794"/>
        <v>-65000000</v>
      </c>
      <c r="XBX69" s="61">
        <f t="shared" si="1794"/>
        <v>-65000000</v>
      </c>
      <c r="XBY69" s="61">
        <f t="shared" si="1794"/>
        <v>-65000000</v>
      </c>
      <c r="XBZ69" s="61">
        <f t="shared" si="1794"/>
        <v>-65000000</v>
      </c>
      <c r="XCA69" s="61">
        <f t="shared" si="1794"/>
        <v>-65000000</v>
      </c>
      <c r="XCB69" s="61">
        <f t="shared" si="1794"/>
        <v>-65000000</v>
      </c>
      <c r="XCC69" s="61">
        <f t="shared" si="1794"/>
        <v>-65000000</v>
      </c>
      <c r="XCD69" s="61">
        <f t="shared" si="1794"/>
        <v>-65000000</v>
      </c>
      <c r="XCE69" s="61">
        <f t="shared" si="1794"/>
        <v>-65000000</v>
      </c>
      <c r="XCF69" s="61">
        <f t="shared" si="1794"/>
        <v>-65000000</v>
      </c>
      <c r="XCG69" s="61">
        <f t="shared" si="1794"/>
        <v>-65000000</v>
      </c>
      <c r="XCH69" s="61">
        <f t="shared" si="1794"/>
        <v>-65000000</v>
      </c>
      <c r="XCI69" s="61">
        <f t="shared" si="1794"/>
        <v>-65000000</v>
      </c>
      <c r="XCJ69" s="61">
        <f t="shared" si="1794"/>
        <v>-65000000</v>
      </c>
      <c r="XCK69" s="61">
        <f t="shared" si="1794"/>
        <v>-65000000</v>
      </c>
      <c r="XCL69" s="61">
        <f t="shared" si="1794"/>
        <v>-65000000</v>
      </c>
      <c r="XCM69" s="61">
        <f t="shared" si="1794"/>
        <v>-65000000</v>
      </c>
      <c r="XCN69" s="61">
        <f t="shared" si="1794"/>
        <v>-65000000</v>
      </c>
      <c r="XCO69" s="61">
        <f t="shared" si="1794"/>
        <v>-65000000</v>
      </c>
      <c r="XCP69" s="61">
        <f t="shared" si="1794"/>
        <v>-65000000</v>
      </c>
      <c r="XCQ69" s="61">
        <f t="shared" si="1794"/>
        <v>-65000000</v>
      </c>
      <c r="XCR69" s="61">
        <f t="shared" si="1794"/>
        <v>-65000000</v>
      </c>
      <c r="XCS69" s="61">
        <f t="shared" si="1794"/>
        <v>-65000000</v>
      </c>
      <c r="XCT69" s="61">
        <f t="shared" si="1794"/>
        <v>-65000000</v>
      </c>
      <c r="XCU69" s="61">
        <f t="shared" si="1794"/>
        <v>-65000000</v>
      </c>
      <c r="XCV69" s="61">
        <f t="shared" si="1794"/>
        <v>-65000000</v>
      </c>
      <c r="XCW69" s="61">
        <f t="shared" si="1794"/>
        <v>-65000000</v>
      </c>
      <c r="XCX69" s="61">
        <f t="shared" si="1794"/>
        <v>-65000000</v>
      </c>
      <c r="XCY69" s="61">
        <f t="shared" si="1794"/>
        <v>-65000000</v>
      </c>
      <c r="XCZ69" s="61">
        <f t="shared" si="1794"/>
        <v>-65000000</v>
      </c>
      <c r="XDA69" s="61">
        <f t="shared" si="1794"/>
        <v>-65000000</v>
      </c>
      <c r="XDB69" s="61">
        <f t="shared" si="1794"/>
        <v>-65000000</v>
      </c>
      <c r="XDC69" s="61">
        <f t="shared" si="1794"/>
        <v>-65000000</v>
      </c>
      <c r="XDD69" s="61">
        <f t="shared" si="1794"/>
        <v>-65000000</v>
      </c>
      <c r="XDE69" s="61">
        <f t="shared" si="1794"/>
        <v>-65000000</v>
      </c>
      <c r="XDF69" s="61">
        <f t="shared" si="1794"/>
        <v>-65000000</v>
      </c>
      <c r="XDG69" s="61">
        <f t="shared" si="1794"/>
        <v>-65000000</v>
      </c>
      <c r="XDH69" s="61">
        <f t="shared" si="1794"/>
        <v>-65000000</v>
      </c>
      <c r="XDI69" s="61">
        <f t="shared" si="1794"/>
        <v>-65000000</v>
      </c>
      <c r="XDJ69" s="61">
        <f t="shared" si="1794"/>
        <v>-65000000</v>
      </c>
      <c r="XDK69" s="61">
        <f t="shared" si="1794"/>
        <v>-65000000</v>
      </c>
      <c r="XDL69" s="61">
        <f t="shared" si="1794"/>
        <v>-65000000</v>
      </c>
      <c r="XDM69" s="61">
        <f t="shared" si="1794"/>
        <v>-65000000</v>
      </c>
      <c r="XDN69" s="61">
        <f t="shared" si="1794"/>
        <v>-65000000</v>
      </c>
      <c r="XDO69" s="61">
        <f t="shared" si="1794"/>
        <v>-65000000</v>
      </c>
      <c r="XDP69" s="61">
        <f t="shared" si="1794"/>
        <v>-65000000</v>
      </c>
      <c r="XDQ69" s="61">
        <f t="shared" si="1794"/>
        <v>-65000000</v>
      </c>
      <c r="XDR69" s="61">
        <f t="shared" si="1794"/>
        <v>-65000000</v>
      </c>
      <c r="XDS69" s="61">
        <f t="shared" si="1794"/>
        <v>-65000000</v>
      </c>
      <c r="XDT69" s="61">
        <f t="shared" si="1794"/>
        <v>-65000000</v>
      </c>
      <c r="XDU69" s="61">
        <f t="shared" si="1794"/>
        <v>-65000000</v>
      </c>
      <c r="XDV69" s="61">
        <f t="shared" si="1794"/>
        <v>-65000000</v>
      </c>
      <c r="XDW69" s="61">
        <f t="shared" ref="XDW69:XFD69" si="1795">XDW68-$EC$11-XDW11</f>
        <v>-65000000</v>
      </c>
      <c r="XDX69" s="61">
        <f t="shared" si="1795"/>
        <v>-65000000</v>
      </c>
      <c r="XDY69" s="61">
        <f t="shared" si="1795"/>
        <v>-65000000</v>
      </c>
      <c r="XDZ69" s="61">
        <f t="shared" si="1795"/>
        <v>-65000000</v>
      </c>
      <c r="XEA69" s="61">
        <f t="shared" si="1795"/>
        <v>-65000000</v>
      </c>
      <c r="XEB69" s="61">
        <f t="shared" si="1795"/>
        <v>-65000000</v>
      </c>
      <c r="XEC69" s="61">
        <f t="shared" si="1795"/>
        <v>-65000000</v>
      </c>
      <c r="XED69" s="61">
        <f t="shared" si="1795"/>
        <v>-65000000</v>
      </c>
      <c r="XEE69" s="61">
        <f t="shared" si="1795"/>
        <v>-65000000</v>
      </c>
      <c r="XEF69" s="61">
        <f t="shared" si="1795"/>
        <v>-65000000</v>
      </c>
      <c r="XEG69" s="61">
        <f t="shared" si="1795"/>
        <v>-65000000</v>
      </c>
      <c r="XEH69" s="61">
        <f t="shared" si="1795"/>
        <v>-65000000</v>
      </c>
      <c r="XEI69" s="61">
        <f t="shared" si="1795"/>
        <v>-65000000</v>
      </c>
      <c r="XEJ69" s="61">
        <f t="shared" si="1795"/>
        <v>-65000000</v>
      </c>
      <c r="XEK69" s="61">
        <f t="shared" si="1795"/>
        <v>-65000000</v>
      </c>
      <c r="XEL69" s="61">
        <f t="shared" si="1795"/>
        <v>-65000000</v>
      </c>
      <c r="XEM69" s="61">
        <f t="shared" si="1795"/>
        <v>-65000000</v>
      </c>
      <c r="XEN69" s="61">
        <f t="shared" si="1795"/>
        <v>-65000000</v>
      </c>
      <c r="XEO69" s="61">
        <f t="shared" si="1795"/>
        <v>-65000000</v>
      </c>
      <c r="XEP69" s="61">
        <f t="shared" si="1795"/>
        <v>-65000000</v>
      </c>
      <c r="XEQ69" s="61">
        <f t="shared" si="1795"/>
        <v>-65000000</v>
      </c>
      <c r="XER69" s="61">
        <f t="shared" si="1795"/>
        <v>-65000000</v>
      </c>
      <c r="XES69" s="61">
        <f t="shared" si="1795"/>
        <v>-65000000</v>
      </c>
      <c r="XET69" s="61">
        <f t="shared" si="1795"/>
        <v>-65000000</v>
      </c>
      <c r="XEU69" s="61">
        <f t="shared" si="1795"/>
        <v>-65000000</v>
      </c>
      <c r="XEV69" s="61">
        <f t="shared" si="1795"/>
        <v>-65000000</v>
      </c>
      <c r="XEW69" s="61">
        <f t="shared" si="1795"/>
        <v>-65000000</v>
      </c>
      <c r="XEX69" s="61">
        <f t="shared" si="1795"/>
        <v>-65000000</v>
      </c>
      <c r="XEY69" s="61">
        <f t="shared" si="1795"/>
        <v>-65000000</v>
      </c>
      <c r="XEZ69" s="61">
        <f t="shared" si="1795"/>
        <v>-65000000</v>
      </c>
      <c r="XFA69" s="61">
        <f t="shared" si="1795"/>
        <v>-65000000</v>
      </c>
      <c r="XFB69" s="61">
        <f t="shared" si="1795"/>
        <v>-65000000</v>
      </c>
      <c r="XFC69" s="61">
        <f t="shared" si="1795"/>
        <v>-65000000</v>
      </c>
      <c r="XFD69" s="61">
        <f t="shared" si="1795"/>
        <v>-65000000</v>
      </c>
    </row>
    <row r="70" spans="1:16384" ht="15.75" thickBot="1">
      <c r="A70" s="8"/>
      <c r="B70" s="8"/>
      <c r="N70" s="237"/>
      <c r="AG70" s="237"/>
      <c r="BD70" s="237"/>
      <c r="BX70" s="237"/>
      <c r="CT70" s="237"/>
      <c r="DO70" s="237"/>
      <c r="ED70" s="146" t="s">
        <v>49</v>
      </c>
      <c r="EE70" s="860"/>
      <c r="EJ70" s="828" t="s">
        <v>96</v>
      </c>
      <c r="EK70" s="488"/>
      <c r="EQ70" s="694">
        <v>1</v>
      </c>
      <c r="ER70" s="685" t="s">
        <v>159</v>
      </c>
      <c r="EY70" s="146" t="s">
        <v>49</v>
      </c>
      <c r="FF70" s="861" t="s">
        <v>49</v>
      </c>
      <c r="FH70" s="862"/>
      <c r="FJ70" s="488"/>
      <c r="FK70" s="862"/>
      <c r="FL70" s="694">
        <v>2</v>
      </c>
      <c r="FM70" s="417" t="s">
        <v>159</v>
      </c>
      <c r="FZ70" s="882"/>
      <c r="GA70" s="604"/>
      <c r="GB70" s="895">
        <v>3</v>
      </c>
      <c r="GF70" s="383" t="s">
        <v>49</v>
      </c>
      <c r="GG70" s="860" t="s">
        <v>159</v>
      </c>
      <c r="GU70" s="704"/>
      <c r="GV70" s="604" t="s">
        <v>49</v>
      </c>
      <c r="HA70" s="896">
        <v>4</v>
      </c>
      <c r="HP70" s="358"/>
      <c r="HQ70" s="604" t="s">
        <v>49</v>
      </c>
      <c r="HS70" s="895">
        <v>5</v>
      </c>
      <c r="IL70" s="237"/>
      <c r="JJ70" s="8"/>
    </row>
    <row r="71" spans="1:16384" ht="15" thickBot="1">
      <c r="L71" s="889" t="s">
        <v>161</v>
      </c>
      <c r="BO71" s="902">
        <v>0</v>
      </c>
      <c r="CM71" s="219" t="s">
        <v>49</v>
      </c>
      <c r="DO71" s="260"/>
      <c r="EG71" s="172"/>
      <c r="EJ71" s="546">
        <f>+'FY-10, FEB-10 - JAN-11'!EJ68</f>
        <v>20793213.48549987</v>
      </c>
      <c r="EK71" s="547" t="s">
        <v>195</v>
      </c>
      <c r="EM71" s="124"/>
      <c r="EQ71" s="862" t="s">
        <v>49</v>
      </c>
      <c r="FB71" s="172"/>
      <c r="FC71" s="170"/>
      <c r="FF71" s="546">
        <f>+'FY-10, FEB-10 - JAN-11'!FF68</f>
        <v>37427779.515499882</v>
      </c>
      <c r="FG71" s="547" t="s">
        <v>195</v>
      </c>
      <c r="FJ71" s="488"/>
      <c r="FL71" s="860"/>
      <c r="FZ71" s="550">
        <f>+'FY-10, FEB-10 - JAN-11'!GA68</f>
        <v>106659757.10549991</v>
      </c>
      <c r="GA71" s="547" t="s">
        <v>195</v>
      </c>
      <c r="GK71" s="172"/>
      <c r="GU71" s="546">
        <f>+'FY-10, FEB-10 - JAN-11'!GU68</f>
        <v>108053981.20549996</v>
      </c>
      <c r="GV71" s="547" t="s">
        <v>195</v>
      </c>
      <c r="HE71" s="172"/>
      <c r="HP71" s="548">
        <f>+'FY-10, FEB-10 - JAN-11'!HP68</f>
        <v>79089215.345499933</v>
      </c>
      <c r="HQ71" s="547" t="s">
        <v>195</v>
      </c>
      <c r="JE71" s="889" t="s">
        <v>161</v>
      </c>
    </row>
    <row r="72" spans="1:16384" ht="16.5">
      <c r="L72" s="890" t="s">
        <v>172</v>
      </c>
      <c r="BO72" s="124"/>
      <c r="DO72" s="457"/>
      <c r="EG72" s="786"/>
      <c r="EJ72" s="546">
        <f>+'FY-10, FEB-10 - JAN-11'!EJ69</f>
        <v>-9206786.51450013</v>
      </c>
      <c r="EK72" s="547" t="s">
        <v>194</v>
      </c>
      <c r="FB72" s="786"/>
      <c r="FC72" s="383"/>
      <c r="FF72" s="546">
        <f>+'FY-10, FEB-10 - JAN-11'!FF69</f>
        <v>-42572220.484500118</v>
      </c>
      <c r="FG72" s="547" t="s">
        <v>194</v>
      </c>
      <c r="FI72" s="140"/>
      <c r="FZ72" s="549">
        <f>+'FY-10, FEB-10 - JAN-11'!GA69</f>
        <v>26659757.105499908</v>
      </c>
      <c r="GA72" s="547" t="s">
        <v>194</v>
      </c>
      <c r="GK72" s="786"/>
      <c r="GU72" s="546">
        <f>+'FY-10, FEB-10 - JAN-11'!GU69</f>
        <v>28053981.205499962</v>
      </c>
      <c r="GV72" s="547" t="s">
        <v>194</v>
      </c>
      <c r="HE72" s="786"/>
      <c r="HP72" s="549">
        <f>+'FY-10, FEB-10 - JAN-11'!HP69</f>
        <v>-910784.65450006723</v>
      </c>
      <c r="HQ72" s="547" t="s">
        <v>194</v>
      </c>
      <c r="JE72" s="890" t="s">
        <v>172</v>
      </c>
    </row>
    <row r="73" spans="1:16384" ht="16.5" customHeight="1">
      <c r="M73" s="323"/>
      <c r="DO73" s="457"/>
      <c r="EG73" s="787"/>
      <c r="EH73" s="124"/>
      <c r="EI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787"/>
      <c r="FC73" s="382"/>
      <c r="FD73" s="124"/>
      <c r="FE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D73" s="124"/>
      <c r="GE73" s="124"/>
      <c r="GF73" s="124"/>
      <c r="GG73" s="124"/>
      <c r="GH73" s="124"/>
      <c r="GI73" s="124"/>
      <c r="GK73" s="787"/>
      <c r="GL73" s="124"/>
      <c r="GM73" s="124"/>
      <c r="GN73" s="124"/>
      <c r="GO73" s="124"/>
      <c r="GP73" s="124"/>
      <c r="GQ73" s="124"/>
      <c r="GR73" s="124"/>
      <c r="GS73" s="124"/>
      <c r="GT73" s="124"/>
      <c r="GW73" s="124"/>
      <c r="GX73" s="124"/>
      <c r="GY73" s="124"/>
      <c r="GZ73" s="124"/>
      <c r="HA73" s="124"/>
      <c r="HB73" s="124"/>
      <c r="HC73" s="124"/>
      <c r="HD73" s="124"/>
      <c r="HE73" s="787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R73" s="124"/>
      <c r="HS73" s="124"/>
    </row>
    <row r="74" spans="1:16384">
      <c r="Q74" s="140"/>
      <c r="DO74" s="8" t="s">
        <v>49</v>
      </c>
      <c r="EG74" s="788"/>
      <c r="EJ74" s="124"/>
      <c r="FB74" s="788"/>
      <c r="FC74" s="384"/>
      <c r="GK74" s="788"/>
      <c r="GU74" s="124"/>
      <c r="HE74" s="788"/>
    </row>
    <row r="75" spans="1:16384" ht="17.25" thickBot="1">
      <c r="G75" s="528" t="s">
        <v>241</v>
      </c>
      <c r="I75" s="140"/>
      <c r="J75" s="847"/>
      <c r="N75" s="528" t="s">
        <v>242</v>
      </c>
      <c r="Q75" s="140"/>
      <c r="EG75" s="787"/>
      <c r="EI75" s="540" t="s">
        <v>253</v>
      </c>
      <c r="EJ75" s="529">
        <f>+HQ68</f>
        <v>213548587.18304548</v>
      </c>
      <c r="EK75" s="140"/>
      <c r="FB75" s="787"/>
      <c r="FC75" s="382"/>
      <c r="GA75" s="124"/>
      <c r="GK75" s="787"/>
      <c r="GU75" s="124"/>
      <c r="HE75" s="787"/>
    </row>
    <row r="76" spans="1:16384" ht="17.25" thickBot="1">
      <c r="F76" s="527" t="s">
        <v>183</v>
      </c>
      <c r="G76" s="525">
        <f>+G33/G47</f>
        <v>3.6078259378298672E-2</v>
      </c>
      <c r="H76" s="323" t="s">
        <v>177</v>
      </c>
      <c r="I76" s="848"/>
      <c r="J76" s="536"/>
      <c r="L76" s="527" t="s">
        <v>183</v>
      </c>
      <c r="M76" s="527" t="s">
        <v>183</v>
      </c>
      <c r="N76" s="525">
        <f>+N33/N47</f>
        <v>2.5981163179791315E-2</v>
      </c>
      <c r="O76" s="323" t="s">
        <v>177</v>
      </c>
      <c r="Q76" s="536"/>
      <c r="EG76" s="789"/>
      <c r="EI76" s="706" t="s">
        <v>248</v>
      </c>
      <c r="EJ76" s="884">
        <v>0.9</v>
      </c>
      <c r="FB76" s="789"/>
      <c r="GK76" s="789"/>
      <c r="HE76" s="789"/>
    </row>
    <row r="77" spans="1:16384" ht="17.25" thickBot="1">
      <c r="F77" s="527" t="s">
        <v>184</v>
      </c>
      <c r="G77" s="526">
        <f>+H36/G47</f>
        <v>0.13487524696181499</v>
      </c>
      <c r="H77" s="323" t="s">
        <v>177</v>
      </c>
      <c r="I77" s="323"/>
      <c r="L77" s="527" t="s">
        <v>184</v>
      </c>
      <c r="M77" s="527" t="s">
        <v>184</v>
      </c>
      <c r="N77" s="526">
        <f>+O36/N47</f>
        <v>0.17313863414157663</v>
      </c>
      <c r="O77" s="323" t="s">
        <v>177</v>
      </c>
      <c r="Q77" s="536"/>
      <c r="EI77" s="524" t="s">
        <v>189</v>
      </c>
      <c r="EJ77" s="884">
        <v>0.9</v>
      </c>
      <c r="EL77" s="359"/>
      <c r="EM77" s="253" t="s">
        <v>135</v>
      </c>
      <c r="FC77" s="384"/>
    </row>
    <row r="78" spans="1:16384" ht="15" thickBot="1">
      <c r="Q78" s="140"/>
      <c r="EG78" s="384"/>
      <c r="EI78" s="524" t="s">
        <v>190</v>
      </c>
      <c r="EJ78" s="859">
        <v>0.7</v>
      </c>
      <c r="FC78" s="384"/>
    </row>
    <row r="79" spans="1:16384" ht="15" thickBot="1">
      <c r="C79" s="262" t="s">
        <v>90</v>
      </c>
      <c r="D79" s="262" t="s">
        <v>88</v>
      </c>
      <c r="E79" s="509" t="s">
        <v>178</v>
      </c>
      <c r="F79" s="262" t="s">
        <v>90</v>
      </c>
      <c r="G79" s="262" t="s">
        <v>88</v>
      </c>
      <c r="H79" s="509" t="s">
        <v>178</v>
      </c>
      <c r="I79" s="262" t="s">
        <v>90</v>
      </c>
      <c r="J79" s="262" t="s">
        <v>88</v>
      </c>
      <c r="K79" s="625" t="s">
        <v>178</v>
      </c>
      <c r="EI79" s="524" t="s">
        <v>80</v>
      </c>
      <c r="EJ79" s="885">
        <v>0.8</v>
      </c>
      <c r="EL79" s="272"/>
      <c r="EM79" s="253" t="s">
        <v>83</v>
      </c>
    </row>
    <row r="80" spans="1:16384" ht="15" thickBot="1">
      <c r="C80" s="472">
        <v>39828</v>
      </c>
      <c r="D80" s="263">
        <v>57354427.729999997</v>
      </c>
      <c r="E80" s="477" t="s">
        <v>167</v>
      </c>
      <c r="F80" s="472">
        <v>40193</v>
      </c>
      <c r="G80" s="470">
        <f>+D93</f>
        <v>54918399.969999999</v>
      </c>
      <c r="H80" s="476" t="s">
        <v>167</v>
      </c>
      <c r="I80" s="469">
        <v>40558</v>
      </c>
      <c r="J80" s="470">
        <f>+G93</f>
        <v>55027409.409999996</v>
      </c>
      <c r="K80" s="477" t="s">
        <v>167</v>
      </c>
      <c r="V80" s="467"/>
      <c r="EI80" s="706" t="s">
        <v>255</v>
      </c>
      <c r="EJ80" s="883">
        <v>0.8</v>
      </c>
    </row>
    <row r="81" spans="3:22" ht="6.75" customHeight="1">
      <c r="F81" s="468"/>
      <c r="G81" s="474"/>
      <c r="H81" s="466"/>
      <c r="I81" s="475"/>
      <c r="J81" s="474"/>
      <c r="K81" s="471"/>
      <c r="V81" s="467"/>
    </row>
    <row r="82" spans="3:22">
      <c r="C82" s="532">
        <v>39859</v>
      </c>
      <c r="D82" s="533">
        <v>53978285.130000003</v>
      </c>
      <c r="E82" s="534">
        <v>0.94113544963096096</v>
      </c>
      <c r="F82" s="532">
        <v>40224</v>
      </c>
      <c r="G82" s="533">
        <v>57643260.780000001</v>
      </c>
      <c r="H82" s="534">
        <v>1.0496165367433956</v>
      </c>
      <c r="I82" s="506">
        <v>40589</v>
      </c>
      <c r="J82" s="507">
        <f>+N47</f>
        <v>55377050.289999999</v>
      </c>
      <c r="K82" s="508">
        <f>+J82/J$80</f>
        <v>1.0063539404044062</v>
      </c>
      <c r="L82" s="510" t="s">
        <v>188</v>
      </c>
    </row>
    <row r="83" spans="3:22">
      <c r="C83" s="398">
        <v>39885</v>
      </c>
      <c r="D83" s="397">
        <v>54541475.32</v>
      </c>
      <c r="E83" s="531">
        <v>0.95095492150593552</v>
      </c>
      <c r="F83" s="398">
        <v>40252</v>
      </c>
      <c r="G83" s="397">
        <v>55449056.049999997</v>
      </c>
      <c r="H83" s="531">
        <v>1.0096626281954659</v>
      </c>
      <c r="I83" s="622">
        <v>40617</v>
      </c>
      <c r="J83" s="623">
        <f>+AG47</f>
        <v>54963461.490000002</v>
      </c>
      <c r="K83" s="624">
        <f t="shared" ref="K83:K86" si="1796">+J83/J$80</f>
        <v>0.99883788968651011</v>
      </c>
      <c r="L83" s="679" t="s">
        <v>218</v>
      </c>
    </row>
    <row r="84" spans="3:22">
      <c r="C84" s="398">
        <v>39918</v>
      </c>
      <c r="D84" s="397">
        <v>56435928.600000001</v>
      </c>
      <c r="E84" s="531">
        <v>0.98398555845899305</v>
      </c>
      <c r="F84" s="398">
        <v>40283</v>
      </c>
      <c r="G84" s="397">
        <v>55352797.789999999</v>
      </c>
      <c r="H84" s="531">
        <v>1.0079098775681246</v>
      </c>
      <c r="I84" s="622">
        <v>40648</v>
      </c>
      <c r="J84" s="623">
        <f>+BD47</f>
        <v>58719956.82</v>
      </c>
      <c r="K84" s="624">
        <f t="shared" si="1796"/>
        <v>1.0671037842702615</v>
      </c>
      <c r="L84" s="798" t="s">
        <v>210</v>
      </c>
    </row>
    <row r="85" spans="3:22">
      <c r="C85" s="398">
        <v>39948</v>
      </c>
      <c r="D85" s="397">
        <v>60449640.920000002</v>
      </c>
      <c r="E85" s="531">
        <v>1.0539664209461026</v>
      </c>
      <c r="F85" s="398">
        <v>40313</v>
      </c>
      <c r="G85" s="397">
        <v>60379489.789999999</v>
      </c>
      <c r="H85" s="531">
        <v>1.0994400751475499</v>
      </c>
      <c r="I85" s="622">
        <v>40678</v>
      </c>
      <c r="J85" s="623">
        <f>+BX47</f>
        <v>60282949.280000001</v>
      </c>
      <c r="K85" s="624">
        <f t="shared" si="1796"/>
        <v>1.0955076738365395</v>
      </c>
      <c r="L85" s="798" t="s">
        <v>210</v>
      </c>
    </row>
    <row r="86" spans="3:22">
      <c r="C86" s="398">
        <v>39979</v>
      </c>
      <c r="D86" s="397">
        <v>54545058.329999998</v>
      </c>
      <c r="E86" s="531">
        <v>0.95101739288158704</v>
      </c>
      <c r="F86" s="398">
        <v>40344</v>
      </c>
      <c r="G86" s="397">
        <v>54834242.25</v>
      </c>
      <c r="H86" s="531">
        <v>0.99846758609052755</v>
      </c>
      <c r="I86" s="622">
        <v>40709</v>
      </c>
      <c r="J86" s="623">
        <f>+CT47</f>
        <v>54701054.770000003</v>
      </c>
      <c r="K86" s="624">
        <f t="shared" si="1796"/>
        <v>0.99406923488677468</v>
      </c>
      <c r="L86" s="258">
        <f t="shared" ref="L86:L88" si="1797">+J86-G86</f>
        <v>-133187.47999999672</v>
      </c>
      <c r="M86" s="8" t="s">
        <v>261</v>
      </c>
    </row>
    <row r="87" spans="3:22">
      <c r="C87" s="398">
        <v>40009</v>
      </c>
      <c r="D87" s="397">
        <v>58097699.210000001</v>
      </c>
      <c r="E87" s="531">
        <v>1.0129592693958871</v>
      </c>
      <c r="F87" s="398">
        <v>40374</v>
      </c>
      <c r="G87" s="397">
        <v>56780764.920000002</v>
      </c>
      <c r="H87" s="531">
        <v>1.0339114932521223</v>
      </c>
      <c r="I87" s="799">
        <v>40739</v>
      </c>
      <c r="J87" s="800">
        <f t="shared" ref="J87:J88" si="1798">K87*J$80</f>
        <v>54666175.450495467</v>
      </c>
      <c r="K87" s="801">
        <f>((E87+H87)/2)-3%</f>
        <v>0.99343538132400466</v>
      </c>
      <c r="L87" s="258">
        <f t="shared" si="1797"/>
        <v>-2114589.4695045352</v>
      </c>
      <c r="M87" s="798" t="s">
        <v>251</v>
      </c>
    </row>
    <row r="88" spans="3:22">
      <c r="C88" s="398">
        <v>40040</v>
      </c>
      <c r="D88" s="397">
        <v>54887530.409999996</v>
      </c>
      <c r="E88" s="531">
        <v>0.9569885461744454</v>
      </c>
      <c r="F88" s="398">
        <v>40405</v>
      </c>
      <c r="G88" s="397">
        <v>56620442.710000001</v>
      </c>
      <c r="H88" s="531">
        <v>1.0309922128272084</v>
      </c>
      <c r="I88" s="799">
        <v>40770</v>
      </c>
      <c r="J88" s="800">
        <f t="shared" si="1798"/>
        <v>53045893.280093268</v>
      </c>
      <c r="K88" s="801">
        <f>((E88+H88)/2)-3%</f>
        <v>0.96399037950082689</v>
      </c>
      <c r="L88" s="258">
        <f t="shared" si="1797"/>
        <v>-3574549.4299067333</v>
      </c>
    </row>
    <row r="89" spans="3:22">
      <c r="C89" s="395">
        <v>40071</v>
      </c>
      <c r="D89" s="396">
        <v>56387650.93</v>
      </c>
      <c r="E89" s="697">
        <v>0.98314381577388987</v>
      </c>
      <c r="F89" s="395">
        <v>40436</v>
      </c>
      <c r="G89" s="396">
        <v>56609470.280000001</v>
      </c>
      <c r="H89" s="697">
        <v>1.030792417676476</v>
      </c>
      <c r="I89" s="799">
        <v>40801</v>
      </c>
      <c r="J89" s="800">
        <f>+J$80*K89</f>
        <v>52659476.351353303</v>
      </c>
      <c r="K89" s="801">
        <f>((E89+H89)/2)-5%</f>
        <v>0.95696811672518289</v>
      </c>
      <c r="L89" s="258">
        <f>+J89-G89</f>
        <v>-3949993.9286466986</v>
      </c>
      <c r="M89" s="8" t="s">
        <v>262</v>
      </c>
    </row>
    <row r="90" spans="3:22">
      <c r="C90" s="395">
        <v>40101</v>
      </c>
      <c r="D90" s="396">
        <v>57761146.490000002</v>
      </c>
      <c r="E90" s="697">
        <v>1.0070913227818201</v>
      </c>
      <c r="F90" s="395">
        <v>40466</v>
      </c>
      <c r="G90" s="396">
        <v>56944641.719999999</v>
      </c>
      <c r="H90" s="697">
        <v>1.0368954986144328</v>
      </c>
      <c r="I90" s="799">
        <v>40831</v>
      </c>
      <c r="J90" s="800">
        <f>(+J$80*K90)+GJ47</f>
        <v>56455957.037308067</v>
      </c>
      <c r="K90" s="801">
        <f>((E90+H90)/2)-5%</f>
        <v>0.97199341069812628</v>
      </c>
      <c r="L90" s="258">
        <f t="shared" ref="L90:L93" si="1799">+J90-G90</f>
        <v>-488684.68269193172</v>
      </c>
      <c r="M90" s="604" t="s">
        <v>265</v>
      </c>
    </row>
    <row r="91" spans="3:22">
      <c r="C91" s="734">
        <v>40132</v>
      </c>
      <c r="D91" s="735">
        <v>58268806.479999997</v>
      </c>
      <c r="E91" s="736">
        <v>1.0159426008799965</v>
      </c>
      <c r="F91" s="734">
        <v>40497</v>
      </c>
      <c r="G91" s="735">
        <v>55872140.599999994</v>
      </c>
      <c r="H91" s="736">
        <v>1.017366504314055</v>
      </c>
      <c r="I91" s="802">
        <v>40862</v>
      </c>
      <c r="J91" s="800">
        <f t="shared" ref="J91:J93" si="1800">+J$80*K91</f>
        <v>53192495.823796913</v>
      </c>
      <c r="K91" s="801">
        <f>((E91+H91)/2)-5%</f>
        <v>0.96665455259702582</v>
      </c>
      <c r="L91" s="258">
        <f t="shared" si="1799"/>
        <v>-2679644.776203081</v>
      </c>
    </row>
    <row r="92" spans="3:22">
      <c r="C92" s="734">
        <v>40162</v>
      </c>
      <c r="D92" s="735">
        <v>59201249.619999997</v>
      </c>
      <c r="E92" s="736">
        <v>1.0322001624476849</v>
      </c>
      <c r="F92" s="734">
        <v>40527</v>
      </c>
      <c r="G92" s="735">
        <v>61641710.329999998</v>
      </c>
      <c r="H92" s="736">
        <v>1.1224236387744855</v>
      </c>
      <c r="I92" s="802">
        <v>40892</v>
      </c>
      <c r="J92" s="800">
        <f t="shared" si="1800"/>
        <v>56530312.54669141</v>
      </c>
      <c r="K92" s="801">
        <f>((E92+H92)/2)-5%</f>
        <v>1.0273119006110851</v>
      </c>
      <c r="L92" s="258">
        <f t="shared" si="1799"/>
        <v>-5111397.783308588</v>
      </c>
      <c r="M92" s="604" t="s">
        <v>267</v>
      </c>
    </row>
    <row r="93" spans="3:22">
      <c r="C93" s="403">
        <v>40193</v>
      </c>
      <c r="D93" s="404">
        <v>54918399.969999999</v>
      </c>
      <c r="E93" s="405">
        <v>0.95752677070604264</v>
      </c>
      <c r="F93" s="403">
        <v>40558</v>
      </c>
      <c r="G93" s="404">
        <v>55027409.409999996</v>
      </c>
      <c r="H93" s="405">
        <v>1.0019849347406251</v>
      </c>
      <c r="I93" s="803">
        <v>40923</v>
      </c>
      <c r="J93" s="800">
        <f t="shared" si="1800"/>
        <v>51162055.959150553</v>
      </c>
      <c r="K93" s="801">
        <f>((E93+H93)/2)-5%</f>
        <v>0.92975585272333383</v>
      </c>
      <c r="L93" s="258">
        <f t="shared" si="1799"/>
        <v>-3865353.4508494437</v>
      </c>
    </row>
    <row r="94" spans="3:22">
      <c r="C94" s="258"/>
      <c r="D94" s="505">
        <f>SUM(D82:D93)</f>
        <v>679472871.40999997</v>
      </c>
      <c r="F94" s="258"/>
      <c r="G94" s="473">
        <f>SUM(G82:G93)</f>
        <v>683155426.63</v>
      </c>
      <c r="H94" s="458">
        <f>+G94/D94</f>
        <v>1.0054197236931008</v>
      </c>
      <c r="J94" s="473">
        <f>SUM(J82:J93)</f>
        <v>661756839.09888887</v>
      </c>
      <c r="K94" s="812">
        <f>+J94/G94</f>
        <v>0.96867683883202071</v>
      </c>
      <c r="L94" s="858">
        <f>SUM(L86:L93)</f>
        <v>-21917401.001111008</v>
      </c>
    </row>
    <row r="95" spans="3:22">
      <c r="F95" s="258"/>
      <c r="G95" s="258">
        <f>+G94-D94</f>
        <v>3682555.2200000286</v>
      </c>
      <c r="J95" s="263">
        <f>+J94-G94</f>
        <v>-21398587.531111121</v>
      </c>
      <c r="K95" s="458"/>
    </row>
    <row r="96" spans="3:22">
      <c r="F96" s="258"/>
    </row>
    <row r="97" spans="6:14">
      <c r="I97" s="811" t="s">
        <v>250</v>
      </c>
      <c r="J97" s="809">
        <f>+N47+G47+Q47</f>
        <v>60826017.380000003</v>
      </c>
      <c r="K97" s="8" t="s">
        <v>94</v>
      </c>
      <c r="M97" s="124"/>
    </row>
    <row r="98" spans="6:14">
      <c r="I98" s="746" t="s">
        <v>249</v>
      </c>
      <c r="J98" s="810">
        <f>+Z32</f>
        <v>16397102.98</v>
      </c>
      <c r="K98" s="8" t="s">
        <v>91</v>
      </c>
      <c r="M98" s="124"/>
    </row>
    <row r="99" spans="6:14">
      <c r="I99" s="258"/>
      <c r="K99" s="463">
        <f>+J98/J97</f>
        <v>0.26957383840473953</v>
      </c>
      <c r="N99" s="544"/>
    </row>
    <row r="100" spans="6:14">
      <c r="F100" s="258"/>
      <c r="K100" s="253" t="s">
        <v>95</v>
      </c>
      <c r="N100" s="253"/>
    </row>
    <row r="101" spans="6:14">
      <c r="F101" s="258"/>
    </row>
    <row r="102" spans="6:14">
      <c r="F102" s="258"/>
      <c r="J102" s="478" t="s">
        <v>88</v>
      </c>
      <c r="K102" s="461" t="s">
        <v>164</v>
      </c>
    </row>
    <row r="103" spans="6:14">
      <c r="F103" s="258"/>
      <c r="J103" s="459" t="s">
        <v>162</v>
      </c>
      <c r="K103" s="462">
        <f>'FY-10, FEB-10 - JAN-11'!IU74</f>
        <v>2.5648928636556625E-2</v>
      </c>
    </row>
    <row r="104" spans="6:14">
      <c r="F104" s="258"/>
      <c r="J104" s="459" t="s">
        <v>163</v>
      </c>
      <c r="K104" s="462">
        <f>'FY-10, FEB-10 - JAN-11'!IU75</f>
        <v>0.16818454265222779</v>
      </c>
    </row>
    <row r="105" spans="6:14">
      <c r="F105" s="258"/>
    </row>
    <row r="106" spans="6:14">
      <c r="J106" s="478" t="s">
        <v>168</v>
      </c>
      <c r="K106" s="461" t="s">
        <v>169</v>
      </c>
    </row>
    <row r="107" spans="6:14">
      <c r="J107" s="459" t="s">
        <v>162</v>
      </c>
      <c r="K107" s="462">
        <f>'FY-10, FEB-10 - JAN-11'!IV74</f>
        <v>3.915190667676742E-2</v>
      </c>
    </row>
    <row r="108" spans="6:14">
      <c r="J108" s="459" t="s">
        <v>163</v>
      </c>
      <c r="K108" s="462">
        <f>'FY-10, FEB-10 - JAN-11'!IV75</f>
        <v>9.8215125686833493E-2</v>
      </c>
    </row>
    <row r="109" spans="6:14">
      <c r="J109" s="855" t="s">
        <v>252</v>
      </c>
      <c r="K109" s="462">
        <v>0.9</v>
      </c>
    </row>
  </sheetData>
  <sheetProtection insertColumns="0" insertRows="0"/>
  <mergeCells count="8">
    <mergeCell ref="HV1:HX2"/>
    <mergeCell ref="Q1:R2"/>
    <mergeCell ref="CJ1:CK2"/>
    <mergeCell ref="DG1:DH2"/>
    <mergeCell ref="EY1:EZ2"/>
    <mergeCell ref="GS1:GT2"/>
    <mergeCell ref="HB1:HC2"/>
    <mergeCell ref="FV1:FW2"/>
  </mergeCells>
  <pageMargins left="0.7" right="0.7" top="0.75" bottom="0.75" header="0.3" footer="0.3"/>
  <pageSetup scale="10" orientation="landscape" horizontalDpi="1200" verticalDpi="1200" r:id="rId1"/>
  <ignoredErrors>
    <ignoredError sqref="AO16 AO4 AO6 AO49 AO53:AO55 AO58:AO66 AO68:AO69" unlockedFormula="1"/>
    <ignoredError sqref="FB2 JI13 JI18" formulaRange="1"/>
    <ignoredError sqref="JA32 JG34 IX47:JB47 JC47:JH47 EC69 BO63 CI60 DE60 DZ60 J90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FY-08, FEB-08 - Jan-09, DATA</vt:lpstr>
      <vt:lpstr>FY-08, FEB-08 - Jan-09, wo TANs</vt:lpstr>
      <vt:lpstr>FY-08, FEB-08 - Jan-09, w-TANs</vt:lpstr>
      <vt:lpstr>FY-09, FEB-09 - JAN-10 wo TANs</vt:lpstr>
      <vt:lpstr>FY-09, FEB-09 - JAN-10, w TANs</vt:lpstr>
      <vt:lpstr>Analysis &amp; Draws, 2010-11</vt:lpstr>
      <vt:lpstr>FY-10, FEB-10 - JAN-11</vt:lpstr>
      <vt:lpstr>Analysis &amp; Draws, 2011-12</vt:lpstr>
      <vt:lpstr>FY-11, FEB-11 - JAN-12, w SFSF</vt:lpstr>
      <vt:lpstr>'Analysis &amp; Draws, 2010-11'!Print_Area</vt:lpstr>
      <vt:lpstr>'Analysis &amp; Draws, 2011-12'!Print_Area</vt:lpstr>
      <vt:lpstr>'FY-08, FEB-08 - Jan-09, DATA'!Print_Area</vt:lpstr>
      <vt:lpstr>'FY-08, FEB-08 - Jan-09, wo TANs'!Print_Area</vt:lpstr>
      <vt:lpstr>'FY-08, FEB-08 - Jan-09, w-TANs'!Print_Area</vt:lpstr>
      <vt:lpstr>'FY-09, FEB-09 - JAN-10 wo TANs'!Print_Area</vt:lpstr>
      <vt:lpstr>'FY-09, FEB-09 - JAN-10, w TANs'!Print_Area</vt:lpstr>
      <vt:lpstr>'FY-10, FEB-10 - JAN-11'!Print_Area</vt:lpstr>
      <vt:lpstr>'FY-11, FEB-11 - JAN-12, w SFSF'!Print_Area</vt:lpstr>
      <vt:lpstr>'FY-08, FEB-08 - Jan-09, DATA'!Print_Titles</vt:lpstr>
      <vt:lpstr>'FY-08, FEB-08 - Jan-09, wo TANs'!Print_Titles</vt:lpstr>
      <vt:lpstr>'FY-08, FEB-08 - Jan-09, w-TANs'!Print_Titles</vt:lpstr>
      <vt:lpstr>'FY-09, FEB-09 - JAN-10 wo TANs'!Print_Titles</vt:lpstr>
      <vt:lpstr>'FY-09, FEB-09 - JAN-10, w TANs'!Print_Titles</vt:lpstr>
    </vt:vector>
  </TitlesOfParts>
  <Company>Dallas Public Schools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Dallas ISD</dc:creator>
  <cp:lastModifiedBy>DISD</cp:lastModifiedBy>
  <cp:lastPrinted>2011-06-20T16:37:42Z</cp:lastPrinted>
  <dcterms:created xsi:type="dcterms:W3CDTF">2000-10-31T20:05:11Z</dcterms:created>
  <dcterms:modified xsi:type="dcterms:W3CDTF">2011-07-11T17:58:04Z</dcterms:modified>
</cp:coreProperties>
</file>